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64011"/>
  <mc:AlternateContent xmlns:mc="http://schemas.openxmlformats.org/markup-compatibility/2006">
    <mc:Choice Requires="x15">
      <x15ac:absPath xmlns:x15ac="http://schemas.microsoft.com/office/spreadsheetml/2010/11/ac" url="C:\Users\Will.Chivers\AppData\Local\Microsoft\Windows\Temporary Internet Files\Content.Outlook\WPIXKNKE\"/>
    </mc:Choice>
  </mc:AlternateContent>
  <bookViews>
    <workbookView xWindow="0" yWindow="0" windowWidth="14370" windowHeight="7155"/>
  </bookViews>
  <sheets>
    <sheet name="Contents" sheetId="16" r:id="rId1"/>
    <sheet name="Cost Summary" sheetId="9" r:id="rId2"/>
    <sheet name="Inputs" sheetId="7" r:id="rId3"/>
    <sheet name="Auto-PAC CPS variant" sheetId="8" r:id="rId4"/>
    <sheet name="E-2-E Mgmt with Auto-PAC CPS " sheetId="10" r:id="rId5"/>
    <sheet name="GPL" sheetId="14" r:id="rId6"/>
    <sheet name="E-2-E Mgmt with GPL" sheetId="15" r:id="rId7"/>
  </sheets>
  <externalReferences>
    <externalReference r:id="rId8"/>
  </externalReferences>
  <definedNames>
    <definedName name="Activity1">'[1]Auto-PAC CPS variant'!$A$9</definedName>
    <definedName name="Activity10">'[1]Auto-PAC CPS variant'!$A$63</definedName>
    <definedName name="Activity11">'[1]Auto-PAC CPS variant'!$A$70</definedName>
    <definedName name="Activity12">'[1]Auto-PAC CPS variant'!$A$75</definedName>
    <definedName name="Activity13">'[1]Auto-PAC CPS variant'!$A$80</definedName>
    <definedName name="Activity14">'[1]Auto-PAC CPS variant'!$A$85</definedName>
    <definedName name="Activity2">'[1]Auto-PAC CPS variant'!$A$14</definedName>
    <definedName name="Activity3">'[1]Auto-PAC CPS variant'!$A$23</definedName>
    <definedName name="Activity4">'[1]Auto-PAC CPS variant'!$A$28</definedName>
    <definedName name="Activity5">'[1]Auto-PAC CPS variant'!$A$31</definedName>
    <definedName name="Activity6">'[1]Auto-PAC CPS variant'!$A$34</definedName>
    <definedName name="Activity7">'[1]Auto-PAC CPS variant'!$A$42</definedName>
    <definedName name="Activity8">'[1]Auto-PAC CPS variant'!$A$50</definedName>
    <definedName name="Activity9">'[1]Auto-PAC CPS variant'!$A$58</definedName>
    <definedName name="GPLActivity1">[1]GPL!$A$9</definedName>
    <definedName name="GPLActivity10">[1]GPL!$A$68</definedName>
    <definedName name="GPLActivity11">[1]GPL!$A$73</definedName>
    <definedName name="GPLActivity12">[1]GPL!$A$80</definedName>
    <definedName name="GPLActivity13">[1]GPL!$A$85</definedName>
    <definedName name="GPLActivity14">[1]GPL!$A$90</definedName>
    <definedName name="GPLActivity15">[1]GPL!$A$95</definedName>
    <definedName name="GPLActivity16">[1]GPL!#REF!</definedName>
    <definedName name="GPLActivity17">[1]GPL!#REF!</definedName>
    <definedName name="GPLActivity18">[1]GPL!#REF!</definedName>
    <definedName name="GPLActivity2">[1]GPL!$A$19</definedName>
    <definedName name="GPLActivity3">[1]GPL!$A$23</definedName>
    <definedName name="GPLActivity4">[1]GPL!$A$32</definedName>
    <definedName name="GPLActivity5">[1]GPL!$A$38</definedName>
    <definedName name="GPLActivity6">[1]GPL!$A$41</definedName>
    <definedName name="GPLActivity7">[1]GPL!$A$44</definedName>
    <definedName name="GPLActivity8">[1]GPL!$A$52</definedName>
    <definedName name="GPLActivity9">[1]GPL!$A$60</definedName>
    <definedName name="loading_factor">'[1]Salary . staff rates'!$B$33</definedName>
    <definedName name="scenario_choice">'[1]SP cost summary'!$E$15</definedName>
    <definedName name="working_days">'[1]Salary . staff rates'!$B$31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6" l="1"/>
  <c r="H8" i="15" l="1"/>
  <c r="J8" i="15" s="1"/>
  <c r="H9" i="15"/>
  <c r="J9" i="15" s="1"/>
  <c r="L9" i="15" s="1"/>
  <c r="B28" i="7"/>
  <c r="H10" i="15"/>
  <c r="J10" i="15" s="1"/>
  <c r="H11" i="15"/>
  <c r="J11" i="15" s="1"/>
  <c r="L11" i="15" s="1"/>
  <c r="B22" i="7"/>
  <c r="H12" i="15" s="1"/>
  <c r="J12" i="15" s="1"/>
  <c r="L12" i="15" s="1"/>
  <c r="H13" i="15"/>
  <c r="J13" i="15" s="1"/>
  <c r="H14" i="15"/>
  <c r="J14" i="15" s="1"/>
  <c r="L14" i="15" s="1"/>
  <c r="H15" i="15"/>
  <c r="J15" i="15" s="1"/>
  <c r="H16" i="15"/>
  <c r="J16" i="15" s="1"/>
  <c r="L16" i="15" s="1"/>
  <c r="H17" i="15"/>
  <c r="J17" i="15" s="1"/>
  <c r="H18" i="15"/>
  <c r="J18" i="15" s="1"/>
  <c r="L18" i="15" s="1"/>
  <c r="H19" i="15"/>
  <c r="J19" i="15" s="1"/>
  <c r="H20" i="15"/>
  <c r="J20" i="15" s="1"/>
  <c r="L20" i="15" s="1"/>
  <c r="H21" i="15"/>
  <c r="J21" i="15"/>
  <c r="H22" i="15"/>
  <c r="J22" i="15" s="1"/>
  <c r="L22" i="15" s="1"/>
  <c r="H23" i="15"/>
  <c r="J23" i="15" s="1"/>
  <c r="H24" i="15"/>
  <c r="J24" i="15" s="1"/>
  <c r="L24" i="15" s="1"/>
  <c r="H25" i="15"/>
  <c r="J25" i="15" s="1"/>
  <c r="H26" i="15"/>
  <c r="J26" i="15" s="1"/>
  <c r="H27" i="15"/>
  <c r="J27" i="15" s="1"/>
  <c r="H28" i="15"/>
  <c r="J28" i="15" s="1"/>
  <c r="H29" i="15"/>
  <c r="J29" i="15" s="1"/>
  <c r="L8" i="15"/>
  <c r="L10" i="15"/>
  <c r="L13" i="15"/>
  <c r="L15" i="15"/>
  <c r="L17" i="15"/>
  <c r="L19" i="15"/>
  <c r="L21" i="15"/>
  <c r="L23" i="15"/>
  <c r="L25" i="15"/>
  <c r="L26" i="15"/>
  <c r="L27" i="15"/>
  <c r="L28" i="15"/>
  <c r="L29" i="15"/>
  <c r="H8" i="14"/>
  <c r="J8" i="14" s="1"/>
  <c r="H9" i="14"/>
  <c r="J9" i="14"/>
  <c r="L9" i="14" s="1"/>
  <c r="B19" i="7"/>
  <c r="H10" i="14" s="1"/>
  <c r="J10" i="14" s="1"/>
  <c r="L10" i="14" s="1"/>
  <c r="H11" i="14"/>
  <c r="J11" i="14" s="1"/>
  <c r="H12" i="14"/>
  <c r="J12" i="14" s="1"/>
  <c r="L12" i="14" s="1"/>
  <c r="H13" i="14"/>
  <c r="J13" i="14" s="1"/>
  <c r="L13" i="14" s="1"/>
  <c r="H14" i="14"/>
  <c r="J14" i="14" s="1"/>
  <c r="H15" i="14"/>
  <c r="J15" i="14" s="1"/>
  <c r="L15" i="14" s="1"/>
  <c r="H16" i="14"/>
  <c r="J16" i="14" s="1"/>
  <c r="H17" i="14"/>
  <c r="J17" i="14" s="1"/>
  <c r="L17" i="14" s="1"/>
  <c r="H18" i="14"/>
  <c r="J18" i="14" s="1"/>
  <c r="H19" i="14"/>
  <c r="J19" i="14" s="1"/>
  <c r="L19" i="14" s="1"/>
  <c r="H20" i="14"/>
  <c r="J20" i="14" s="1"/>
  <c r="H21" i="14"/>
  <c r="J21" i="14" s="1"/>
  <c r="L21" i="14" s="1"/>
  <c r="H22" i="14"/>
  <c r="J22" i="14" s="1"/>
  <c r="H23" i="14"/>
  <c r="J23" i="14" s="1"/>
  <c r="L23" i="14" s="1"/>
  <c r="H24" i="14"/>
  <c r="J24" i="14" s="1"/>
  <c r="H25" i="14"/>
  <c r="J25" i="14" s="1"/>
  <c r="H26" i="14"/>
  <c r="J26" i="14" s="1"/>
  <c r="H27" i="14"/>
  <c r="J27" i="14" s="1"/>
  <c r="H28" i="14"/>
  <c r="J28" i="14"/>
  <c r="L8" i="14"/>
  <c r="L11" i="14"/>
  <c r="L14" i="14"/>
  <c r="L16" i="14"/>
  <c r="L18" i="14"/>
  <c r="L20" i="14"/>
  <c r="L22" i="14"/>
  <c r="L24" i="14"/>
  <c r="L25" i="14"/>
  <c r="L26" i="14"/>
  <c r="L27" i="14"/>
  <c r="L28" i="14"/>
  <c r="H29" i="14"/>
  <c r="J29" i="14" s="1"/>
  <c r="H30" i="14"/>
  <c r="J30" i="14" s="1"/>
  <c r="L30" i="14" s="1"/>
  <c r="H32" i="14"/>
  <c r="J32" i="14" s="1"/>
  <c r="H33" i="14"/>
  <c r="J33" i="14" s="1"/>
  <c r="L33" i="14" s="1"/>
  <c r="H34" i="14"/>
  <c r="J34" i="14" s="1"/>
  <c r="H35" i="14"/>
  <c r="J35" i="14" s="1"/>
  <c r="L35" i="14" s="1"/>
  <c r="H36" i="14"/>
  <c r="J36" i="14" s="1"/>
  <c r="H37" i="14"/>
  <c r="J37" i="14"/>
  <c r="L37" i="14" s="1"/>
  <c r="H38" i="14"/>
  <c r="J38" i="14" s="1"/>
  <c r="H39" i="14"/>
  <c r="J39" i="14" s="1"/>
  <c r="L39" i="14" s="1"/>
  <c r="H40" i="14"/>
  <c r="J40" i="14" s="1"/>
  <c r="H41" i="14"/>
  <c r="J41" i="14" s="1"/>
  <c r="H42" i="14"/>
  <c r="J42" i="14" s="1"/>
  <c r="H43" i="14"/>
  <c r="J43" i="14" s="1"/>
  <c r="H44" i="14"/>
  <c r="J44" i="14" s="1"/>
  <c r="L29" i="14"/>
  <c r="L32" i="14"/>
  <c r="L34" i="14"/>
  <c r="L36" i="14"/>
  <c r="L38" i="14"/>
  <c r="L40" i="14"/>
  <c r="L41" i="14"/>
  <c r="L42" i="14"/>
  <c r="L43" i="14"/>
  <c r="L44" i="14"/>
  <c r="H45" i="14"/>
  <c r="J45" i="14"/>
  <c r="H46" i="14"/>
  <c r="J46" i="14" s="1"/>
  <c r="L46" i="14" s="1"/>
  <c r="H47" i="14"/>
  <c r="J47" i="14" s="1"/>
  <c r="H48" i="14"/>
  <c r="J48" i="14" s="1"/>
  <c r="L48" i="14" s="1"/>
  <c r="H49" i="14"/>
  <c r="J49" i="14" s="1"/>
  <c r="H50" i="14"/>
  <c r="J50" i="14" s="1"/>
  <c r="L50" i="14" s="1"/>
  <c r="H51" i="14"/>
  <c r="J51" i="14" s="1"/>
  <c r="H52" i="14"/>
  <c r="J52" i="14" s="1"/>
  <c r="L52" i="14" s="1"/>
  <c r="H53" i="14"/>
  <c r="J53" i="14" s="1"/>
  <c r="H54" i="14"/>
  <c r="J54" i="14" s="1"/>
  <c r="L54" i="14" s="1"/>
  <c r="H55" i="14"/>
  <c r="J55" i="14" s="1"/>
  <c r="H56" i="14"/>
  <c r="J56" i="14" s="1"/>
  <c r="H57" i="14"/>
  <c r="J57" i="14" s="1"/>
  <c r="H58" i="14"/>
  <c r="J58" i="14" s="1"/>
  <c r="H59" i="14"/>
  <c r="J59" i="14" s="1"/>
  <c r="L45" i="14"/>
  <c r="L47" i="14"/>
  <c r="L49" i="14"/>
  <c r="L51" i="14"/>
  <c r="L53" i="14"/>
  <c r="L55" i="14"/>
  <c r="L56" i="14"/>
  <c r="L57" i="14"/>
  <c r="L58" i="14"/>
  <c r="L59" i="14"/>
  <c r="H8" i="10"/>
  <c r="J8" i="10" s="1"/>
  <c r="H9" i="10"/>
  <c r="J9" i="10" s="1"/>
  <c r="L9" i="10" s="1"/>
  <c r="H10" i="10"/>
  <c r="J10" i="10" s="1"/>
  <c r="H11" i="10"/>
  <c r="J11" i="10" s="1"/>
  <c r="L11" i="10" s="1"/>
  <c r="H13" i="10"/>
  <c r="J13" i="10" s="1"/>
  <c r="H14" i="10"/>
  <c r="J14" i="10" s="1"/>
  <c r="L14" i="10" s="1"/>
  <c r="H15" i="10"/>
  <c r="J15" i="10" s="1"/>
  <c r="H16" i="10"/>
  <c r="J16" i="10" s="1"/>
  <c r="L16" i="10" s="1"/>
  <c r="H17" i="10"/>
  <c r="J17" i="10" s="1"/>
  <c r="H18" i="10"/>
  <c r="J18" i="10" s="1"/>
  <c r="L18" i="10" s="1"/>
  <c r="H19" i="10"/>
  <c r="J19" i="10" s="1"/>
  <c r="H20" i="10"/>
  <c r="J20" i="10" s="1"/>
  <c r="L20" i="10" s="1"/>
  <c r="H21" i="10"/>
  <c r="J21" i="10" s="1"/>
  <c r="H22" i="10"/>
  <c r="J22" i="10" s="1"/>
  <c r="L22" i="10" s="1"/>
  <c r="H23" i="10"/>
  <c r="J23" i="10" s="1"/>
  <c r="H24" i="10"/>
  <c r="J24" i="10" s="1"/>
  <c r="L24" i="10" s="1"/>
  <c r="H25" i="10"/>
  <c r="J25" i="10" s="1"/>
  <c r="H26" i="10"/>
  <c r="J26" i="10" s="1"/>
  <c r="H27" i="10"/>
  <c r="J27" i="10" s="1"/>
  <c r="H28" i="10"/>
  <c r="J28" i="10" s="1"/>
  <c r="H29" i="10"/>
  <c r="J29" i="10" s="1"/>
  <c r="L8" i="10"/>
  <c r="L10" i="10"/>
  <c r="L13" i="10"/>
  <c r="L15" i="10"/>
  <c r="L17" i="10"/>
  <c r="L19" i="10"/>
  <c r="L21" i="10"/>
  <c r="L23" i="10"/>
  <c r="L25" i="10"/>
  <c r="L26" i="10"/>
  <c r="L27" i="10"/>
  <c r="L28" i="10"/>
  <c r="L29" i="10"/>
  <c r="H8" i="8"/>
  <c r="J8" i="8" s="1"/>
  <c r="H9" i="8"/>
  <c r="J9" i="8" s="1"/>
  <c r="L9" i="8" s="1"/>
  <c r="H10" i="8"/>
  <c r="J10" i="8" s="1"/>
  <c r="L10" i="8" s="1"/>
  <c r="H11" i="8"/>
  <c r="J11" i="8" s="1"/>
  <c r="H12" i="8"/>
  <c r="J12" i="8"/>
  <c r="L12" i="8" s="1"/>
  <c r="H13" i="8"/>
  <c r="J13" i="8" s="1"/>
  <c r="L13" i="8" s="1"/>
  <c r="H14" i="8"/>
  <c r="J14" i="8" s="1"/>
  <c r="H15" i="8"/>
  <c r="J15" i="8" s="1"/>
  <c r="L15" i="8" s="1"/>
  <c r="H16" i="8"/>
  <c r="J16" i="8" s="1"/>
  <c r="H17" i="8"/>
  <c r="J17" i="8" s="1"/>
  <c r="H18" i="8"/>
  <c r="J18" i="8" s="1"/>
  <c r="H19" i="8"/>
  <c r="J19" i="8" s="1"/>
  <c r="L19" i="8" s="1"/>
  <c r="H20" i="8"/>
  <c r="J20" i="8" s="1"/>
  <c r="H21" i="8"/>
  <c r="J21" i="8" s="1"/>
  <c r="H22" i="8"/>
  <c r="J22" i="8" s="1"/>
  <c r="H23" i="8"/>
  <c r="J23" i="8" s="1"/>
  <c r="H24" i="8"/>
  <c r="J24" i="8" s="1"/>
  <c r="L8" i="8"/>
  <c r="L11" i="8"/>
  <c r="L14" i="8"/>
  <c r="L16" i="8"/>
  <c r="L17" i="8"/>
  <c r="L18" i="8"/>
  <c r="L20" i="8"/>
  <c r="L21" i="8"/>
  <c r="L22" i="8"/>
  <c r="L23" i="8"/>
  <c r="L24" i="8"/>
  <c r="H25" i="8"/>
  <c r="J25" i="8" s="1"/>
  <c r="H26" i="8"/>
  <c r="J26" i="8" s="1"/>
  <c r="L26" i="8" s="1"/>
  <c r="H28" i="8"/>
  <c r="J28" i="8" s="1"/>
  <c r="H29" i="8"/>
  <c r="J29" i="8" s="1"/>
  <c r="L29" i="8" s="1"/>
  <c r="H30" i="8"/>
  <c r="J30" i="8" s="1"/>
  <c r="H31" i="8"/>
  <c r="J31" i="8" s="1"/>
  <c r="L31" i="8" s="1"/>
  <c r="H32" i="8"/>
  <c r="J32" i="8" s="1"/>
  <c r="H33" i="8"/>
  <c r="J33" i="8" s="1"/>
  <c r="L33" i="8" s="1"/>
  <c r="H34" i="8"/>
  <c r="J34" i="8" s="1"/>
  <c r="H35" i="8"/>
  <c r="J35" i="8" s="1"/>
  <c r="L35" i="8" s="1"/>
  <c r="H36" i="8"/>
  <c r="J36" i="8"/>
  <c r="H37" i="8"/>
  <c r="J37" i="8" s="1"/>
  <c r="H38" i="8"/>
  <c r="J38" i="8" s="1"/>
  <c r="H39" i="8"/>
  <c r="J39" i="8" s="1"/>
  <c r="H40" i="8"/>
  <c r="J40" i="8" s="1"/>
  <c r="L25" i="8"/>
  <c r="L28" i="8"/>
  <c r="L30" i="8"/>
  <c r="L32" i="8"/>
  <c r="L34" i="8"/>
  <c r="L36" i="8"/>
  <c r="L37" i="8"/>
  <c r="L38" i="8"/>
  <c r="L39" i="8"/>
  <c r="L40" i="8"/>
  <c r="H41" i="8"/>
  <c r="J41" i="8" s="1"/>
  <c r="H42" i="8"/>
  <c r="J42" i="8" s="1"/>
  <c r="L42" i="8" s="1"/>
  <c r="H43" i="8"/>
  <c r="J43" i="8" s="1"/>
  <c r="H44" i="8"/>
  <c r="J44" i="8"/>
  <c r="L44" i="8" s="1"/>
  <c r="H45" i="8"/>
  <c r="J45" i="8" s="1"/>
  <c r="H46" i="8"/>
  <c r="J46" i="8" s="1"/>
  <c r="L46" i="8" s="1"/>
  <c r="H47" i="8"/>
  <c r="J47" i="8" s="1"/>
  <c r="H48" i="8"/>
  <c r="J48" i="8" s="1"/>
  <c r="L48" i="8" s="1"/>
  <c r="H49" i="8"/>
  <c r="J49" i="8" s="1"/>
  <c r="H50" i="8"/>
  <c r="J50" i="8" s="1"/>
  <c r="L50" i="8" s="1"/>
  <c r="H51" i="8"/>
  <c r="J51" i="8" s="1"/>
  <c r="H52" i="8"/>
  <c r="J52" i="8" s="1"/>
  <c r="H53" i="8"/>
  <c r="J53" i="8" s="1"/>
  <c r="H54" i="8"/>
  <c r="J54" i="8" s="1"/>
  <c r="H55" i="8"/>
  <c r="J55" i="8" s="1"/>
  <c r="L41" i="8"/>
  <c r="L43" i="8"/>
  <c r="L45" i="8"/>
  <c r="L47" i="8"/>
  <c r="L49" i="8"/>
  <c r="L51" i="8"/>
  <c r="L52" i="8"/>
  <c r="L53" i="8"/>
  <c r="L54" i="8"/>
  <c r="L55" i="8"/>
  <c r="B21" i="7"/>
  <c r="B18" i="9"/>
  <c r="B15" i="9"/>
  <c r="B14" i="9"/>
  <c r="B13" i="9"/>
  <c r="B10" i="9"/>
  <c r="B7" i="9"/>
  <c r="B6" i="9"/>
  <c r="B5" i="9"/>
  <c r="H12" i="10" l="1"/>
  <c r="J12" i="10" s="1"/>
  <c r="L12" i="10" s="1"/>
  <c r="H31" i="14"/>
  <c r="J31" i="14" s="1"/>
  <c r="L31" i="14" s="1"/>
  <c r="H27" i="8"/>
  <c r="J27" i="8" s="1"/>
  <c r="L27" i="8" s="1"/>
  <c r="D6" i="9" s="1"/>
  <c r="D14" i="9"/>
  <c r="C13" i="9"/>
  <c r="C15" i="9"/>
  <c r="E15" i="9" s="1"/>
  <c r="C14" i="9"/>
  <c r="D18" i="9"/>
  <c r="D19" i="9" s="1"/>
  <c r="H19" i="9" s="1"/>
  <c r="C18" i="9"/>
  <c r="D5" i="9"/>
  <c r="C5" i="9"/>
  <c r="D15" i="9"/>
  <c r="C19" i="9"/>
  <c r="D10" i="9"/>
  <c r="D11" i="9" s="1"/>
  <c r="H11" i="9" s="1"/>
  <c r="D13" i="9"/>
  <c r="D7" i="9"/>
  <c r="C10" i="9"/>
  <c r="C7" i="9"/>
  <c r="C6" i="9" l="1"/>
  <c r="C16" i="9"/>
  <c r="G16" i="9" s="1"/>
  <c r="E14" i="9"/>
  <c r="E18" i="9"/>
  <c r="E7" i="9"/>
  <c r="D16" i="9"/>
  <c r="H16" i="9" s="1"/>
  <c r="E13" i="9"/>
  <c r="E16" i="9" s="1"/>
  <c r="C8" i="9"/>
  <c r="G8" i="9" s="1"/>
  <c r="E5" i="9"/>
  <c r="E10" i="9"/>
  <c r="C11" i="9"/>
  <c r="D8" i="9"/>
  <c r="H8" i="9" s="1"/>
  <c r="E19" i="9"/>
  <c r="I19" i="9" s="1"/>
  <c r="G19" i="9"/>
  <c r="E6" i="9"/>
  <c r="I16" i="9" l="1"/>
  <c r="G11" i="9"/>
  <c r="E11" i="9"/>
  <c r="I11" i="9" s="1"/>
  <c r="E8" i="9"/>
  <c r="I8" i="9" s="1"/>
</calcChain>
</file>

<file path=xl/sharedStrings.xml><?xml version="1.0" encoding="utf-8"?>
<sst xmlns="http://schemas.openxmlformats.org/spreadsheetml/2006/main" count="680" uniqueCount="138">
  <si>
    <t xml:space="preserve">Source: Ofcom </t>
  </si>
  <si>
    <t>Training team</t>
  </si>
  <si>
    <t>Additional asssumptions</t>
  </si>
  <si>
    <t>Number of working days</t>
  </si>
  <si>
    <t>Number of working hours</t>
  </si>
  <si>
    <t>Loading factor</t>
  </si>
  <si>
    <t>Uplift on base salary to cover pensions, benefits and overheads</t>
  </si>
  <si>
    <t xml:space="preserve">Activity </t>
  </si>
  <si>
    <t>Daily cost</t>
  </si>
  <si>
    <t xml:space="preserve">Number of development days </t>
  </si>
  <si>
    <t>Impact assessment</t>
  </si>
  <si>
    <t>Install and set up SMS platform</t>
  </si>
  <si>
    <t xml:space="preserve">Impact assessment </t>
  </si>
  <si>
    <t>Install hardware for central ported number database, develop management software &amp; configure central ported number database structure</t>
  </si>
  <si>
    <t>Hardware / software licence</t>
  </si>
  <si>
    <t>Firewall</t>
  </si>
  <si>
    <t>Database</t>
  </si>
  <si>
    <t>£</t>
  </si>
  <si>
    <t>Input assumptions</t>
  </si>
  <si>
    <t>Capex</t>
  </si>
  <si>
    <t>Total capex</t>
  </si>
  <si>
    <t>Opex</t>
  </si>
  <si>
    <t>Total opex</t>
  </si>
  <si>
    <t>Resource</t>
  </si>
  <si>
    <t>Employee</t>
  </si>
  <si>
    <t>Type of staff / licence</t>
  </si>
  <si>
    <t>Process / notes</t>
  </si>
  <si>
    <t>1.10</t>
  </si>
  <si>
    <t>Systems changes</t>
  </si>
  <si>
    <t xml:space="preserve">Training </t>
  </si>
  <si>
    <t>Develop training materials</t>
  </si>
  <si>
    <t>Ongoing support costs?</t>
  </si>
  <si>
    <t>2.8</t>
  </si>
  <si>
    <t>3.9</t>
  </si>
  <si>
    <t>No</t>
  </si>
  <si>
    <t xml:space="preserve">Reform </t>
  </si>
  <si>
    <t>Total cost (10 years)</t>
  </si>
  <si>
    <t xml:space="preserve">Total </t>
  </si>
  <si>
    <t>Deliver training - assume 5 people receive half a day</t>
  </si>
  <si>
    <t>Yes</t>
  </si>
  <si>
    <t xml:space="preserve">Employee salaries </t>
  </si>
  <si>
    <t>Project management salaries</t>
  </si>
  <si>
    <t>Middle manager</t>
  </si>
  <si>
    <t>Senior manager</t>
  </si>
  <si>
    <t>Junior manager</t>
  </si>
  <si>
    <t>Project management</t>
  </si>
  <si>
    <t>1.12</t>
  </si>
  <si>
    <t>Deliver training - assume 5 people for one day</t>
  </si>
  <si>
    <t>Deliver training - assume 5 people for 2 days</t>
  </si>
  <si>
    <t>£ (Annual)</t>
  </si>
  <si>
    <t>SMS platform</t>
  </si>
  <si>
    <t>Major systems changes</t>
  </si>
  <si>
    <t xml:space="preserve">Develop, set-up &amp; configure Central Ported Number Database </t>
  </si>
  <si>
    <t>SMSC</t>
  </si>
  <si>
    <t>1.9</t>
  </si>
  <si>
    <t>Development</t>
  </si>
  <si>
    <t>Develop interworking with central ported number database to identify Losing Provider</t>
  </si>
  <si>
    <t>Auto-PAC</t>
  </si>
  <si>
    <t>1.11</t>
  </si>
  <si>
    <t>GPL</t>
  </si>
  <si>
    <t>Develop functionality to check if the customer has responded with '1' within the 24hrs - inform GP that the switch is going ahead. NOTE: If the customer has not responded within 24 hrs, then inform the GP that the switching process has been terminated.</t>
  </si>
  <si>
    <t>Develop functionality to receive, validate &amp; translate Losing Provider switching response (i.e. ETC information or LP rejection) into standard SMS format for customer and to inform GP of LP response.</t>
  </si>
  <si>
    <t>Develop functionality to receive, validate &amp; translate Losing Provider ETC information into request from LP portal/ CRM systems into standard SMS format.  NOTE: LP response may contain 'Reject' reasons and SMS must be configured accordingly.</t>
  </si>
  <si>
    <t>Test &amp; validate new ETC/PAC (or rejection) customer SMS functionality with all SPs (registered).</t>
  </si>
  <si>
    <t>Develop software functionality to send ETC request to Losing Provider's CRM/ NP Gateway.</t>
  </si>
  <si>
    <t>Develop new centralised PAC SMS functionality - Receive PAC request from customer by SMS - assume additional connectivity and firewall hardware and software required</t>
  </si>
  <si>
    <t>Develop interworking with central ported number database to identify Losing Provider: NOTE: If LP not known, inform customer that the switch request cannot be completed and customer should contact their LP directly.</t>
  </si>
  <si>
    <t>Develop central ported number database reporting framework and secure 'Routing provider' sign-off on data integrity</t>
  </si>
  <si>
    <t>Support sign-off of ported number data and the set-up of the CPS central ported number database</t>
  </si>
  <si>
    <t>Source: Ofcom</t>
  </si>
  <si>
    <t>Functionality to obtain switching information from LPs, and deliver on SMS to switchers</t>
  </si>
  <si>
    <t>Functionality to obtain switching information from LPs, and deliver with PAC to switchers</t>
  </si>
  <si>
    <t>Small MVNO CRM vendor</t>
  </si>
  <si>
    <t>Develop software functionality to send ETC request to Losing Provider's CRM/ NP Gateway</t>
  </si>
  <si>
    <t>Develop functionality to create and send ETC information in prescribed format by SMS to requesting customer using same CLI as PAC request SMS</t>
  </si>
  <si>
    <t>Develop functionality to create PAC, send to requesting customer either with ETC SMS or separately</t>
  </si>
  <si>
    <t>Develop functionality to create and send this ETC information in prescribed format by SMS to requesting customer. NOTE: if LP has Rejected Switch, then create and send customer the 'Rejection notice'; inform GP that the switch will not be progressed and terminate the process.</t>
  </si>
  <si>
    <t>External day rates</t>
  </si>
  <si>
    <t>£ (day)</t>
  </si>
  <si>
    <t>External</t>
  </si>
  <si>
    <t>Test centrally managed porting execution functionality with MNOs/MVNEs/MVNOs</t>
  </si>
  <si>
    <t>Develop new centralised GPL functionality - Receive Porting or cancellation request via M2MPAC and transmit via M2M to LP (Note LP designation to be identified by MSISDN) - Receive reponse from LP &amp; using SMS send ETC details (or rejection - NOTE process is terminated and notification sent to GP via M2M) to first CLI on list - Monitor timed response from Customer (NOTE if response times out process is terminated and notification sent to GP via M2M)  - Assume additional connectivity and firewall hardware and software required</t>
  </si>
  <si>
    <t>Set-up &amp; test SMS/ Portal interworking/ connectivity with MNOs/ MVNOs</t>
  </si>
  <si>
    <t>Test PAC SMS function with MNOs/ MVNOs</t>
  </si>
  <si>
    <t>Test PAC SMS function withSPs</t>
  </si>
  <si>
    <t>Set-up &amp; test SMS/ Portal interworking/ connectivity with SPs</t>
  </si>
  <si>
    <t xml:space="preserve">Provide additional central CPS functionality to support the GPL provisioning approach and interworking (including SMS functionality) </t>
  </si>
  <si>
    <t>Develop CPS functionality to send out controlled and phased porting execution messages to each MNO/MVNE/MVNO, ie Gaining Provider to activate first, followed by routing update by Routing provider, finishing off with deactivation by Losing Provider.</t>
  </si>
  <si>
    <t>Develop CPS functionality to monitor and validate MNO/MVNE/MVNO response messages for each stage of the porting execution process before initiating the following stage or releasing the next set of daily porting files to the relevant MNOs/MVNE/MVNOs</t>
  </si>
  <si>
    <t>Complete interworking and testing with the CPS central CPS platform</t>
  </si>
  <si>
    <t>Set up and integrate SMSC functionality into the existing CPS platform
Software development to streamline and automate the co-ordination of the porting execution process between Gaining / Losing Providers and block operators</t>
  </si>
  <si>
    <t>Develop CPS functionality to interrogate the central ported number database to accurately identify the losing and routing provider for each ported number to be processed within the daily batch</t>
  </si>
  <si>
    <t>Develop CPS functionallity to compile overnight separate daily ported number files for each gaining provider (for ported in numbers to provisioned), each routing provider (updating routing to the GP network) and losing provider (for ported out numbers to be deactivated</t>
  </si>
  <si>
    <t>Develop secure CPS  daily porting upload facility to MNOs/MVNEs/MVNOs</t>
  </si>
  <si>
    <t>Develop CPS functionality to monitor and validate MNO/MVNE/MVNO response messages for each stage of the porting execution process before initiating the following stage or releasing the next set of daily porting files to the relevant MNOs/MVNEs/MVNOs</t>
  </si>
  <si>
    <t>Develop CPS functionality to advise customers by SMS to change their SIM card at the point traffic routing is changed by the routing provider to the gaining provider</t>
  </si>
  <si>
    <t>Develop CPS functionality to monitor and report on MNO/MVNE/MVNO response performance for each stage of the revised porting execution process and to identify MNO/ MVNO response delays</t>
  </si>
  <si>
    <t>End-to-end management with Auto-PAC</t>
  </si>
  <si>
    <t>End-to-end management with GPL</t>
  </si>
  <si>
    <t>IT System Admin</t>
  </si>
  <si>
    <t>Cost summary</t>
  </si>
  <si>
    <t>End-to-end management
(under Auto-PAC)</t>
  </si>
  <si>
    <t>End-to-end management
(Under GPL)</t>
  </si>
  <si>
    <t>Total setup</t>
  </si>
  <si>
    <t>Annual ongoing</t>
  </si>
  <si>
    <t>Checksums</t>
  </si>
  <si>
    <t>Upload ported number data from All 'Routing providers' and complete data cleanse for errors and duplicated entries.  Ongoing activity covers daily repatriation updates received from Routing Providers</t>
  </si>
  <si>
    <t>Assume CPS development corresponds to this vendor class</t>
  </si>
  <si>
    <t>Already implemented for GPL</t>
  </si>
  <si>
    <t>ongoing : setup ratio</t>
  </si>
  <si>
    <t>Provide additional central CPS functionality to support the centralised SMS PAC provision approach and interworking</t>
  </si>
  <si>
    <t>Develop secure CPS  daily porting upload facility to MNOs/ MVNOs</t>
  </si>
  <si>
    <t>Information</t>
  </si>
  <si>
    <t xml:space="preserve">Title </t>
  </si>
  <si>
    <t>Version</t>
  </si>
  <si>
    <t>2017 release 1.0</t>
  </si>
  <si>
    <t>Status</t>
  </si>
  <si>
    <t>Approved for release</t>
  </si>
  <si>
    <t>Author</t>
  </si>
  <si>
    <t>Ofcom</t>
  </si>
  <si>
    <t>Confidentiality status</t>
  </si>
  <si>
    <t>Non-confidential</t>
  </si>
  <si>
    <t>Contents</t>
  </si>
  <si>
    <t>Sheet</t>
  </si>
  <si>
    <t>Description</t>
  </si>
  <si>
    <t>This contents sheet</t>
  </si>
  <si>
    <t>Actual model sheets</t>
  </si>
  <si>
    <t>Auto-PAC CPS variant</t>
  </si>
  <si>
    <t>Mobile switching: CPS costs</t>
  </si>
  <si>
    <t>Inputs</t>
  </si>
  <si>
    <t>E-2-E Mgmt with Auto-PAC CPS</t>
  </si>
  <si>
    <t>E-2-E Mgmt with GPL</t>
  </si>
  <si>
    <t>Presents cost activities and individual line items for CPS for Auto-PAC</t>
  </si>
  <si>
    <t>Presents cost activities and individual line items for CPS for GPL</t>
  </si>
  <si>
    <t>Summarises gross industry setup, ongoing, and 10-year cost of each reform, for CPS</t>
  </si>
  <si>
    <t>Contains assumptions about salaries, external day rates, hardware and other inputs used to calculate daily resource costs</t>
  </si>
  <si>
    <t>Presents cost activities and individual line items for CPS for E-2-E Management, implemented with Auto-PAC</t>
  </si>
  <si>
    <t>Presents cost activities and individual line items for CPS for E-2-E Management, implemented with GPL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</si>
</sst>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18" x14ac:knownFonts="1">
    <font>
      <sz val="11"/>
      <color theme="1"/>
      <name val="Calibri"/>
      <family val="2"/>
      <scheme val="minor"/>
    </font>
    <font>
      <sz val="9"/>
      <name val="Arial"/>
      <family val="2"/>
    </font>
    <font>
      <b/>
      <sz val="16"/>
      <name val="Arial"/>
      <family val="2"/>
    </font>
    <font>
      <sz val="8"/>
      <color indexed="10"/>
      <name val="Arial"/>
      <family val="2"/>
    </font>
    <font>
      <b/>
      <sz val="9"/>
      <name val="Arial"/>
      <family val="2"/>
    </font>
    <font>
      <i/>
      <sz val="9"/>
      <color theme="0" tint="-0.34998626667073579"/>
      <name val="Arial"/>
      <family val="2"/>
    </font>
    <font>
      <sz val="9"/>
      <color theme="1"/>
      <name val="Calibri"/>
      <family val="2"/>
      <scheme val="minor"/>
    </font>
    <font>
      <sz val="9"/>
      <color theme="1"/>
      <name val="Arial"/>
      <family val="2"/>
    </font>
    <font>
      <b/>
      <sz val="9"/>
      <color theme="1"/>
      <name val="Arial"/>
      <family val="2"/>
    </font>
    <font>
      <sz val="10"/>
      <color indexed="10"/>
      <name val="Arial"/>
      <family val="2"/>
    </font>
    <font>
      <b/>
      <u/>
      <sz val="20"/>
      <name val="Arial"/>
      <family val="2"/>
    </font>
    <font>
      <sz val="9"/>
      <color theme="0" tint="-0.34998626667073579"/>
      <name val="Arial"/>
      <family val="2"/>
    </font>
    <font>
      <b/>
      <sz val="18"/>
      <name val="Arial"/>
      <family val="2"/>
    </font>
    <font>
      <i/>
      <sz val="9"/>
      <color theme="0" tint="-0.499984740745262"/>
      <name val="Arial"/>
      <family val="2"/>
    </font>
    <font>
      <b/>
      <sz val="22"/>
      <name val="Arial"/>
      <family val="2"/>
    </font>
    <font>
      <b/>
      <sz val="14"/>
      <name val="Arial"/>
      <family val="2"/>
    </font>
    <font>
      <sz val="9"/>
      <name val="Verdana"/>
      <family val="2"/>
    </font>
    <font>
      <b/>
      <sz val="12"/>
      <name val="Arial"/>
      <family val="2"/>
    </font>
  </fonts>
  <fills count="6">
    <fill>
      <patternFill patternType="none"/>
    </fill>
    <fill>
      <patternFill patternType="gray125"/>
    </fill>
    <fill>
      <patternFill patternType="solid">
        <fgColor rgb="FFE8D9E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rgb="FF660066"/>
      </left>
      <right style="thin">
        <color rgb="FF660066"/>
      </right>
      <top style="thin">
        <color rgb="FF660066"/>
      </top>
      <bottom style="thin">
        <color rgb="FF660066"/>
      </bottom>
      <diagonal/>
    </border>
    <border>
      <left style="thin">
        <color rgb="FF660066"/>
      </left>
      <right/>
      <top style="thin">
        <color rgb="FF660066"/>
      </top>
      <bottom style="thin">
        <color rgb="FF660066"/>
      </bottom>
      <diagonal/>
    </border>
    <border>
      <left/>
      <right style="thin">
        <color rgb="FF660066"/>
      </right>
      <top style="thin">
        <color rgb="FF660066"/>
      </top>
      <bottom style="thin">
        <color rgb="FF660066"/>
      </bottom>
      <diagonal/>
    </border>
    <border>
      <left style="thin">
        <color rgb="FF660066"/>
      </left>
      <right style="thin">
        <color rgb="FF660066"/>
      </right>
      <top style="thin">
        <color rgb="FF660066"/>
      </top>
      <bottom/>
      <diagonal/>
    </border>
    <border>
      <left style="thin">
        <color rgb="FF660066"/>
      </left>
      <right style="thin">
        <color rgb="FF660066"/>
      </right>
      <top/>
      <bottom/>
      <diagonal/>
    </border>
    <border>
      <left style="thin">
        <color rgb="FF660066"/>
      </left>
      <right style="thin">
        <color rgb="FF660066"/>
      </right>
      <top/>
      <bottom style="thin">
        <color rgb="FF660066"/>
      </bottom>
      <diagonal/>
    </border>
    <border>
      <left/>
      <right/>
      <top style="thin">
        <color rgb="FF660066"/>
      </top>
      <bottom style="thin">
        <color rgb="FF660066"/>
      </bottom>
      <diagonal/>
    </border>
    <border>
      <left style="dashed">
        <color rgb="FF660066"/>
      </left>
      <right style="dashed">
        <color rgb="FF660066"/>
      </right>
      <top style="thin">
        <color rgb="FF660066"/>
      </top>
      <bottom style="thin">
        <color rgb="FF660066"/>
      </bottom>
      <diagonal/>
    </border>
    <border>
      <left style="thin">
        <color rgb="FF7030A0"/>
      </left>
      <right style="thin">
        <color rgb="FF7030A0"/>
      </right>
      <top style="thin">
        <color rgb="FF7030A0"/>
      </top>
      <bottom style="thin">
        <color rgb="FF7030A0"/>
      </bottom>
      <diagonal/>
    </border>
    <border>
      <left/>
      <right/>
      <top style="thin">
        <color rgb="FF7030A0"/>
      </top>
      <bottom style="thin">
        <color rgb="FF7030A0"/>
      </bottom>
      <diagonal/>
    </border>
    <border>
      <left/>
      <right/>
      <top style="thin">
        <color rgb="FF660066"/>
      </top>
      <bottom/>
      <diagonal/>
    </border>
    <border>
      <left style="thin">
        <color rgb="FF660066"/>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1" fillId="0" borderId="0">
      <alignment vertical="center"/>
    </xf>
    <xf numFmtId="0" fontId="3" fillId="0" borderId="0" applyNumberFormat="0" applyFill="0" applyBorder="0" applyAlignment="0" applyProtection="0">
      <alignment vertical="top"/>
    </xf>
    <xf numFmtId="0" fontId="1" fillId="0" borderId="1" applyNumberFormat="0" applyAlignment="0">
      <alignment vertical="center"/>
      <protection locked="0"/>
    </xf>
    <xf numFmtId="0" fontId="1" fillId="2" borderId="0" applyNumberFormat="0" applyFont="0" applyBorder="0" applyAlignment="0" applyProtection="0">
      <alignment vertical="center"/>
    </xf>
    <xf numFmtId="0" fontId="15" fillId="0" borderId="0" applyNumberFormat="0" applyFill="0" applyBorder="0" applyAlignment="0" applyProtection="0">
      <alignment vertical="center"/>
    </xf>
    <xf numFmtId="0" fontId="1" fillId="0" borderId="0" applyProtection="0">
      <alignment vertical="center"/>
    </xf>
    <xf numFmtId="0" fontId="17" fillId="0" borderId="0" applyNumberFormat="0" applyFill="0" applyBorder="0" applyAlignment="0" applyProtection="0">
      <alignment horizontal="left" vertical="center"/>
    </xf>
  </cellStyleXfs>
  <cellXfs count="152">
    <xf numFmtId="0" fontId="0" fillId="0" borderId="0" xfId="0"/>
    <xf numFmtId="0" fontId="2" fillId="0" borderId="0" xfId="1" applyFont="1">
      <alignment vertical="center"/>
    </xf>
    <xf numFmtId="0" fontId="1" fillId="0" borderId="0" xfId="1">
      <alignment vertical="center"/>
    </xf>
    <xf numFmtId="0" fontId="3" fillId="0" borderId="0" xfId="2" applyAlignment="1">
      <alignment vertical="center"/>
    </xf>
    <xf numFmtId="0" fontId="1" fillId="0" borderId="0" xfId="1" applyFont="1" applyAlignment="1">
      <alignment horizontal="center" vertical="center"/>
    </xf>
    <xf numFmtId="0" fontId="4" fillId="0" borderId="0" xfId="1" applyFont="1" applyAlignment="1">
      <alignment horizontal="right" vertical="center"/>
    </xf>
    <xf numFmtId="0" fontId="1" fillId="0" borderId="0" xfId="1" applyAlignment="1">
      <alignment horizontal="right" vertical="center"/>
    </xf>
    <xf numFmtId="164" fontId="1" fillId="0" borderId="1" xfId="3" applyNumberFormat="1">
      <alignment vertical="center"/>
      <protection locked="0"/>
    </xf>
    <xf numFmtId="0" fontId="1" fillId="0" borderId="0" xfId="1" applyFill="1" applyBorder="1" applyAlignment="1">
      <alignment horizontal="right" vertical="center"/>
    </xf>
    <xf numFmtId="0" fontId="1" fillId="0" borderId="1" xfId="3">
      <alignment vertical="center"/>
      <protection locked="0"/>
    </xf>
    <xf numFmtId="9" fontId="1" fillId="0" borderId="1" xfId="3" applyNumberFormat="1">
      <alignment vertical="center"/>
      <protection locked="0"/>
    </xf>
    <xf numFmtId="0" fontId="2" fillId="0" borderId="0" xfId="1" applyFont="1" applyAlignment="1">
      <alignment vertical="center"/>
    </xf>
    <xf numFmtId="164" fontId="2" fillId="0" borderId="0" xfId="1" applyNumberFormat="1" applyFont="1" applyAlignment="1">
      <alignment vertical="center"/>
    </xf>
    <xf numFmtId="164" fontId="2" fillId="0" borderId="0" xfId="1" applyNumberFormat="1" applyFont="1">
      <alignment vertical="center"/>
    </xf>
    <xf numFmtId="165" fontId="1" fillId="0" borderId="0" xfId="1" applyNumberFormat="1">
      <alignment vertical="center"/>
    </xf>
    <xf numFmtId="164" fontId="1" fillId="0" borderId="0" xfId="1" applyNumberFormat="1">
      <alignment vertical="center"/>
    </xf>
    <xf numFmtId="164" fontId="5" fillId="0" borderId="0" xfId="1" applyNumberFormat="1" applyFont="1">
      <alignment vertical="center"/>
    </xf>
    <xf numFmtId="0" fontId="1" fillId="0" borderId="3" xfId="3" applyFont="1" applyBorder="1" applyAlignment="1">
      <alignment horizontal="center" vertical="center" wrapText="1"/>
      <protection locked="0"/>
    </xf>
    <xf numFmtId="0" fontId="1" fillId="0" borderId="1" xfId="3" applyFont="1" applyAlignment="1">
      <alignment horizontal="center" vertical="center" wrapText="1"/>
      <protection locked="0"/>
    </xf>
    <xf numFmtId="0" fontId="1" fillId="0" borderId="0" xfId="1" applyFont="1">
      <alignment vertical="center"/>
    </xf>
    <xf numFmtId="164" fontId="1" fillId="0" borderId="1" xfId="3" applyNumberFormat="1" applyFont="1">
      <alignment vertical="center"/>
      <protection locked="0"/>
    </xf>
    <xf numFmtId="164" fontId="1" fillId="0" borderId="0" xfId="1" applyNumberFormat="1" applyFont="1">
      <alignment vertical="center"/>
    </xf>
    <xf numFmtId="3" fontId="1" fillId="0" borderId="0" xfId="1" applyNumberFormat="1" applyFont="1">
      <alignment vertical="center"/>
    </xf>
    <xf numFmtId="165" fontId="1" fillId="0" borderId="0" xfId="1" applyNumberFormat="1" applyFont="1">
      <alignment vertical="center"/>
    </xf>
    <xf numFmtId="0" fontId="7" fillId="0" borderId="1" xfId="3" applyFont="1" applyAlignment="1">
      <alignment horizontal="center" vertical="center" wrapText="1"/>
      <protection locked="0"/>
    </xf>
    <xf numFmtId="3" fontId="7" fillId="0" borderId="1" xfId="3" applyNumberFormat="1" applyFont="1" applyAlignment="1">
      <alignment horizontal="center" vertical="center" wrapText="1"/>
      <protection locked="0"/>
    </xf>
    <xf numFmtId="0" fontId="7" fillId="0" borderId="1" xfId="3" applyFont="1">
      <alignment vertical="center"/>
      <protection locked="0"/>
    </xf>
    <xf numFmtId="0" fontId="1" fillId="0" borderId="1" xfId="3" applyFont="1" applyAlignment="1">
      <alignment horizontal="center" vertical="center" wrapText="1"/>
      <protection locked="0"/>
    </xf>
    <xf numFmtId="0" fontId="7" fillId="0" borderId="1" xfId="3" applyFont="1" applyAlignment="1">
      <alignment horizontal="center" vertical="center" wrapText="1"/>
      <protection locked="0"/>
    </xf>
    <xf numFmtId="0" fontId="1" fillId="0" borderId="0" xfId="1" applyFont="1" applyAlignment="1">
      <alignment vertical="center"/>
    </xf>
    <xf numFmtId="0" fontId="1" fillId="0" borderId="1" xfId="3" applyFont="1" applyAlignment="1">
      <alignment horizontal="left" vertical="top"/>
      <protection locked="0"/>
    </xf>
    <xf numFmtId="0" fontId="6" fillId="0" borderId="1" xfId="0" applyFont="1" applyBorder="1" applyAlignment="1">
      <alignment horizontal="left" vertical="top" wrapText="1"/>
    </xf>
    <xf numFmtId="0" fontId="1" fillId="0" borderId="1" xfId="3" applyFont="1" applyBorder="1" applyAlignment="1">
      <alignment horizontal="left" vertical="top"/>
      <protection locked="0"/>
    </xf>
    <xf numFmtId="0" fontId="7" fillId="0" borderId="2" xfId="3" applyFont="1" applyBorder="1" applyAlignment="1">
      <alignment horizontal="center" vertical="center" wrapText="1"/>
      <protection locked="0"/>
    </xf>
    <xf numFmtId="0" fontId="7" fillId="0" borderId="2" xfId="3" applyFont="1" applyBorder="1">
      <alignment vertical="center"/>
      <protection locked="0"/>
    </xf>
    <xf numFmtId="0" fontId="1" fillId="0" borderId="3" xfId="3" applyFont="1" applyBorder="1">
      <alignment vertical="center"/>
      <protection locked="0"/>
    </xf>
    <xf numFmtId="164" fontId="7" fillId="0" borderId="8" xfId="3" applyNumberFormat="1" applyFont="1" applyBorder="1" applyAlignment="1">
      <alignment horizontal="center" vertical="center" wrapText="1"/>
      <protection locked="0"/>
    </xf>
    <xf numFmtId="0" fontId="1" fillId="0" borderId="8" xfId="3" applyFont="1" applyBorder="1" applyAlignment="1">
      <alignment horizontal="center" vertical="center" wrapText="1"/>
      <protection locked="0"/>
    </xf>
    <xf numFmtId="0" fontId="1" fillId="0" borderId="8" xfId="3" applyFont="1" applyBorder="1">
      <alignment vertical="center"/>
      <protection locked="0"/>
    </xf>
    <xf numFmtId="49" fontId="1" fillId="0" borderId="1" xfId="3" applyNumberFormat="1" applyFont="1" applyAlignment="1">
      <alignment horizontal="center" vertical="center" wrapText="1"/>
      <protection locked="0"/>
    </xf>
    <xf numFmtId="0" fontId="7" fillId="0" borderId="0" xfId="0" applyFont="1"/>
    <xf numFmtId="164" fontId="7" fillId="0" borderId="9" xfId="0" applyNumberFormat="1" applyFont="1" applyBorder="1"/>
    <xf numFmtId="0" fontId="8" fillId="4" borderId="0" xfId="0" applyFont="1" applyFill="1"/>
    <xf numFmtId="0" fontId="8" fillId="4" borderId="0" xfId="0" applyFont="1" applyFill="1" applyAlignment="1">
      <alignment horizontal="center"/>
    </xf>
    <xf numFmtId="165" fontId="1" fillId="0" borderId="3" xfId="3" applyNumberFormat="1" applyFont="1" applyBorder="1">
      <alignment vertical="center"/>
      <protection locked="0"/>
    </xf>
    <xf numFmtId="0" fontId="4" fillId="0" borderId="0" xfId="1" applyFont="1" applyFill="1" applyBorder="1" applyAlignment="1">
      <alignment horizontal="right" vertical="center"/>
    </xf>
    <xf numFmtId="0" fontId="1" fillId="0" borderId="0" xfId="1" applyFont="1" applyAlignment="1">
      <alignment horizontal="right" vertical="center"/>
    </xf>
    <xf numFmtId="164" fontId="1" fillId="0" borderId="1" xfId="1" applyNumberFormat="1" applyFont="1" applyBorder="1" applyAlignment="1">
      <alignment horizontal="right" vertical="center"/>
    </xf>
    <xf numFmtId="0" fontId="7" fillId="0" borderId="9" xfId="0" applyFont="1" applyBorder="1" applyAlignment="1">
      <alignment wrapText="1"/>
    </xf>
    <xf numFmtId="0" fontId="8" fillId="0" borderId="10" xfId="0" applyFont="1" applyFill="1" applyBorder="1"/>
    <xf numFmtId="164" fontId="8" fillId="0" borderId="10" xfId="0" applyNumberFormat="1" applyFont="1" applyFill="1" applyBorder="1"/>
    <xf numFmtId="0" fontId="7" fillId="0" borderId="0" xfId="0" applyFont="1" applyFill="1" applyBorder="1"/>
    <xf numFmtId="0" fontId="7" fillId="0" borderId="10" xfId="0" applyFont="1" applyFill="1" applyBorder="1" applyAlignment="1">
      <alignment horizontal="center" vertical="center"/>
    </xf>
    <xf numFmtId="0" fontId="3" fillId="0" borderId="0" xfId="2" applyAlignment="1">
      <alignment horizontal="left" vertical="center"/>
    </xf>
    <xf numFmtId="164" fontId="1" fillId="0" borderId="11" xfId="3" applyNumberFormat="1" applyBorder="1">
      <alignment vertical="center"/>
      <protection locked="0"/>
    </xf>
    <xf numFmtId="0" fontId="3" fillId="0" borderId="0" xfId="2" applyAlignment="1">
      <alignment vertical="center" wrapText="1"/>
    </xf>
    <xf numFmtId="0" fontId="9" fillId="0" borderId="0" xfId="2" applyFont="1" applyAlignment="1">
      <alignment vertical="center"/>
    </xf>
    <xf numFmtId="0" fontId="3" fillId="0" borderId="0" xfId="2" applyAlignment="1">
      <alignment horizontal="left" vertical="center" wrapText="1"/>
    </xf>
    <xf numFmtId="0" fontId="1" fillId="0" borderId="3" xfId="3" applyFont="1" applyBorder="1" applyAlignment="1">
      <alignment horizontal="center" vertical="center" wrapText="1"/>
      <protection locked="0"/>
    </xf>
    <xf numFmtId="0" fontId="10" fillId="0" borderId="0" xfId="1" applyFont="1" applyAlignment="1">
      <alignment vertical="center"/>
    </xf>
    <xf numFmtId="0" fontId="1" fillId="0" borderId="1" xfId="3" applyFont="1" applyFill="1" applyAlignment="1">
      <alignment horizontal="center" vertical="center" wrapText="1"/>
      <protection locked="0"/>
    </xf>
    <xf numFmtId="0" fontId="1" fillId="0" borderId="8" xfId="3" applyFont="1" applyFill="1" applyBorder="1">
      <alignment vertical="center"/>
      <protection locked="0"/>
    </xf>
    <xf numFmtId="164" fontId="11" fillId="0" borderId="0" xfId="1" applyNumberFormat="1" applyFont="1">
      <alignment vertical="center"/>
    </xf>
    <xf numFmtId="0" fontId="7" fillId="0" borderId="0" xfId="0" applyFont="1" applyFill="1" applyBorder="1" applyAlignment="1">
      <alignment horizontal="right" vertical="center"/>
    </xf>
    <xf numFmtId="164" fontId="1" fillId="0" borderId="1" xfId="3" applyNumberFormat="1" applyFont="1">
      <alignment vertical="center"/>
      <protection locked="0"/>
    </xf>
    <xf numFmtId="0" fontId="7" fillId="0" borderId="1" xfId="3" applyFont="1">
      <alignment vertical="center"/>
      <protection locked="0"/>
    </xf>
    <xf numFmtId="0" fontId="7" fillId="0" borderId="2" xfId="3" applyFont="1" applyBorder="1">
      <alignment vertical="center"/>
      <protection locked="0"/>
    </xf>
    <xf numFmtId="164" fontId="7" fillId="0" borderId="8" xfId="3" applyNumberFormat="1" applyFont="1" applyBorder="1">
      <alignment vertical="center"/>
      <protection locked="0"/>
    </xf>
    <xf numFmtId="165" fontId="1" fillId="0" borderId="3" xfId="3" applyNumberFormat="1" applyFont="1" applyBorder="1">
      <alignment vertical="center"/>
      <protection locked="0"/>
    </xf>
    <xf numFmtId="0" fontId="4" fillId="0" borderId="0" xfId="0" applyFont="1" applyAlignment="1">
      <alignment horizontal="right" vertical="center"/>
    </xf>
    <xf numFmtId="0" fontId="6" fillId="0" borderId="0" xfId="0" applyFont="1" applyAlignment="1">
      <alignment vertical="center"/>
    </xf>
    <xf numFmtId="0" fontId="7" fillId="0" borderId="1" xfId="3" applyFont="1" applyFill="1">
      <alignment vertical="center"/>
      <protection locked="0"/>
    </xf>
    <xf numFmtId="0" fontId="7" fillId="0" borderId="2" xfId="3" applyFont="1" applyFill="1" applyBorder="1">
      <alignment vertical="center"/>
      <protection locked="0"/>
    </xf>
    <xf numFmtId="165" fontId="1" fillId="0" borderId="3" xfId="3" applyNumberFormat="1" applyFont="1" applyFill="1" applyBorder="1">
      <alignment vertical="center"/>
      <protection locked="0"/>
    </xf>
    <xf numFmtId="0" fontId="1" fillId="0" borderId="3" xfId="3" applyFont="1" applyFill="1" applyBorder="1">
      <alignment vertical="center"/>
      <protection locked="0"/>
    </xf>
    <xf numFmtId="164" fontId="1" fillId="0" borderId="1" xfId="3" applyNumberFormat="1" applyFont="1" applyFill="1">
      <alignment vertical="center"/>
      <protection locked="0"/>
    </xf>
    <xf numFmtId="0" fontId="8" fillId="2" borderId="9" xfId="4" applyFont="1" applyBorder="1" applyAlignment="1"/>
    <xf numFmtId="164" fontId="8" fillId="2" borderId="9" xfId="4" applyNumberFormat="1" applyFont="1" applyBorder="1" applyAlignment="1"/>
    <xf numFmtId="9" fontId="1" fillId="0" borderId="1" xfId="3" applyNumberFormat="1" applyFill="1">
      <alignment vertical="center"/>
      <protection locked="0"/>
    </xf>
    <xf numFmtId="0" fontId="12" fillId="0" borderId="0" xfId="1" applyFont="1">
      <alignment vertical="center"/>
    </xf>
    <xf numFmtId="0" fontId="13" fillId="5" borderId="0" xfId="0" applyFont="1" applyFill="1"/>
    <xf numFmtId="164" fontId="8" fillId="0" borderId="0" xfId="0" applyNumberFormat="1" applyFont="1" applyFill="1" applyBorder="1"/>
    <xf numFmtId="0" fontId="7" fillId="0" borderId="0" xfId="0" applyFont="1" applyFill="1"/>
    <xf numFmtId="0" fontId="8" fillId="0" borderId="0" xfId="0" applyFont="1" applyFill="1"/>
    <xf numFmtId="164" fontId="7" fillId="0" borderId="0" xfId="0" applyNumberFormat="1" applyFont="1" applyFill="1" applyBorder="1"/>
    <xf numFmtId="164" fontId="8" fillId="0" borderId="0" xfId="4" applyNumberFormat="1" applyFont="1" applyFill="1" applyBorder="1" applyAlignment="1"/>
    <xf numFmtId="164" fontId="3" fillId="0" borderId="0" xfId="2" applyNumberFormat="1" applyAlignment="1">
      <alignment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3" fillId="0" borderId="0" xfId="2" applyAlignment="1">
      <alignment horizontal="left" vertical="center"/>
    </xf>
    <xf numFmtId="0" fontId="3" fillId="0" borderId="12" xfId="2" applyBorder="1" applyAlignment="1">
      <alignment horizontal="left" vertical="center" wrapText="1"/>
    </xf>
    <xf numFmtId="0" fontId="3" fillId="0" borderId="0" xfId="2" applyBorder="1" applyAlignment="1">
      <alignment horizontal="left" vertical="center" wrapText="1"/>
    </xf>
    <xf numFmtId="0" fontId="3" fillId="0" borderId="12" xfId="2" applyBorder="1" applyAlignment="1">
      <alignment horizontal="left" vertical="center"/>
    </xf>
    <xf numFmtId="0" fontId="3" fillId="0" borderId="0" xfId="2" applyBorder="1" applyAlignment="1">
      <alignment horizontal="left" vertical="center"/>
    </xf>
    <xf numFmtId="0" fontId="1" fillId="0" borderId="4" xfId="3" applyFont="1" applyBorder="1" applyAlignment="1">
      <alignment horizontal="center" vertical="center" wrapText="1"/>
      <protection locked="0"/>
    </xf>
    <xf numFmtId="0" fontId="1" fillId="0" borderId="5" xfId="3" applyFont="1" applyBorder="1" applyAlignment="1">
      <alignment horizontal="center" vertical="center" wrapText="1"/>
      <protection locked="0"/>
    </xf>
    <xf numFmtId="0" fontId="1" fillId="0" borderId="6" xfId="3" applyFont="1" applyBorder="1" applyAlignment="1">
      <alignment horizontal="center" vertical="center" wrapText="1"/>
      <protection locked="0"/>
    </xf>
    <xf numFmtId="0" fontId="1" fillId="0" borderId="4" xfId="3" applyFont="1" applyBorder="1" applyAlignment="1">
      <alignment horizontal="center" vertical="center"/>
      <protection locked="0"/>
    </xf>
    <xf numFmtId="0" fontId="1" fillId="0" borderId="5" xfId="3" applyFont="1" applyBorder="1" applyAlignment="1">
      <alignment horizontal="center" vertical="center"/>
      <protection locked="0"/>
    </xf>
    <xf numFmtId="0" fontId="1" fillId="0" borderId="6" xfId="3" applyFont="1" applyBorder="1" applyAlignment="1">
      <alignment horizontal="center" vertical="center"/>
      <protection locked="0"/>
    </xf>
    <xf numFmtId="0" fontId="7" fillId="0" borderId="4" xfId="3" applyFont="1" applyBorder="1" applyAlignment="1">
      <alignment horizontal="center" vertical="center" wrapText="1"/>
      <protection locked="0"/>
    </xf>
    <xf numFmtId="0" fontId="7" fillId="0" borderId="5" xfId="3" applyFont="1" applyBorder="1" applyAlignment="1">
      <alignment horizontal="center" vertical="center" wrapText="1"/>
      <protection locked="0"/>
    </xf>
    <xf numFmtId="0" fontId="7" fillId="0" borderId="6" xfId="3" applyFont="1" applyBorder="1" applyAlignment="1">
      <alignment horizontal="center" vertical="center" wrapText="1"/>
      <protection locked="0"/>
    </xf>
    <xf numFmtId="0" fontId="1" fillId="0" borderId="4" xfId="3" applyFont="1" applyFill="1" applyBorder="1" applyAlignment="1">
      <alignment horizontal="center" vertical="center" wrapText="1"/>
      <protection locked="0"/>
    </xf>
    <xf numFmtId="0" fontId="1" fillId="0" borderId="6" xfId="3" applyFont="1" applyFill="1" applyBorder="1" applyAlignment="1">
      <alignment horizontal="center" vertical="center" wrapText="1"/>
      <protection locked="0"/>
    </xf>
    <xf numFmtId="49" fontId="1" fillId="0" borderId="4" xfId="3" applyNumberFormat="1" applyFont="1" applyBorder="1" applyAlignment="1">
      <alignment horizontal="center" vertical="center" wrapText="1"/>
      <protection locked="0"/>
    </xf>
    <xf numFmtId="49" fontId="1" fillId="0" borderId="6" xfId="3" applyNumberFormat="1" applyFont="1" applyBorder="1" applyAlignment="1">
      <alignment horizontal="center" vertical="center" wrapText="1"/>
      <protection locked="0"/>
    </xf>
    <xf numFmtId="0" fontId="1" fillId="0" borderId="2" xfId="3" applyFont="1" applyBorder="1" applyAlignment="1">
      <alignment horizontal="center" vertical="center" wrapText="1"/>
      <protection locked="0"/>
    </xf>
    <xf numFmtId="0" fontId="1" fillId="0" borderId="7" xfId="3" applyFont="1" applyBorder="1" applyAlignment="1">
      <alignment horizontal="center" vertical="center" wrapText="1"/>
      <protection locked="0"/>
    </xf>
    <xf numFmtId="0" fontId="1" fillId="0" borderId="3" xfId="3" applyFont="1" applyBorder="1" applyAlignment="1">
      <alignment horizontal="center" vertical="center" wrapText="1"/>
      <protection locked="0"/>
    </xf>
    <xf numFmtId="165" fontId="4" fillId="3" borderId="2" xfId="1" applyNumberFormat="1" applyFont="1" applyFill="1" applyBorder="1" applyAlignment="1">
      <alignment horizontal="center" vertical="center"/>
    </xf>
    <xf numFmtId="165" fontId="4" fillId="3" borderId="3" xfId="1" applyNumberFormat="1" applyFont="1" applyFill="1" applyBorder="1" applyAlignment="1">
      <alignment horizontal="center" vertical="center"/>
    </xf>
    <xf numFmtId="0" fontId="1" fillId="0" borderId="5" xfId="3" applyFont="1" applyFill="1" applyBorder="1" applyAlignment="1">
      <alignment horizontal="center" vertical="center" wrapText="1"/>
      <protection locked="0"/>
    </xf>
    <xf numFmtId="0" fontId="1" fillId="0" borderId="4" xfId="3" applyFont="1" applyBorder="1" applyAlignment="1">
      <alignment horizontal="left" vertical="top"/>
      <protection locked="0"/>
    </xf>
    <xf numFmtId="0" fontId="1" fillId="0" borderId="5" xfId="3" applyFont="1" applyBorder="1" applyAlignment="1">
      <alignment horizontal="left" vertical="top"/>
      <protection locked="0"/>
    </xf>
    <xf numFmtId="0" fontId="1" fillId="0" borderId="6" xfId="3" applyFont="1" applyBorder="1" applyAlignment="1">
      <alignment horizontal="left" vertical="top"/>
      <protection locked="0"/>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164" fontId="4" fillId="3" borderId="2" xfId="1" applyNumberFormat="1" applyFont="1" applyFill="1" applyBorder="1" applyAlignment="1">
      <alignment horizontal="center" vertical="center"/>
    </xf>
    <xf numFmtId="164" fontId="4" fillId="3" borderId="7" xfId="1" applyNumberFormat="1" applyFont="1" applyFill="1" applyBorder="1" applyAlignment="1">
      <alignment horizontal="center" vertical="center"/>
    </xf>
    <xf numFmtId="164" fontId="4" fillId="3" borderId="3" xfId="1" applyNumberFormat="1" applyFont="1" applyFill="1" applyBorder="1" applyAlignment="1">
      <alignment horizontal="center" vertical="center"/>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1" fillId="0" borderId="4" xfId="3" applyFont="1" applyBorder="1" applyAlignment="1">
      <alignment horizontal="left" vertical="top" wrapText="1"/>
      <protection locked="0"/>
    </xf>
    <xf numFmtId="0" fontId="1" fillId="0" borderId="6" xfId="3" applyFont="1" applyBorder="1" applyAlignment="1">
      <alignment horizontal="left" vertical="top" wrapText="1"/>
      <protection locked="0"/>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1" fillId="0" borderId="4" xfId="3" applyFont="1" applyFill="1" applyBorder="1" applyAlignment="1">
      <alignment horizontal="left" vertical="top"/>
      <protection locked="0"/>
    </xf>
    <xf numFmtId="0" fontId="1" fillId="0" borderId="5" xfId="3" applyFont="1" applyFill="1" applyBorder="1" applyAlignment="1">
      <alignment horizontal="left" vertical="top"/>
      <protection locked="0"/>
    </xf>
    <xf numFmtId="0" fontId="1" fillId="0" borderId="6" xfId="3" applyFont="1" applyFill="1" applyBorder="1" applyAlignment="1">
      <alignment horizontal="left" vertical="top"/>
      <protection locked="0"/>
    </xf>
    <xf numFmtId="0" fontId="14" fillId="0" borderId="0" xfId="1" applyFont="1" applyAlignment="1"/>
    <xf numFmtId="0" fontId="14" fillId="0" borderId="0" xfId="1" applyFont="1" applyAlignment="1">
      <alignment horizontal="right" vertical="center"/>
    </xf>
    <xf numFmtId="0" fontId="14" fillId="0" borderId="0" xfId="1" applyFont="1" applyAlignment="1">
      <alignment horizontal="right"/>
    </xf>
    <xf numFmtId="0" fontId="15" fillId="0" borderId="0" xfId="5" applyFill="1" applyAlignment="1">
      <alignment horizontal="left"/>
    </xf>
    <xf numFmtId="0" fontId="1" fillId="0" borderId="0" xfId="1" applyFill="1">
      <alignment vertical="center"/>
    </xf>
    <xf numFmtId="0" fontId="16" fillId="0" borderId="0" xfId="1" applyFont="1">
      <alignment vertical="center"/>
    </xf>
    <xf numFmtId="0" fontId="4" fillId="0" borderId="0" xfId="1" applyFont="1" applyAlignment="1">
      <alignment horizontal="left" vertical="center" wrapText="1" indent="1"/>
    </xf>
    <xf numFmtId="0" fontId="1" fillId="0" borderId="0" xfId="1" applyBorder="1">
      <alignment vertical="center"/>
    </xf>
    <xf numFmtId="0" fontId="1" fillId="0" borderId="0" xfId="1" applyAlignment="1">
      <alignment horizontal="left" vertical="center" wrapText="1" indent="1"/>
    </xf>
    <xf numFmtId="0" fontId="1" fillId="0" borderId="0" xfId="1" applyFill="1" applyBorder="1">
      <alignment vertical="center"/>
    </xf>
    <xf numFmtId="0" fontId="1" fillId="0" borderId="0" xfId="6">
      <alignment vertical="center"/>
    </xf>
    <xf numFmtId="0" fontId="17" fillId="0" borderId="0" xfId="7" applyAlignment="1"/>
    <xf numFmtId="0" fontId="17" fillId="0" borderId="0" xfId="7" applyAlignment="1">
      <alignment vertical="center"/>
    </xf>
    <xf numFmtId="0" fontId="4" fillId="0" borderId="0" xfId="1" applyFont="1" applyAlignment="1">
      <alignment vertical="center"/>
    </xf>
    <xf numFmtId="0" fontId="1" fillId="0" borderId="13" xfId="1" applyFont="1" applyBorder="1" applyAlignment="1">
      <alignment vertical="top"/>
    </xf>
    <xf numFmtId="0" fontId="1" fillId="0" borderId="13" xfId="1" applyFont="1" applyBorder="1" applyAlignment="1">
      <alignment vertical="top" wrapText="1"/>
    </xf>
    <xf numFmtId="0" fontId="1" fillId="0" borderId="0" xfId="1" applyFont="1" applyAlignment="1">
      <alignment vertical="center" wrapText="1"/>
    </xf>
    <xf numFmtId="0" fontId="14" fillId="0" borderId="0" xfId="1" applyFont="1" applyAlignment="1">
      <alignment horizontal="left" vertical="center"/>
    </xf>
  </cellXfs>
  <cellStyles count="8">
    <cellStyle name="H2" xfId="5"/>
    <cellStyle name="H3" xfId="7"/>
    <cellStyle name="Input parameter" xfId="3"/>
    <cellStyle name="Normal" xfId="0" builtinId="0"/>
    <cellStyle name="Normal 2" xfId="1"/>
    <cellStyle name="NoteOrSource" xfId="2"/>
    <cellStyle name="Ofcom Output" xfId="4"/>
    <cellStyle name="Unhighlight"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209550</xdr:colOff>
      <xdr:row>2</xdr:row>
      <xdr:rowOff>19050</xdr:rowOff>
    </xdr:to>
    <xdr:pic>
      <xdr:nvPicPr>
        <xdr:cNvPr id="2" name="Picture 66"/>
        <xdr:cNvPicPr>
          <a:picLocks noChangeAspect="1" noChangeArrowheads="1"/>
        </xdr:cNvPicPr>
      </xdr:nvPicPr>
      <xdr:blipFill>
        <a:blip xmlns:r="http://schemas.openxmlformats.org/officeDocument/2006/relationships" r:embed="rId1"/>
        <a:srcRect/>
        <a:stretch>
          <a:fillRect/>
        </a:stretch>
      </xdr:blipFill>
      <xdr:spPr bwMode="auto">
        <a:xfrm>
          <a:off x="57150" y="57150"/>
          <a:ext cx="2209800" cy="6477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ing%20calculations%20-%20costs%20to%20mobile%20provide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dustry cost summary"/>
      <sheetName val="SP cost summary"/>
      <sheetName val="Inputs -----&gt;"/>
      <sheetName val="Salary . staff rates"/>
      <sheetName val="Development days"/>
      <sheetName val="Outputs ----&gt;&gt;&gt;&gt;"/>
      <sheetName val="Notice period reform"/>
      <sheetName val="Auto-PAC CPS variant"/>
      <sheetName val="Auto-PAC LP variant"/>
      <sheetName val="GPL"/>
      <sheetName val="End-to-end management"/>
    </sheetNames>
    <sheetDataSet>
      <sheetData sheetId="0"/>
      <sheetData sheetId="1"/>
      <sheetData sheetId="2">
        <row r="15">
          <cell r="E15">
            <v>1</v>
          </cell>
        </row>
      </sheetData>
      <sheetData sheetId="3"/>
      <sheetData sheetId="4">
        <row r="31">
          <cell r="B31">
            <v>228</v>
          </cell>
        </row>
        <row r="33">
          <cell r="B33">
            <v>0.6</v>
          </cell>
        </row>
      </sheetData>
      <sheetData sheetId="5"/>
      <sheetData sheetId="6"/>
      <sheetData sheetId="7"/>
      <sheetData sheetId="8">
        <row r="9">
          <cell r="A9" t="str">
            <v>1. Set up SMSC connections</v>
          </cell>
        </row>
        <row r="14">
          <cell r="A14" t="str">
            <v>2. Functionality to develop real-time ETC / credit balance</v>
          </cell>
        </row>
        <row r="23">
          <cell r="A23" t="str">
            <v>3. Functionality to deliver ETC / credit balance to CPS</v>
          </cell>
        </row>
        <row r="28">
          <cell r="A28" t="str">
            <v>4. MNP OSG engagement</v>
          </cell>
        </row>
        <row r="31">
          <cell r="A31" t="str">
            <v>5. Inter-operator testing</v>
          </cell>
        </row>
        <row r="34">
          <cell r="A34" t="str">
            <v>6. Training</v>
          </cell>
        </row>
        <row r="42">
          <cell r="A42" t="str">
            <v>7. Establish Small MVNO Account Management Portal</v>
          </cell>
        </row>
        <row r="50">
          <cell r="A50" t="str">
            <v xml:space="preserve">8. Input customer data into MNO / MVNE CRM portal </v>
          </cell>
        </row>
        <row r="58">
          <cell r="A58" t="str">
            <v>9. Central ported number database</v>
          </cell>
        </row>
        <row r="63">
          <cell r="A63" t="str">
            <v>10. Notify CPS once routing of porting numbers is updated to GP</v>
          </cell>
        </row>
        <row r="70">
          <cell r="A70" t="str">
            <v>11. Repatriations: Inactive ported in number identification</v>
          </cell>
        </row>
        <row r="75">
          <cell r="A75" t="str">
            <v>12. Repatriations: Re-activation of repatriated numbers onto the original customer SIM</v>
          </cell>
        </row>
        <row r="80">
          <cell r="A80" t="str">
            <v xml:space="preserve">13. Repatriations: Initiation and management of CPS processed repatriation transactions </v>
          </cell>
        </row>
        <row r="85">
          <cell r="A85" t="str">
            <v xml:space="preserve">14. Repatriations: Additional training </v>
          </cell>
        </row>
      </sheetData>
      <sheetData sheetId="9"/>
      <sheetData sheetId="10">
        <row r="9">
          <cell r="A9" t="str">
            <v>1. Confirm contract and initiate port request</v>
          </cell>
        </row>
        <row r="19">
          <cell r="A19" t="str">
            <v>2. Set up SMSC connections</v>
          </cell>
        </row>
        <row r="23">
          <cell r="A23" t="str">
            <v>3. Functionality to develop real-time ETC / credit balance</v>
          </cell>
        </row>
        <row r="32">
          <cell r="A32" t="str">
            <v>4. Functionality to deliver ETC / credit balance to CPS</v>
          </cell>
        </row>
        <row r="38">
          <cell r="A38" t="str">
            <v>5. MNP OSG engagement</v>
          </cell>
        </row>
        <row r="41">
          <cell r="A41" t="str">
            <v>6. Inter-operator testing</v>
          </cell>
        </row>
        <row r="44">
          <cell r="A44" t="str">
            <v>7. Training</v>
          </cell>
        </row>
        <row r="52">
          <cell r="A52" t="str">
            <v>8. Establish Small MVNO Account Management Portal</v>
          </cell>
        </row>
        <row r="60">
          <cell r="A60" t="str">
            <v xml:space="preserve">9. Input customer data into MNO / MVNE CRM portal </v>
          </cell>
        </row>
        <row r="68">
          <cell r="A68" t="str">
            <v>10. Central ported number database</v>
          </cell>
        </row>
        <row r="73">
          <cell r="A73" t="str">
            <v>11. Notify CPS once routing of porting numbers is updated to GP</v>
          </cell>
        </row>
        <row r="80">
          <cell r="A80" t="str">
            <v>12. Repatriations: Inactive ported in number identification</v>
          </cell>
        </row>
        <row r="85">
          <cell r="A85" t="str">
            <v>13. Repatriations: Re-activation of repatriated numbers onto the original customer SIM</v>
          </cell>
        </row>
        <row r="90">
          <cell r="A90" t="str">
            <v xml:space="preserve">14. Repatriations: Initiation and management of CPS processed repatriation transactions </v>
          </cell>
        </row>
        <row r="95">
          <cell r="A95" t="str">
            <v xml:space="preserve">15. Repatriations: Additional training </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outlinePr summaryBelow="0"/>
    <pageSetUpPr autoPageBreaks="0"/>
  </sheetPr>
  <dimension ref="A1:E50"/>
  <sheetViews>
    <sheetView showGridLines="0" tabSelected="1" defaultGridColor="0" colorId="22" zoomScaleNormal="95" zoomScaleSheetLayoutView="75" workbookViewId="0">
      <pane ySplit="2" topLeftCell="A3" activePane="bottomLeft" state="frozen"/>
      <selection pane="bottomLeft" activeCell="B28" sqref="B28"/>
    </sheetView>
  </sheetViews>
  <sheetFormatPr defaultColWidth="12.7109375" defaultRowHeight="12" x14ac:dyDescent="0.25"/>
  <cols>
    <col min="1" max="1" width="30.85546875" style="29" customWidth="1"/>
    <col min="2" max="2" width="98.42578125" style="29" customWidth="1"/>
    <col min="3" max="3" width="7.5703125" style="29" customWidth="1"/>
    <col min="4" max="4" width="18.7109375" style="29" customWidth="1"/>
    <col min="5" max="16384" width="12.7109375" style="2"/>
  </cols>
  <sheetData>
    <row r="1" spans="1:5" ht="12" customHeight="1" x14ac:dyDescent="0.4">
      <c r="C1" s="134"/>
    </row>
    <row r="2" spans="1:5" ht="42" customHeight="1" x14ac:dyDescent="0.4">
      <c r="A2" s="2"/>
      <c r="B2" s="151"/>
      <c r="C2" s="135" t="str">
        <f>B6</f>
        <v>Mobile switching: CPS costs</v>
      </c>
      <c r="D2" s="2"/>
      <c r="E2" s="136"/>
    </row>
    <row r="3" spans="1:5" ht="15" customHeight="1" x14ac:dyDescent="0.25">
      <c r="A3" s="2"/>
      <c r="B3" s="2"/>
      <c r="C3" s="2"/>
      <c r="D3" s="2"/>
    </row>
    <row r="4" spans="1:5" s="138" customFormat="1" ht="18" x14ac:dyDescent="0.25">
      <c r="A4" s="137" t="s">
        <v>112</v>
      </c>
      <c r="C4" s="2"/>
      <c r="D4" s="139"/>
    </row>
    <row r="5" spans="1:5" ht="12" customHeight="1" x14ac:dyDescent="0.25">
      <c r="A5" s="2"/>
      <c r="B5" s="2"/>
      <c r="C5" s="2"/>
      <c r="D5" s="2"/>
    </row>
    <row r="6" spans="1:5" x14ac:dyDescent="0.25">
      <c r="A6" s="140" t="s">
        <v>113</v>
      </c>
      <c r="B6" s="141" t="s">
        <v>128</v>
      </c>
      <c r="C6" s="2"/>
      <c r="D6" s="2"/>
    </row>
    <row r="7" spans="1:5" x14ac:dyDescent="0.25">
      <c r="A7" s="142"/>
      <c r="C7" s="2"/>
      <c r="D7" s="2"/>
    </row>
    <row r="8" spans="1:5" s="138" customFormat="1" x14ac:dyDescent="0.25">
      <c r="A8" s="142" t="s">
        <v>114</v>
      </c>
      <c r="B8" s="29" t="s">
        <v>115</v>
      </c>
      <c r="C8" s="2"/>
      <c r="D8" s="29"/>
    </row>
    <row r="9" spans="1:5" x14ac:dyDescent="0.25">
      <c r="A9" s="142" t="s">
        <v>116</v>
      </c>
      <c r="B9" s="29" t="s">
        <v>117</v>
      </c>
      <c r="C9" s="143"/>
      <c r="D9" s="2"/>
    </row>
    <row r="10" spans="1:5" x14ac:dyDescent="0.25">
      <c r="A10" s="142" t="s">
        <v>118</v>
      </c>
      <c r="B10" s="29" t="s">
        <v>119</v>
      </c>
      <c r="C10" s="138"/>
      <c r="D10" s="2"/>
    </row>
    <row r="11" spans="1:5" x14ac:dyDescent="0.25">
      <c r="A11" s="142"/>
      <c r="C11" s="2"/>
      <c r="D11" s="2"/>
    </row>
    <row r="12" spans="1:5" x14ac:dyDescent="0.25">
      <c r="A12" s="140" t="s">
        <v>120</v>
      </c>
      <c r="B12" s="29" t="s">
        <v>121</v>
      </c>
      <c r="C12" s="2"/>
      <c r="D12" s="2"/>
    </row>
    <row r="13" spans="1:5" x14ac:dyDescent="0.25">
      <c r="A13" s="140"/>
      <c r="C13" s="2"/>
      <c r="D13" s="2"/>
    </row>
    <row r="14" spans="1:5" x14ac:dyDescent="0.25">
      <c r="A14" s="142"/>
      <c r="B14" s="144"/>
      <c r="C14" s="2"/>
      <c r="D14" s="2"/>
    </row>
    <row r="15" spans="1:5" ht="18" x14ac:dyDescent="0.25">
      <c r="A15" s="137" t="s">
        <v>122</v>
      </c>
      <c r="B15" s="144"/>
      <c r="C15" s="2"/>
      <c r="D15" s="138"/>
    </row>
    <row r="16" spans="1:5" x14ac:dyDescent="0.25">
      <c r="A16" s="2"/>
      <c r="B16" s="2"/>
      <c r="C16" s="2"/>
      <c r="D16" s="2"/>
    </row>
    <row r="17" spans="1:4" ht="15.75" x14ac:dyDescent="0.25">
      <c r="A17" s="145" t="s">
        <v>123</v>
      </c>
      <c r="B17" s="145" t="s">
        <v>124</v>
      </c>
      <c r="C17" s="146"/>
      <c r="D17" s="145"/>
    </row>
    <row r="18" spans="1:4" ht="15.75" x14ac:dyDescent="0.25">
      <c r="A18" s="145"/>
      <c r="B18" s="145"/>
      <c r="C18" s="146"/>
      <c r="D18" s="145"/>
    </row>
    <row r="19" spans="1:4" x14ac:dyDescent="0.25">
      <c r="A19" s="29" t="s">
        <v>122</v>
      </c>
      <c r="B19" s="29" t="s">
        <v>125</v>
      </c>
    </row>
    <row r="21" spans="1:4" x14ac:dyDescent="0.25">
      <c r="A21" s="147" t="s">
        <v>126</v>
      </c>
    </row>
    <row r="22" spans="1:4" ht="14.1" customHeight="1" x14ac:dyDescent="0.25">
      <c r="A22" s="148" t="s">
        <v>100</v>
      </c>
      <c r="B22" s="149" t="s">
        <v>134</v>
      </c>
      <c r="C22" s="149"/>
      <c r="D22" s="148" t="s">
        <v>117</v>
      </c>
    </row>
    <row r="23" spans="1:4" ht="14.1" customHeight="1" x14ac:dyDescent="0.25">
      <c r="A23" s="148" t="s">
        <v>129</v>
      </c>
      <c r="B23" s="149" t="s">
        <v>135</v>
      </c>
      <c r="C23" s="149"/>
      <c r="D23" s="148" t="s">
        <v>117</v>
      </c>
    </row>
    <row r="24" spans="1:4" ht="14.1" customHeight="1" x14ac:dyDescent="0.25">
      <c r="A24" s="148" t="s">
        <v>127</v>
      </c>
      <c r="B24" s="149" t="s">
        <v>132</v>
      </c>
      <c r="C24" s="149"/>
      <c r="D24" s="148" t="s">
        <v>117</v>
      </c>
    </row>
    <row r="25" spans="1:4" ht="14.1" customHeight="1" x14ac:dyDescent="0.25">
      <c r="A25" s="148" t="s">
        <v>130</v>
      </c>
      <c r="B25" s="149" t="s">
        <v>136</v>
      </c>
      <c r="C25" s="149"/>
      <c r="D25" s="148" t="s">
        <v>117</v>
      </c>
    </row>
    <row r="26" spans="1:4" ht="14.1" customHeight="1" x14ac:dyDescent="0.25">
      <c r="A26" s="148" t="s">
        <v>59</v>
      </c>
      <c r="B26" s="149" t="s">
        <v>133</v>
      </c>
      <c r="C26" s="149"/>
      <c r="D26" s="148" t="s">
        <v>117</v>
      </c>
    </row>
    <row r="27" spans="1:4" ht="14.1" customHeight="1" x14ac:dyDescent="0.25">
      <c r="A27" s="148" t="s">
        <v>131</v>
      </c>
      <c r="B27" s="149" t="s">
        <v>137</v>
      </c>
      <c r="C27" s="149"/>
      <c r="D27" s="148" t="s">
        <v>117</v>
      </c>
    </row>
    <row r="28" spans="1:4" x14ac:dyDescent="0.25">
      <c r="B28" s="150"/>
      <c r="C28" s="150"/>
    </row>
    <row r="29" spans="1:4" x14ac:dyDescent="0.25">
      <c r="B29" s="150"/>
      <c r="C29" s="150"/>
    </row>
    <row r="30" spans="1:4" x14ac:dyDescent="0.25">
      <c r="A30" s="2"/>
      <c r="B30" s="150"/>
      <c r="C30" s="150"/>
      <c r="D30" s="2"/>
    </row>
    <row r="31" spans="1:4" x14ac:dyDescent="0.25">
      <c r="A31" s="2"/>
      <c r="B31" s="150"/>
      <c r="C31" s="150"/>
      <c r="D31" s="2"/>
    </row>
    <row r="32" spans="1:4" x14ac:dyDescent="0.25">
      <c r="A32" s="2"/>
      <c r="B32" s="150"/>
      <c r="C32" s="150"/>
      <c r="D32" s="2"/>
    </row>
    <row r="33" spans="1:4" x14ac:dyDescent="0.25">
      <c r="A33" s="2"/>
      <c r="B33" s="150"/>
      <c r="C33" s="150"/>
      <c r="D33" s="2"/>
    </row>
    <row r="34" spans="1:4" x14ac:dyDescent="0.25">
      <c r="A34" s="2"/>
      <c r="B34" s="150"/>
      <c r="C34" s="150"/>
      <c r="D34" s="2"/>
    </row>
    <row r="35" spans="1:4" x14ac:dyDescent="0.25">
      <c r="A35" s="2"/>
      <c r="B35" s="150"/>
      <c r="C35" s="150"/>
      <c r="D35" s="2"/>
    </row>
    <row r="36" spans="1:4" x14ac:dyDescent="0.25">
      <c r="A36" s="2"/>
      <c r="B36" s="150"/>
      <c r="C36" s="150"/>
      <c r="D36" s="2"/>
    </row>
    <row r="37" spans="1:4" x14ac:dyDescent="0.25">
      <c r="A37" s="2"/>
      <c r="B37" s="150"/>
      <c r="C37" s="150"/>
      <c r="D37" s="2"/>
    </row>
    <row r="38" spans="1:4" x14ac:dyDescent="0.25">
      <c r="A38" s="2"/>
      <c r="B38" s="150"/>
      <c r="C38" s="150"/>
      <c r="D38" s="2"/>
    </row>
    <row r="39" spans="1:4" x14ac:dyDescent="0.25">
      <c r="A39" s="2"/>
      <c r="B39" s="150"/>
      <c r="C39" s="150"/>
      <c r="D39" s="2"/>
    </row>
    <row r="40" spans="1:4" x14ac:dyDescent="0.25">
      <c r="A40" s="2"/>
      <c r="B40" s="150"/>
      <c r="C40" s="150"/>
      <c r="D40" s="2"/>
    </row>
    <row r="41" spans="1:4" x14ac:dyDescent="0.25">
      <c r="A41" s="2"/>
      <c r="B41" s="150"/>
      <c r="C41" s="150"/>
      <c r="D41" s="2"/>
    </row>
    <row r="42" spans="1:4" x14ac:dyDescent="0.25">
      <c r="A42" s="2"/>
      <c r="B42" s="150"/>
      <c r="C42" s="150"/>
      <c r="D42" s="2"/>
    </row>
    <row r="43" spans="1:4" x14ac:dyDescent="0.25">
      <c r="A43" s="2"/>
      <c r="B43" s="150"/>
      <c r="C43" s="150"/>
      <c r="D43" s="2"/>
    </row>
    <row r="44" spans="1:4" x14ac:dyDescent="0.25">
      <c r="A44" s="2"/>
      <c r="B44" s="150"/>
      <c r="C44" s="150"/>
      <c r="D44" s="2"/>
    </row>
    <row r="45" spans="1:4" x14ac:dyDescent="0.25">
      <c r="A45" s="2"/>
      <c r="B45" s="150"/>
      <c r="C45" s="150"/>
      <c r="D45" s="2"/>
    </row>
    <row r="46" spans="1:4" x14ac:dyDescent="0.25">
      <c r="A46" s="2"/>
      <c r="B46" s="150"/>
      <c r="C46" s="150"/>
      <c r="D46" s="2"/>
    </row>
    <row r="47" spans="1:4" x14ac:dyDescent="0.25">
      <c r="A47" s="2"/>
      <c r="B47" s="150"/>
      <c r="C47" s="150"/>
      <c r="D47" s="2"/>
    </row>
    <row r="48" spans="1:4" x14ac:dyDescent="0.25">
      <c r="A48" s="2"/>
      <c r="B48" s="150"/>
      <c r="C48" s="150"/>
      <c r="D48" s="2"/>
    </row>
    <row r="49" spans="1:4" x14ac:dyDescent="0.25">
      <c r="A49" s="2"/>
      <c r="B49" s="150"/>
      <c r="C49" s="150"/>
      <c r="D49" s="2"/>
    </row>
    <row r="50" spans="1:4" x14ac:dyDescent="0.25">
      <c r="A50" s="2"/>
      <c r="B50" s="150"/>
      <c r="C50" s="150"/>
      <c r="D50" s="2"/>
    </row>
  </sheetData>
  <dataValidations count="2">
    <dataValidation allowBlank="1" sqref="D19"/>
    <dataValidation type="list" allowBlank="1" showInputMessage="1" promptTitle="Input Parameter" prompt="Select from list" sqref="B9 D22:D27">
      <formula1>"Work in progress, Ready for review, Approved for release, Archived"</formula1>
    </dataValidation>
  </dataValidation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J19"/>
  <sheetViews>
    <sheetView showGridLines="0" zoomScale="75" zoomScaleNormal="75" workbookViewId="0">
      <selection activeCell="M16" sqref="M16"/>
    </sheetView>
  </sheetViews>
  <sheetFormatPr defaultRowHeight="12" x14ac:dyDescent="0.2"/>
  <cols>
    <col min="1" max="1" width="29.7109375" style="40" customWidth="1"/>
    <col min="2" max="2" width="48.140625" style="40" customWidth="1"/>
    <col min="3" max="3" width="17.28515625" style="40" customWidth="1"/>
    <col min="4" max="4" width="23.140625" style="40" customWidth="1"/>
    <col min="5" max="5" width="27.42578125" style="40" customWidth="1"/>
    <col min="6" max="6" width="5.140625" style="82" customWidth="1"/>
    <col min="7" max="7" width="5.28515625" style="40" customWidth="1"/>
    <col min="8" max="8" width="5.5703125" style="40" customWidth="1"/>
    <col min="9" max="9" width="5.140625" style="40" customWidth="1"/>
    <col min="10" max="10" width="11.42578125" style="40" customWidth="1"/>
    <col min="11" max="16384" width="9.140625" style="40"/>
  </cols>
  <sheetData>
    <row r="1" spans="1:10" ht="30" customHeight="1" x14ac:dyDescent="0.2">
      <c r="A1" s="79" t="s">
        <v>100</v>
      </c>
    </row>
    <row r="4" spans="1:10" x14ac:dyDescent="0.2">
      <c r="A4" s="43" t="s">
        <v>35</v>
      </c>
      <c r="B4" s="42" t="s">
        <v>51</v>
      </c>
      <c r="C4" s="42" t="s">
        <v>103</v>
      </c>
      <c r="D4" s="42" t="s">
        <v>104</v>
      </c>
      <c r="E4" s="42" t="s">
        <v>36</v>
      </c>
      <c r="F4" s="83"/>
    </row>
    <row r="5" spans="1:10" ht="43.5" customHeight="1" x14ac:dyDescent="0.2">
      <c r="A5" s="87" t="s">
        <v>57</v>
      </c>
      <c r="B5" s="48" t="str">
        <f>'Auto-PAC CPS variant'!B8</f>
        <v>Provide additional central CPS functionality to support the centralised SMS PAC provision approach and interworking</v>
      </c>
      <c r="C5" s="41">
        <f>SUM('Auto-PAC CPS variant'!J8:J24)</f>
        <v>906135.96491228056</v>
      </c>
      <c r="D5" s="41">
        <f>SUM('Auto-PAC CPS variant'!L8:L24)</f>
        <v>159500</v>
      </c>
      <c r="E5" s="41">
        <f>C5+(D5*10)</f>
        <v>2501135.9649122804</v>
      </c>
      <c r="F5" s="84"/>
    </row>
    <row r="6" spans="1:10" ht="37.5" customHeight="1" x14ac:dyDescent="0.2">
      <c r="A6" s="87"/>
      <c r="B6" s="48" t="str">
        <f>'Auto-PAC CPS variant'!B25</f>
        <v xml:space="preserve">Develop, set-up &amp; configure Central Ported Number Database </v>
      </c>
      <c r="C6" s="41">
        <f>SUM('Auto-PAC CPS variant'!J25:J40)</f>
        <v>350899.12280701753</v>
      </c>
      <c r="D6" s="41">
        <f>SUM('Auto-PAC CPS variant'!L25:L40)</f>
        <v>60250</v>
      </c>
      <c r="E6" s="41">
        <f t="shared" ref="E6:E11" si="0">C6+(D6*10)</f>
        <v>953399.12280701753</v>
      </c>
      <c r="F6" s="84"/>
    </row>
    <row r="7" spans="1:10" ht="36.75" customHeight="1" x14ac:dyDescent="0.2">
      <c r="A7" s="87"/>
      <c r="B7" s="48" t="str">
        <f>'Auto-PAC CPS variant'!B41</f>
        <v>Functionality to obtain switching information from LPs, and deliver with PAC to switchers</v>
      </c>
      <c r="C7" s="41">
        <f>SUM('Auto-PAC CPS variant'!J41:J55)</f>
        <v>472956.14035087719</v>
      </c>
      <c r="D7" s="41">
        <f>SUM('Auto-PAC CPS variant'!L41:L55)</f>
        <v>84000</v>
      </c>
      <c r="E7" s="41">
        <f t="shared" si="0"/>
        <v>1312956.1403508773</v>
      </c>
      <c r="F7" s="84"/>
    </row>
    <row r="8" spans="1:10" ht="24.95" customHeight="1" x14ac:dyDescent="0.2">
      <c r="A8" s="87"/>
      <c r="B8" s="76" t="s">
        <v>37</v>
      </c>
      <c r="C8" s="77">
        <f>SUM(C5:C7)</f>
        <v>1729991.2280701753</v>
      </c>
      <c r="D8" s="77">
        <f t="shared" ref="D8:E8" si="1">SUM(D5:D7)</f>
        <v>303750</v>
      </c>
      <c r="E8" s="77">
        <f t="shared" si="1"/>
        <v>4767491.2280701753</v>
      </c>
      <c r="F8" s="85"/>
      <c r="G8" s="40" t="str">
        <f>IF(C8=SUM('Auto-PAC CPS variant'!J8:J55),"Yes","No")</f>
        <v>Yes</v>
      </c>
      <c r="H8" s="40" t="str">
        <f>IF(D8=SUM('Auto-PAC CPS variant'!L8:L55),"Yes","No")</f>
        <v>Yes</v>
      </c>
      <c r="I8" s="40" t="str">
        <f>IF(E8=(C8+(10*D8)),"Yes","No")</f>
        <v>Yes</v>
      </c>
      <c r="J8" s="80" t="s">
        <v>105</v>
      </c>
    </row>
    <row r="9" spans="1:10" ht="24.95" customHeight="1" x14ac:dyDescent="0.2">
      <c r="A9" s="52"/>
      <c r="B9" s="49"/>
      <c r="C9" s="50"/>
      <c r="D9" s="50"/>
      <c r="E9" s="50"/>
      <c r="F9" s="81"/>
      <c r="G9" s="51"/>
    </row>
    <row r="10" spans="1:10" ht="83.25" customHeight="1" x14ac:dyDescent="0.2">
      <c r="A10" s="88" t="s">
        <v>101</v>
      </c>
      <c r="B10" s="48" t="str">
        <f>'E-2-E Mgmt with Auto-PAC CPS '!B8</f>
        <v>Set up and integrate SMSC functionality into the existing CPS platform
Software development to streamline and automate the co-ordination of the porting execution process between Gaining / Losing Providers and block operators</v>
      </c>
      <c r="C10" s="41">
        <f>SUM('E-2-E Mgmt with Auto-PAC CPS '!J8:J29)</f>
        <v>941592.10526315786</v>
      </c>
      <c r="D10" s="41">
        <f>SUM('E-2-E Mgmt with Auto-PAC CPS '!L8:L29)</f>
        <v>160600</v>
      </c>
      <c r="E10" s="41">
        <f t="shared" si="0"/>
        <v>2547592.1052631577</v>
      </c>
      <c r="F10" s="84"/>
    </row>
    <row r="11" spans="1:10" ht="24.95" customHeight="1" x14ac:dyDescent="0.2">
      <c r="A11" s="88"/>
      <c r="B11" s="76" t="s">
        <v>37</v>
      </c>
      <c r="C11" s="77">
        <f>C10</f>
        <v>941592.10526315786</v>
      </c>
      <c r="D11" s="77">
        <f>D10</f>
        <v>160600</v>
      </c>
      <c r="E11" s="77">
        <f t="shared" si="0"/>
        <v>2547592.1052631577</v>
      </c>
      <c r="F11" s="85"/>
      <c r="G11" s="40" t="str">
        <f>IF(C11=SUM('E-2-E Mgmt with Auto-PAC CPS '!J8:J29),"Yes","No")</f>
        <v>Yes</v>
      </c>
      <c r="H11" s="40" t="str">
        <f>IF(D11=SUM('E-2-E Mgmt with Auto-PAC CPS '!L8:L29),"Yes","No")</f>
        <v>Yes</v>
      </c>
      <c r="I11" s="40" t="str">
        <f>IF(E11=(C11+(10*D11)),"Yes","No")</f>
        <v>Yes</v>
      </c>
      <c r="J11" s="80" t="s">
        <v>105</v>
      </c>
    </row>
    <row r="12" spans="1:10" ht="23.25" customHeight="1" x14ac:dyDescent="0.2"/>
    <row r="13" spans="1:10" ht="36" x14ac:dyDescent="0.2">
      <c r="A13" s="87" t="s">
        <v>59</v>
      </c>
      <c r="B13" s="48" t="str">
        <f>GPL!B8</f>
        <v xml:space="preserve">Provide additional central CPS functionality to support the GPL provisioning approach and interworking (including SMS functionality) </v>
      </c>
      <c r="C13" s="41">
        <f>SUM(GPL!J8:J28)</f>
        <v>1179710.5263157894</v>
      </c>
      <c r="D13" s="41">
        <f>SUM(GPL!L8:L28)</f>
        <v>208250</v>
      </c>
      <c r="E13" s="41">
        <f>C13+(D13*10)</f>
        <v>3262210.5263157897</v>
      </c>
      <c r="F13" s="84"/>
    </row>
    <row r="14" spans="1:10" ht="37.5" customHeight="1" x14ac:dyDescent="0.2">
      <c r="A14" s="87"/>
      <c r="B14" s="48" t="str">
        <f>GPL!B29</f>
        <v xml:space="preserve">Develop, set-up &amp; configure Central Ported Number Database </v>
      </c>
      <c r="C14" s="41">
        <f>SUM(GPL!J29:J44)</f>
        <v>350899.12280701753</v>
      </c>
      <c r="D14" s="41">
        <f>SUM(GPL!L29:L44)</f>
        <v>60250</v>
      </c>
      <c r="E14" s="41">
        <f t="shared" ref="E14:E15" si="2">C14+(D14*10)</f>
        <v>953399.12280701753</v>
      </c>
      <c r="F14" s="84"/>
    </row>
    <row r="15" spans="1:10" ht="36.75" customHeight="1" x14ac:dyDescent="0.2">
      <c r="A15" s="87"/>
      <c r="B15" s="48" t="str">
        <f>GPL!B45</f>
        <v>Functionality to obtain switching information from LPs, and deliver on SMS to switchers</v>
      </c>
      <c r="C15" s="41">
        <f>SUM(GPL!J45:J59)</f>
        <v>495456.14035087719</v>
      </c>
      <c r="D15" s="41">
        <f>SUM(GPL!L45:L59)</f>
        <v>88500</v>
      </c>
      <c r="E15" s="41">
        <f t="shared" si="2"/>
        <v>1380456.1403508773</v>
      </c>
      <c r="F15" s="84"/>
    </row>
    <row r="16" spans="1:10" ht="24.95" customHeight="1" x14ac:dyDescent="0.2">
      <c r="A16" s="87"/>
      <c r="B16" s="76" t="s">
        <v>37</v>
      </c>
      <c r="C16" s="77">
        <f>SUM(C13:C15)</f>
        <v>2026065.789473684</v>
      </c>
      <c r="D16" s="77">
        <f t="shared" ref="D16:E16" si="3">SUM(D13:D15)</f>
        <v>357000</v>
      </c>
      <c r="E16" s="77">
        <f t="shared" si="3"/>
        <v>5596065.7894736845</v>
      </c>
      <c r="F16" s="85"/>
      <c r="G16" s="40" t="str">
        <f>IF(C16=SUM(GPL!J8:J59),"Yes","No")</f>
        <v>Yes</v>
      </c>
      <c r="H16" s="40" t="str">
        <f>IF(D16=SUM(GPL!L8:L59),"Yes","No")</f>
        <v>Yes</v>
      </c>
      <c r="I16" s="40" t="str">
        <f>IF(E16=(C16+(10*D16)),"Yes","No")</f>
        <v>Yes</v>
      </c>
      <c r="J16" s="80" t="s">
        <v>105</v>
      </c>
    </row>
    <row r="17" spans="1:10" ht="24.95" customHeight="1" x14ac:dyDescent="0.2">
      <c r="A17" s="52"/>
      <c r="B17" s="49"/>
      <c r="C17" s="50"/>
      <c r="D17" s="50"/>
      <c r="E17" s="50"/>
      <c r="F17" s="81"/>
      <c r="G17" s="51"/>
    </row>
    <row r="18" spans="1:10" ht="83.25" customHeight="1" x14ac:dyDescent="0.2">
      <c r="A18" s="88" t="s">
        <v>102</v>
      </c>
      <c r="B18" s="48" t="str">
        <f>'E-2-E Mgmt with GPL'!B8</f>
        <v>Set up and integrate SMSC functionality into the existing CPS platform
Software development to streamline and automate the co-ordination of the porting execution process between Gaining / Losing Providers and block operators</v>
      </c>
      <c r="C18" s="41">
        <f>SUM('E-2-E Mgmt with GPL'!J8:J29)</f>
        <v>686767.5438596491</v>
      </c>
      <c r="D18" s="41">
        <f>SUM('E-2-E Mgmt with GPL'!L8:L29)</f>
        <v>115600</v>
      </c>
      <c r="E18" s="41">
        <f t="shared" ref="E18:E19" si="4">C18+(D18*10)</f>
        <v>1842767.543859649</v>
      </c>
      <c r="F18" s="84"/>
    </row>
    <row r="19" spans="1:10" ht="24.95" customHeight="1" x14ac:dyDescent="0.2">
      <c r="A19" s="88"/>
      <c r="B19" s="76" t="s">
        <v>37</v>
      </c>
      <c r="C19" s="77">
        <f>C18</f>
        <v>686767.5438596491</v>
      </c>
      <c r="D19" s="77">
        <f>D18</f>
        <v>115600</v>
      </c>
      <c r="E19" s="77">
        <f t="shared" si="4"/>
        <v>1842767.543859649</v>
      </c>
      <c r="F19" s="85"/>
      <c r="G19" s="40" t="str">
        <f>IF(C19=SUM('E-2-E Mgmt with GPL'!J8:J29),"Yes","No")</f>
        <v>Yes</v>
      </c>
      <c r="H19" s="40" t="str">
        <f>IF(D19=SUM('E-2-E Mgmt with GPL'!L8:L29),"Yes","No")</f>
        <v>Yes</v>
      </c>
      <c r="I19" s="40" t="str">
        <f>IF(E19=(C19+(10*D19)),"Yes","No")</f>
        <v>Yes</v>
      </c>
      <c r="J19" s="80" t="s">
        <v>105</v>
      </c>
    </row>
  </sheetData>
  <mergeCells count="4">
    <mergeCell ref="A5:A8"/>
    <mergeCell ref="A10:A11"/>
    <mergeCell ref="A13:A16"/>
    <mergeCell ref="A18:A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J30"/>
  <sheetViews>
    <sheetView showGridLines="0" workbookViewId="0">
      <selection activeCell="A16" sqref="A16"/>
    </sheetView>
  </sheetViews>
  <sheetFormatPr defaultRowHeight="12" x14ac:dyDescent="0.25"/>
  <cols>
    <col min="1" max="1" width="33.140625" style="2" customWidth="1"/>
    <col min="2" max="2" width="17.85546875" style="2" customWidth="1"/>
    <col min="3" max="4" width="9.140625" style="2"/>
    <col min="5" max="5" width="33.140625" style="2" customWidth="1"/>
    <col min="6" max="6" width="16.85546875" style="2" customWidth="1"/>
    <col min="7" max="16384" width="9.140625" style="2"/>
  </cols>
  <sheetData>
    <row r="1" spans="1:6" ht="26.25" customHeight="1" x14ac:dyDescent="0.25">
      <c r="A1" s="1" t="s">
        <v>18</v>
      </c>
    </row>
    <row r="2" spans="1:6" ht="15.75" customHeight="1" x14ac:dyDescent="0.25">
      <c r="A2" s="3"/>
    </row>
    <row r="3" spans="1:6" ht="15" customHeight="1" x14ac:dyDescent="0.25">
      <c r="A3" s="57"/>
      <c r="B3" s="57"/>
      <c r="C3" s="57"/>
      <c r="D3" s="57"/>
      <c r="E3" s="57"/>
      <c r="F3" s="57"/>
    </row>
    <row r="5" spans="1:6" x14ac:dyDescent="0.25">
      <c r="A5" s="5" t="s">
        <v>40</v>
      </c>
      <c r="B5" s="5" t="s">
        <v>49</v>
      </c>
    </row>
    <row r="6" spans="1:6" x14ac:dyDescent="0.25">
      <c r="A6" s="6" t="s">
        <v>99</v>
      </c>
      <c r="B6" s="7">
        <v>55000</v>
      </c>
    </row>
    <row r="7" spans="1:6" x14ac:dyDescent="0.25">
      <c r="A7" s="6" t="s">
        <v>1</v>
      </c>
      <c r="B7" s="7">
        <v>45000</v>
      </c>
      <c r="C7" s="92"/>
      <c r="D7" s="93"/>
      <c r="E7" s="93"/>
      <c r="F7" s="93"/>
    </row>
    <row r="8" spans="1:6" x14ac:dyDescent="0.25">
      <c r="A8" s="6"/>
      <c r="B8" s="54"/>
      <c r="C8" s="53"/>
      <c r="D8" s="53"/>
      <c r="E8" s="53"/>
      <c r="F8" s="53"/>
    </row>
    <row r="9" spans="1:6" s="70" customFormat="1" x14ac:dyDescent="0.25">
      <c r="A9" s="69" t="s">
        <v>77</v>
      </c>
      <c r="B9" s="69" t="s">
        <v>78</v>
      </c>
    </row>
    <row r="10" spans="1:6" s="70" customFormat="1" ht="12" customHeight="1" x14ac:dyDescent="0.25">
      <c r="A10" s="63" t="s">
        <v>72</v>
      </c>
      <c r="B10" s="64">
        <v>750</v>
      </c>
      <c r="C10" s="90" t="s">
        <v>107</v>
      </c>
      <c r="D10" s="91"/>
      <c r="E10" s="91"/>
    </row>
    <row r="12" spans="1:6" x14ac:dyDescent="0.25">
      <c r="A12" s="5" t="s">
        <v>41</v>
      </c>
      <c r="B12" s="5" t="s">
        <v>49</v>
      </c>
    </row>
    <row r="13" spans="1:6" x14ac:dyDescent="0.25">
      <c r="A13" s="46" t="s">
        <v>44</v>
      </c>
      <c r="B13" s="47">
        <v>60000</v>
      </c>
      <c r="C13" s="89"/>
      <c r="D13" s="89"/>
      <c r="E13" s="89"/>
      <c r="F13" s="89"/>
    </row>
    <row r="14" spans="1:6" x14ac:dyDescent="0.25">
      <c r="A14" s="6" t="s">
        <v>42</v>
      </c>
      <c r="B14" s="7">
        <v>75000</v>
      </c>
      <c r="C14" s="89"/>
      <c r="D14" s="89"/>
      <c r="E14" s="89"/>
      <c r="F14" s="89"/>
    </row>
    <row r="15" spans="1:6" x14ac:dyDescent="0.25">
      <c r="A15" s="6" t="s">
        <v>43</v>
      </c>
      <c r="B15" s="7">
        <v>85000</v>
      </c>
      <c r="C15" s="89"/>
      <c r="D15" s="89"/>
      <c r="E15" s="89"/>
      <c r="F15" s="89"/>
    </row>
    <row r="16" spans="1:6" x14ac:dyDescent="0.25">
      <c r="A16" s="6"/>
      <c r="B16" s="54"/>
      <c r="C16" s="53"/>
      <c r="D16" s="53"/>
      <c r="E16" s="53"/>
      <c r="F16" s="53"/>
    </row>
    <row r="18" spans="1:10" x14ac:dyDescent="0.25">
      <c r="A18" s="5" t="s">
        <v>14</v>
      </c>
      <c r="B18" s="5" t="s">
        <v>17</v>
      </c>
    </row>
    <row r="19" spans="1:10" x14ac:dyDescent="0.25">
      <c r="A19" s="6" t="s">
        <v>50</v>
      </c>
      <c r="B19" s="7">
        <f>100000</f>
        <v>100000</v>
      </c>
    </row>
    <row r="20" spans="1:10" x14ac:dyDescent="0.25">
      <c r="A20" s="6" t="s">
        <v>53</v>
      </c>
      <c r="B20" s="7">
        <v>75000</v>
      </c>
    </row>
    <row r="21" spans="1:10" x14ac:dyDescent="0.25">
      <c r="A21" s="6" t="s">
        <v>15</v>
      </c>
      <c r="B21" s="7">
        <f>100000</f>
        <v>100000</v>
      </c>
    </row>
    <row r="22" spans="1:10" x14ac:dyDescent="0.25">
      <c r="A22" s="6" t="s">
        <v>16</v>
      </c>
      <c r="B22" s="7">
        <f>50000</f>
        <v>50000</v>
      </c>
    </row>
    <row r="23" spans="1:10" x14ac:dyDescent="0.25">
      <c r="A23" s="6"/>
      <c r="B23" s="54"/>
    </row>
    <row r="25" spans="1:10" x14ac:dyDescent="0.25">
      <c r="A25" s="45" t="s">
        <v>2</v>
      </c>
    </row>
    <row r="26" spans="1:10" x14ac:dyDescent="0.25">
      <c r="A26" s="6" t="s">
        <v>3</v>
      </c>
      <c r="B26" s="9">
        <v>228</v>
      </c>
    </row>
    <row r="27" spans="1:10" x14ac:dyDescent="0.25">
      <c r="A27" s="6" t="s">
        <v>4</v>
      </c>
      <c r="B27" s="9">
        <v>8</v>
      </c>
    </row>
    <row r="28" spans="1:10" x14ac:dyDescent="0.25">
      <c r="A28" s="6" t="s">
        <v>5</v>
      </c>
      <c r="B28" s="10">
        <f>0.6</f>
        <v>0.6</v>
      </c>
      <c r="C28" s="3" t="s">
        <v>6</v>
      </c>
    </row>
    <row r="29" spans="1:10" ht="12" customHeight="1" x14ac:dyDescent="0.25">
      <c r="A29" s="8" t="s">
        <v>109</v>
      </c>
      <c r="B29" s="78">
        <v>0.2</v>
      </c>
      <c r="C29" s="55"/>
      <c r="D29" s="55"/>
      <c r="E29" s="55"/>
      <c r="F29" s="55"/>
      <c r="G29" s="55"/>
      <c r="H29" s="55"/>
      <c r="I29" s="55"/>
      <c r="J29" s="55"/>
    </row>
    <row r="30" spans="1:10" x14ac:dyDescent="0.25">
      <c r="C30" s="55"/>
      <c r="D30" s="55"/>
      <c r="E30" s="55"/>
      <c r="F30" s="55"/>
      <c r="G30" s="55"/>
      <c r="H30" s="55"/>
      <c r="I30" s="55"/>
      <c r="J30" s="55"/>
    </row>
  </sheetData>
  <mergeCells count="5">
    <mergeCell ref="C15:F15"/>
    <mergeCell ref="C13:F13"/>
    <mergeCell ref="C14:F14"/>
    <mergeCell ref="C10:E10"/>
    <mergeCell ref="C7:F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2:N56"/>
  <sheetViews>
    <sheetView showGridLines="0" topLeftCell="A31" zoomScale="75" zoomScaleNormal="75" workbookViewId="0">
      <selection activeCell="D60" sqref="D60"/>
    </sheetView>
  </sheetViews>
  <sheetFormatPr defaultRowHeight="12" x14ac:dyDescent="0.25"/>
  <cols>
    <col min="1" max="1" width="10.140625" style="2" customWidth="1"/>
    <col min="2" max="2" width="34.28515625" style="2" customWidth="1"/>
    <col min="3" max="3" width="15.85546875" style="2" customWidth="1"/>
    <col min="4" max="4" width="6.7109375" style="4" customWidth="1"/>
    <col min="5" max="5" width="114.140625" style="19" customWidth="1"/>
    <col min="6" max="6" width="26.7109375" style="2" customWidth="1"/>
    <col min="7" max="7" width="28" style="15" customWidth="1"/>
    <col min="8" max="8" width="21.28515625" style="2" customWidth="1"/>
    <col min="9" max="11" width="24.28515625" style="15" customWidth="1"/>
    <col min="12" max="12" width="18" style="14" customWidth="1"/>
    <col min="13" max="13" width="9.85546875" style="2" bestFit="1" customWidth="1"/>
    <col min="14" max="16384" width="9.140625" style="2"/>
  </cols>
  <sheetData>
    <row r="2" spans="1:13" ht="26.25" x14ac:dyDescent="0.25">
      <c r="A2" s="59" t="s">
        <v>57</v>
      </c>
      <c r="B2" s="11"/>
      <c r="C2" s="11"/>
      <c r="E2" s="29"/>
      <c r="F2" s="11"/>
      <c r="G2" s="12"/>
      <c r="H2" s="11"/>
      <c r="I2" s="13"/>
      <c r="J2" s="13"/>
      <c r="K2" s="13"/>
    </row>
    <row r="3" spans="1:13" ht="12.75" customHeight="1" x14ac:dyDescent="0.25">
      <c r="A3" s="11"/>
      <c r="B3" s="11"/>
      <c r="C3" s="11"/>
      <c r="E3" s="29"/>
      <c r="F3" s="11"/>
      <c r="G3" s="12"/>
      <c r="H3" s="11"/>
      <c r="I3" s="13"/>
      <c r="J3" s="13"/>
      <c r="K3" s="13"/>
    </row>
    <row r="4" spans="1:13" ht="12.75" x14ac:dyDescent="0.25">
      <c r="A4" s="56" t="s">
        <v>69</v>
      </c>
    </row>
    <row r="5" spans="1:13" x14ac:dyDescent="0.25">
      <c r="A5" s="3"/>
    </row>
    <row r="6" spans="1:13" ht="15" customHeight="1" x14ac:dyDescent="0.25">
      <c r="F6" s="119" t="s">
        <v>19</v>
      </c>
      <c r="G6" s="120"/>
      <c r="H6" s="120"/>
      <c r="I6" s="120"/>
      <c r="J6" s="121"/>
      <c r="K6" s="110" t="s">
        <v>21</v>
      </c>
      <c r="L6" s="111"/>
    </row>
    <row r="7" spans="1:13" s="19" customFormat="1" ht="29.25" customHeight="1" x14ac:dyDescent="0.25">
      <c r="A7" s="107" t="s">
        <v>7</v>
      </c>
      <c r="B7" s="108"/>
      <c r="C7" s="109"/>
      <c r="D7" s="107" t="s">
        <v>26</v>
      </c>
      <c r="E7" s="109"/>
      <c r="F7" s="24" t="s">
        <v>23</v>
      </c>
      <c r="G7" s="33" t="s">
        <v>25</v>
      </c>
      <c r="H7" s="36" t="s">
        <v>8</v>
      </c>
      <c r="I7" s="37" t="s">
        <v>9</v>
      </c>
      <c r="J7" s="17" t="s">
        <v>20</v>
      </c>
      <c r="K7" s="17" t="s">
        <v>31</v>
      </c>
      <c r="L7" s="25" t="s">
        <v>22</v>
      </c>
    </row>
    <row r="8" spans="1:13" s="19" customFormat="1" ht="24" customHeight="1" x14ac:dyDescent="0.25">
      <c r="A8" s="97">
        <v>1</v>
      </c>
      <c r="B8" s="94" t="s">
        <v>110</v>
      </c>
      <c r="C8" s="94" t="s">
        <v>55</v>
      </c>
      <c r="D8" s="18">
        <v>1.1000000000000001</v>
      </c>
      <c r="E8" s="30" t="s">
        <v>10</v>
      </c>
      <c r="F8" s="26" t="s">
        <v>79</v>
      </c>
      <c r="G8" s="34" t="s">
        <v>72</v>
      </c>
      <c r="H8" s="67">
        <f>IF(F8="External",(INDEX(Inputs!$B$10:$B$10,MATCH(G8,Inputs!$A$10:$A$10,0))),IF(F8="Project management",((INDEX(Inputs!$B$13:$B$15,MATCH(G8,Inputs!$A$13:$A$15,0)))/Inputs!$B$26*(1+Inputs!$B$28)),IF(G8="Training team",Inputs!$B$7/Inputs!$B$26*(1+Inputs!$B$28),IF(G8="IT System Admin",Inputs!$B$6/Inputs!$B$26*(1+Inputs!$B$28),INDEX(Inputs!$B$19:$B$22,MATCH(G8,Inputs!$A$19:$A$22,0))))))</f>
        <v>750</v>
      </c>
      <c r="I8" s="38">
        <v>20</v>
      </c>
      <c r="J8" s="44">
        <f>IF(F8="Hardware / software licence",H8,H8*I8)</f>
        <v>15000</v>
      </c>
      <c r="K8" s="35" t="s">
        <v>34</v>
      </c>
      <c r="L8" s="20">
        <f>IF(K8="Yes",J8*Inputs!$B$29,0)</f>
        <v>0</v>
      </c>
      <c r="M8" s="16"/>
    </row>
    <row r="9" spans="1:13" s="19" customFormat="1" ht="24" customHeight="1" x14ac:dyDescent="0.25">
      <c r="A9" s="98"/>
      <c r="B9" s="95"/>
      <c r="C9" s="95"/>
      <c r="D9" s="94">
        <v>1.2000000000000002</v>
      </c>
      <c r="E9" s="113" t="s">
        <v>11</v>
      </c>
      <c r="F9" s="65" t="s">
        <v>79</v>
      </c>
      <c r="G9" s="66" t="s">
        <v>72</v>
      </c>
      <c r="H9" s="67">
        <f>IF(F9="External",(INDEX(Inputs!$B$10:$B$10,MATCH(G9,Inputs!$A$10:$A$10,0))),IF(F9="Project management",((INDEX(Inputs!$B$13:$B$15,MATCH(G9,Inputs!$A$13:$A$15,0)))/Inputs!$B$26*(1+Inputs!$B$28)),IF(G9="Training team",Inputs!$B$7/Inputs!$B$26*(1+Inputs!$B$28),IF(G9="IT System Admin",Inputs!$B$6/Inputs!$B$26*(1+Inputs!$B$28),INDEX(Inputs!$B$19:$B$22,MATCH(G9,Inputs!$A$19:$A$22,0))))))</f>
        <v>750</v>
      </c>
      <c r="I9" s="38">
        <v>40</v>
      </c>
      <c r="J9" s="68">
        <f t="shared" ref="J9:J55" si="0">IF(F9="Hardware / software licence",H9,H9*I9)</f>
        <v>30000</v>
      </c>
      <c r="K9" s="35" t="s">
        <v>39</v>
      </c>
      <c r="L9" s="20">
        <f>IF(K9="Yes",J9*Inputs!$B$29,0)</f>
        <v>6000</v>
      </c>
      <c r="M9" s="16"/>
    </row>
    <row r="10" spans="1:13" s="19" customFormat="1" ht="24" customHeight="1" x14ac:dyDescent="0.25">
      <c r="A10" s="98"/>
      <c r="B10" s="95"/>
      <c r="C10" s="95"/>
      <c r="D10" s="95"/>
      <c r="E10" s="114"/>
      <c r="F10" s="26" t="s">
        <v>14</v>
      </c>
      <c r="G10" s="34" t="s">
        <v>50</v>
      </c>
      <c r="H10" s="67">
        <f>IF(F10="External",(INDEX(Inputs!$B$10:$B$10,MATCH(G10,Inputs!$A$10:$A$10,0))),IF(F10="Project management",((INDEX(Inputs!$B$13:$B$15,MATCH(G10,Inputs!$A$13:$A$15,0)))/Inputs!$B$26*(1+Inputs!$B$28)),IF(G10="Training team",Inputs!$B$7/Inputs!$B$26*(1+Inputs!$B$28),IF(G10="IT System Admin",Inputs!$B$6/Inputs!$B$26*(1+Inputs!$B$28),INDEX(Inputs!$B$19:$B$22,MATCH(G10,Inputs!$A$19:$A$22,0))))))</f>
        <v>100000</v>
      </c>
      <c r="I10" s="38">
        <v>0</v>
      </c>
      <c r="J10" s="68">
        <f t="shared" si="0"/>
        <v>100000</v>
      </c>
      <c r="K10" s="35" t="s">
        <v>39</v>
      </c>
      <c r="L10" s="20">
        <f>IF(K10="Yes",J10*Inputs!$B$29,0)</f>
        <v>20000</v>
      </c>
      <c r="M10" s="16"/>
    </row>
    <row r="11" spans="1:13" s="19" customFormat="1" ht="24" customHeight="1" x14ac:dyDescent="0.25">
      <c r="A11" s="98"/>
      <c r="B11" s="95"/>
      <c r="C11" s="95"/>
      <c r="D11" s="96"/>
      <c r="E11" s="115"/>
      <c r="F11" s="26" t="s">
        <v>45</v>
      </c>
      <c r="G11" s="34" t="s">
        <v>42</v>
      </c>
      <c r="H11" s="67">
        <f>IF(F11="External",(INDEX(Inputs!$B$10:$B$10,MATCH(G11,Inputs!$A$10:$A$10,0))),IF(F11="Project management",((INDEX(Inputs!$B$13:$B$15,MATCH(G11,Inputs!$A$13:$A$15,0)))/Inputs!$B$26*(1+Inputs!$B$28)),IF(G11="Training team",Inputs!$B$7/Inputs!$B$26*(1+Inputs!$B$28),IF(G11="IT System Admin",Inputs!$B$6/Inputs!$B$26*(1+Inputs!$B$28),INDEX(Inputs!$B$19:$B$22,MATCH(G11,Inputs!$A$19:$A$22,0))))))</f>
        <v>526.31578947368428</v>
      </c>
      <c r="I11" s="38">
        <v>5</v>
      </c>
      <c r="J11" s="68">
        <f t="shared" si="0"/>
        <v>2631.5789473684213</v>
      </c>
      <c r="K11" s="35" t="s">
        <v>34</v>
      </c>
      <c r="L11" s="20">
        <f>IF(K11="Yes",J11*Inputs!$B$29,0)</f>
        <v>0</v>
      </c>
      <c r="M11" s="16"/>
    </row>
    <row r="12" spans="1:13" s="19" customFormat="1" ht="24" customHeight="1" x14ac:dyDescent="0.25">
      <c r="A12" s="98"/>
      <c r="B12" s="95"/>
      <c r="C12" s="95"/>
      <c r="D12" s="103">
        <v>1.3</v>
      </c>
      <c r="E12" s="116" t="s">
        <v>65</v>
      </c>
      <c r="F12" s="65" t="s">
        <v>79</v>
      </c>
      <c r="G12" s="66" t="s">
        <v>72</v>
      </c>
      <c r="H12" s="67">
        <f>IF(F12="External",(INDEX(Inputs!$B$10:$B$10,MATCH(G12,Inputs!$A$10:$A$10,0))),IF(F12="Project management",((INDEX(Inputs!$B$13:$B$15,MATCH(G12,Inputs!$A$13:$A$15,0)))/Inputs!$B$26*(1+Inputs!$B$28)),IF(G12="Training team",Inputs!$B$7/Inputs!$B$26*(1+Inputs!$B$28),IF(G12="IT System Admin",Inputs!$B$6/Inputs!$B$26*(1+Inputs!$B$28),INDEX(Inputs!$B$19:$B$22,MATCH(G12,Inputs!$A$19:$A$22,0))))))</f>
        <v>750</v>
      </c>
      <c r="I12" s="38">
        <v>250</v>
      </c>
      <c r="J12" s="68">
        <f t="shared" si="0"/>
        <v>187500</v>
      </c>
      <c r="K12" s="35" t="s">
        <v>39</v>
      </c>
      <c r="L12" s="20">
        <f>IF(K12="Yes",J12*Inputs!$B$29,0)</f>
        <v>37500</v>
      </c>
      <c r="M12" s="16"/>
    </row>
    <row r="13" spans="1:13" s="19" customFormat="1" ht="24" customHeight="1" x14ac:dyDescent="0.25">
      <c r="A13" s="98"/>
      <c r="B13" s="95"/>
      <c r="C13" s="95"/>
      <c r="D13" s="112"/>
      <c r="E13" s="117"/>
      <c r="F13" s="26" t="s">
        <v>14</v>
      </c>
      <c r="G13" s="34" t="s">
        <v>53</v>
      </c>
      <c r="H13" s="67">
        <f>IF(F13="External",(INDEX(Inputs!$B$10:$B$10,MATCH(G13,Inputs!$A$10:$A$10,0))),IF(F13="Project management",((INDEX(Inputs!$B$13:$B$15,MATCH(G13,Inputs!$A$13:$A$15,0)))/Inputs!$B$26*(1+Inputs!$B$28)),IF(G13="Training team",Inputs!$B$7/Inputs!$B$26*(1+Inputs!$B$28),IF(G13="IT System Admin",Inputs!$B$6/Inputs!$B$26*(1+Inputs!$B$28),INDEX(Inputs!$B$19:$B$22,MATCH(G13,Inputs!$A$19:$A$22,0))))))</f>
        <v>75000</v>
      </c>
      <c r="I13" s="38">
        <v>0</v>
      </c>
      <c r="J13" s="68">
        <f t="shared" si="0"/>
        <v>75000</v>
      </c>
      <c r="K13" s="35" t="s">
        <v>39</v>
      </c>
      <c r="L13" s="20">
        <f>IF(K13="Yes",J13*Inputs!$B$29,0)</f>
        <v>15000</v>
      </c>
      <c r="M13" s="16"/>
    </row>
    <row r="14" spans="1:13" s="19" customFormat="1" ht="24" customHeight="1" x14ac:dyDescent="0.25">
      <c r="A14" s="98"/>
      <c r="B14" s="95"/>
      <c r="C14" s="95"/>
      <c r="D14" s="104"/>
      <c r="E14" s="118"/>
      <c r="F14" s="26" t="s">
        <v>45</v>
      </c>
      <c r="G14" s="34" t="s">
        <v>43</v>
      </c>
      <c r="H14" s="67">
        <f>IF(F14="External",(INDEX(Inputs!$B$10:$B$10,MATCH(G14,Inputs!$A$10:$A$10,0))),IF(F14="Project management",((INDEX(Inputs!$B$13:$B$15,MATCH(G14,Inputs!$A$13:$A$15,0)))/Inputs!$B$26*(1+Inputs!$B$28)),IF(G14="Training team",Inputs!$B$7/Inputs!$B$26*(1+Inputs!$B$28),IF(G14="IT System Admin",Inputs!$B$6/Inputs!$B$26*(1+Inputs!$B$28),INDEX(Inputs!$B$19:$B$22,MATCH(G14,Inputs!$A$19:$A$22,0))))))</f>
        <v>596.49122807017545</v>
      </c>
      <c r="I14" s="38">
        <v>30</v>
      </c>
      <c r="J14" s="68">
        <f t="shared" si="0"/>
        <v>17894.736842105263</v>
      </c>
      <c r="K14" s="35" t="s">
        <v>34</v>
      </c>
      <c r="L14" s="20">
        <f>IF(K14="Yes",J14*Inputs!$B$29,0)</f>
        <v>0</v>
      </c>
      <c r="M14" s="16"/>
    </row>
    <row r="15" spans="1:13" s="19" customFormat="1" ht="24" customHeight="1" x14ac:dyDescent="0.25">
      <c r="A15" s="98"/>
      <c r="B15" s="95"/>
      <c r="C15" s="95"/>
      <c r="D15" s="103">
        <v>1.4</v>
      </c>
      <c r="E15" s="116" t="s">
        <v>66</v>
      </c>
      <c r="F15" s="65" t="s">
        <v>79</v>
      </c>
      <c r="G15" s="66" t="s">
        <v>72</v>
      </c>
      <c r="H15" s="67">
        <f>IF(F15="External",(INDEX(Inputs!$B$10:$B$10,MATCH(G15,Inputs!$A$10:$A$10,0))),IF(F15="Project management",((INDEX(Inputs!$B$13:$B$15,MATCH(G15,Inputs!$A$13:$A$15,0)))/Inputs!$B$26*(1+Inputs!$B$28)),IF(G15="Training team",Inputs!$B$7/Inputs!$B$26*(1+Inputs!$B$28),IF(G15="IT System Admin",Inputs!$B$6/Inputs!$B$26*(1+Inputs!$B$28),INDEX(Inputs!$B$19:$B$22,MATCH(G15,Inputs!$A$19:$A$22,0))))))</f>
        <v>750</v>
      </c>
      <c r="I15" s="61">
        <v>100</v>
      </c>
      <c r="J15" s="68">
        <f t="shared" si="0"/>
        <v>75000</v>
      </c>
      <c r="K15" s="35" t="s">
        <v>39</v>
      </c>
      <c r="L15" s="20">
        <f>IF(K15="Yes",J15*Inputs!$B$29,0)</f>
        <v>15000</v>
      </c>
      <c r="M15" s="16"/>
    </row>
    <row r="16" spans="1:13" s="19" customFormat="1" ht="24" customHeight="1" x14ac:dyDescent="0.25">
      <c r="A16" s="98"/>
      <c r="B16" s="95"/>
      <c r="C16" s="95"/>
      <c r="D16" s="104"/>
      <c r="E16" s="118"/>
      <c r="F16" s="26" t="s">
        <v>45</v>
      </c>
      <c r="G16" s="34" t="s">
        <v>43</v>
      </c>
      <c r="H16" s="67">
        <f>IF(F16="External",(INDEX(Inputs!$B$10:$B$10,MATCH(G16,Inputs!$A$10:$A$10,0))),IF(F16="Project management",((INDEX(Inputs!$B$13:$B$15,MATCH(G16,Inputs!$A$13:$A$15,0)))/Inputs!$B$26*(1+Inputs!$B$28)),IF(G16="Training team",Inputs!$B$7/Inputs!$B$26*(1+Inputs!$B$28),IF(G16="IT System Admin",Inputs!$B$6/Inputs!$B$26*(1+Inputs!$B$28),INDEX(Inputs!$B$19:$B$22,MATCH(G16,Inputs!$A$19:$A$22,0))))))</f>
        <v>596.49122807017545</v>
      </c>
      <c r="I16" s="38">
        <v>30</v>
      </c>
      <c r="J16" s="68">
        <f t="shared" si="0"/>
        <v>17894.736842105263</v>
      </c>
      <c r="K16" s="35" t="s">
        <v>34</v>
      </c>
      <c r="L16" s="20">
        <f>IF(K16="Yes",J16*Inputs!$B$29,0)</f>
        <v>0</v>
      </c>
      <c r="M16" s="16"/>
    </row>
    <row r="17" spans="1:14" s="19" customFormat="1" ht="24" customHeight="1" x14ac:dyDescent="0.25">
      <c r="A17" s="98"/>
      <c r="B17" s="95"/>
      <c r="C17" s="95"/>
      <c r="D17" s="103">
        <v>1.5</v>
      </c>
      <c r="E17" s="116" t="s">
        <v>85</v>
      </c>
      <c r="F17" s="26" t="s">
        <v>79</v>
      </c>
      <c r="G17" s="66" t="s">
        <v>72</v>
      </c>
      <c r="H17" s="67">
        <f>IF(F17="External",(INDEX(Inputs!$B$10:$B$10,MATCH(G17,Inputs!$A$10:$A$10,0))),IF(F17="Project management",((INDEX(Inputs!$B$13:$B$15,MATCH(G17,Inputs!$A$13:$A$15,0)))/Inputs!$B$26*(1+Inputs!$B$28)),IF(G17="Training team",Inputs!$B$7/Inputs!$B$26*(1+Inputs!$B$28),IF(G17="IT System Admin",Inputs!$B$6/Inputs!$B$26*(1+Inputs!$B$28),INDEX(Inputs!$B$19:$B$22,MATCH(G17,Inputs!$A$19:$A$22,0))))))</f>
        <v>750</v>
      </c>
      <c r="I17" s="38">
        <v>270</v>
      </c>
      <c r="J17" s="68">
        <f t="shared" si="0"/>
        <v>202500</v>
      </c>
      <c r="K17" s="35" t="s">
        <v>39</v>
      </c>
      <c r="L17" s="20">
        <f>IF(K17="Yes",J17*Inputs!$B$29,0)</f>
        <v>40500</v>
      </c>
      <c r="M17" s="16"/>
    </row>
    <row r="18" spans="1:14" s="19" customFormat="1" ht="24" customHeight="1" x14ac:dyDescent="0.25">
      <c r="A18" s="98"/>
      <c r="B18" s="95"/>
      <c r="C18" s="95"/>
      <c r="D18" s="104"/>
      <c r="E18" s="118"/>
      <c r="F18" s="26" t="s">
        <v>45</v>
      </c>
      <c r="G18" s="34" t="s">
        <v>43</v>
      </c>
      <c r="H18" s="67">
        <f>IF(F18="External",(INDEX(Inputs!$B$10:$B$10,MATCH(G18,Inputs!$A$10:$A$10,0))),IF(F18="Project management",((INDEX(Inputs!$B$13:$B$15,MATCH(G18,Inputs!$A$13:$A$15,0)))/Inputs!$B$26*(1+Inputs!$B$28)),IF(G18="Training team",Inputs!$B$7/Inputs!$B$26*(1+Inputs!$B$28),IF(G18="IT System Admin",Inputs!$B$6/Inputs!$B$26*(1+Inputs!$B$28),INDEX(Inputs!$B$19:$B$22,MATCH(G18,Inputs!$A$19:$A$22,0))))))</f>
        <v>596.49122807017545</v>
      </c>
      <c r="I18" s="38">
        <v>40</v>
      </c>
      <c r="J18" s="68">
        <f t="shared" si="0"/>
        <v>23859.649122807019</v>
      </c>
      <c r="K18" s="35" t="s">
        <v>34</v>
      </c>
      <c r="L18" s="20">
        <f>IF(K18="Yes",J18*Inputs!$B$29,0)</f>
        <v>0</v>
      </c>
      <c r="M18" s="16"/>
    </row>
    <row r="19" spans="1:14" s="19" customFormat="1" ht="24" customHeight="1" x14ac:dyDescent="0.25">
      <c r="A19" s="98"/>
      <c r="B19" s="95"/>
      <c r="C19" s="95"/>
      <c r="D19" s="103">
        <v>1.6</v>
      </c>
      <c r="E19" s="116" t="s">
        <v>84</v>
      </c>
      <c r="F19" s="26" t="s">
        <v>79</v>
      </c>
      <c r="G19" s="34" t="s">
        <v>72</v>
      </c>
      <c r="H19" s="67">
        <f>IF(F19="External",(INDEX(Inputs!$B$10:$B$10,MATCH(G19,Inputs!$A$10:$A$10,0))),IF(F19="Project management",((INDEX(Inputs!$B$13:$B$15,MATCH(G19,Inputs!$A$13:$A$15,0)))/Inputs!$B$26*(1+Inputs!$B$28)),IF(G19="Training team",Inputs!$B$7/Inputs!$B$26*(1+Inputs!$B$28),IF(G19="IT System Admin",Inputs!$B$6/Inputs!$B$26*(1+Inputs!$B$28),INDEX(Inputs!$B$19:$B$22,MATCH(G19,Inputs!$A$19:$A$22,0))))))</f>
        <v>750</v>
      </c>
      <c r="I19" s="38">
        <v>170</v>
      </c>
      <c r="J19" s="68">
        <f t="shared" si="0"/>
        <v>127500</v>
      </c>
      <c r="K19" s="35" t="s">
        <v>39</v>
      </c>
      <c r="L19" s="20">
        <f>IF(K19="Yes",J19*Inputs!$B$29,0)</f>
        <v>25500</v>
      </c>
      <c r="M19" s="16"/>
    </row>
    <row r="20" spans="1:14" s="19" customFormat="1" ht="24" customHeight="1" x14ac:dyDescent="0.25">
      <c r="A20" s="98"/>
      <c r="B20" s="95"/>
      <c r="C20" s="96"/>
      <c r="D20" s="104"/>
      <c r="E20" s="118"/>
      <c r="F20" s="26" t="s">
        <v>45</v>
      </c>
      <c r="G20" s="34" t="s">
        <v>43</v>
      </c>
      <c r="H20" s="67">
        <f>IF(F20="External",(INDEX(Inputs!$B$10:$B$10,MATCH(G20,Inputs!$A$10:$A$10,0))),IF(F20="Project management",((INDEX(Inputs!$B$13:$B$15,MATCH(G20,Inputs!$A$13:$A$15,0)))/Inputs!$B$26*(1+Inputs!$B$28)),IF(G20="Training team",Inputs!$B$7/Inputs!$B$26*(1+Inputs!$B$28),IF(G20="IT System Admin",Inputs!$B$6/Inputs!$B$26*(1+Inputs!$B$28),INDEX(Inputs!$B$19:$B$22,MATCH(G20,Inputs!$A$19:$A$22,0))))))</f>
        <v>596.49122807017545</v>
      </c>
      <c r="I20" s="38">
        <v>40</v>
      </c>
      <c r="J20" s="68">
        <f t="shared" si="0"/>
        <v>23859.649122807019</v>
      </c>
      <c r="K20" s="35" t="s">
        <v>34</v>
      </c>
      <c r="L20" s="20">
        <f>IF(K20="Yes",J20*Inputs!$B$29,0)</f>
        <v>0</v>
      </c>
      <c r="M20" s="16"/>
    </row>
    <row r="21" spans="1:14" s="19" customFormat="1" ht="24" customHeight="1" x14ac:dyDescent="0.25">
      <c r="A21" s="98"/>
      <c r="B21" s="95"/>
      <c r="C21" s="94" t="s">
        <v>29</v>
      </c>
      <c r="D21" s="27">
        <v>1.7</v>
      </c>
      <c r="E21" s="31" t="s">
        <v>10</v>
      </c>
      <c r="F21" s="26" t="s">
        <v>79</v>
      </c>
      <c r="G21" s="66" t="s">
        <v>72</v>
      </c>
      <c r="H21" s="67">
        <f>IF(F21="External",(INDEX(Inputs!$B$10:$B$10,MATCH(G21,Inputs!$A$10:$A$10,0))),IF(F21="Project management",((INDEX(Inputs!$B$13:$B$15,MATCH(G21,Inputs!$A$13:$A$15,0)))/Inputs!$B$26*(1+Inputs!$B$28)),IF(G21="Training team",Inputs!$B$7/Inputs!$B$26*(1+Inputs!$B$28),IF(G21="IT System Admin",Inputs!$B$6/Inputs!$B$26*(1+Inputs!$B$28),INDEX(Inputs!$B$19:$B$22,MATCH(G21,Inputs!$A$19:$A$22,0))))))</f>
        <v>750</v>
      </c>
      <c r="I21" s="38">
        <v>2</v>
      </c>
      <c r="J21" s="68">
        <f t="shared" si="0"/>
        <v>1500</v>
      </c>
      <c r="K21" s="35" t="s">
        <v>34</v>
      </c>
      <c r="L21" s="20">
        <f>IF(K21="Yes",J21*Inputs!$B$29,0)</f>
        <v>0</v>
      </c>
      <c r="M21" s="16"/>
    </row>
    <row r="22" spans="1:14" s="19" customFormat="1" ht="24" customHeight="1" x14ac:dyDescent="0.25">
      <c r="A22" s="98"/>
      <c r="B22" s="95"/>
      <c r="C22" s="95"/>
      <c r="D22" s="27">
        <v>1.8</v>
      </c>
      <c r="E22" s="31" t="s">
        <v>30</v>
      </c>
      <c r="F22" s="26" t="s">
        <v>79</v>
      </c>
      <c r="G22" s="66" t="s">
        <v>72</v>
      </c>
      <c r="H22" s="67">
        <f>IF(F22="External",(INDEX(Inputs!$B$10:$B$10,MATCH(G22,Inputs!$A$10:$A$10,0))),IF(F22="Project management",((INDEX(Inputs!$B$13:$B$15,MATCH(G22,Inputs!$A$13:$A$15,0)))/Inputs!$B$26*(1+Inputs!$B$28)),IF(G22="Training team",Inputs!$B$7/Inputs!$B$26*(1+Inputs!$B$28),IF(G22="IT System Admin",Inputs!$B$6/Inputs!$B$26*(1+Inputs!$B$28),INDEX(Inputs!$B$19:$B$22,MATCH(G22,Inputs!$A$19:$A$22,0))))))</f>
        <v>750</v>
      </c>
      <c r="I22" s="38">
        <v>5</v>
      </c>
      <c r="J22" s="68">
        <f t="shared" si="0"/>
        <v>3750</v>
      </c>
      <c r="K22" s="35" t="s">
        <v>34</v>
      </c>
      <c r="L22" s="20">
        <f>IF(K22="Yes",J22*Inputs!$B$29,0)</f>
        <v>0</v>
      </c>
      <c r="M22" s="16"/>
    </row>
    <row r="23" spans="1:14" s="19" customFormat="1" ht="24" customHeight="1" x14ac:dyDescent="0.25">
      <c r="A23" s="98"/>
      <c r="B23" s="95"/>
      <c r="C23" s="95"/>
      <c r="D23" s="105" t="s">
        <v>54</v>
      </c>
      <c r="E23" s="122" t="s">
        <v>47</v>
      </c>
      <c r="F23" s="26" t="s">
        <v>24</v>
      </c>
      <c r="G23" s="34" t="s">
        <v>1</v>
      </c>
      <c r="H23" s="67">
        <f>IF(F23="External",(INDEX(Inputs!$B$10:$B$10,MATCH(G23,Inputs!$A$10:$A$10,0))),IF(F23="Project management",((INDEX(Inputs!$B$13:$B$15,MATCH(G23,Inputs!$A$13:$A$15,0)))/Inputs!$B$26*(1+Inputs!$B$28)),IF(G23="Training team",Inputs!$B$7/Inputs!$B$26*(1+Inputs!$B$28),IF(G23="IT System Admin",Inputs!$B$6/Inputs!$B$26*(1+Inputs!$B$28),INDEX(Inputs!$B$19:$B$22,MATCH(G23,Inputs!$A$19:$A$22,0))))))</f>
        <v>315.78947368421058</v>
      </c>
      <c r="I23" s="38">
        <v>1</v>
      </c>
      <c r="J23" s="68">
        <f t="shared" si="0"/>
        <v>315.78947368421058</v>
      </c>
      <c r="K23" s="35" t="s">
        <v>34</v>
      </c>
      <c r="L23" s="20">
        <f>IF(K23="Yes",J23*Inputs!$B$29,0)</f>
        <v>0</v>
      </c>
      <c r="M23" s="16"/>
      <c r="N23" s="23"/>
    </row>
    <row r="24" spans="1:14" s="19" customFormat="1" ht="24" customHeight="1" x14ac:dyDescent="0.25">
      <c r="A24" s="99"/>
      <c r="B24" s="96"/>
      <c r="C24" s="96"/>
      <c r="D24" s="106"/>
      <c r="E24" s="124"/>
      <c r="F24" s="65" t="s">
        <v>24</v>
      </c>
      <c r="G24" s="66" t="s">
        <v>99</v>
      </c>
      <c r="H24" s="67">
        <f>IF(F24="External",(INDEX(Inputs!$B$10:$B$10,MATCH(G24,Inputs!$A$10:$A$10,0))),IF(F24="Project management",((INDEX(Inputs!$B$13:$B$15,MATCH(G24,Inputs!$A$13:$A$15,0)))/Inputs!$B$26*(1+Inputs!$B$28)),IF(G24="Training team",Inputs!$B$7/Inputs!$B$26*(1+Inputs!$B$28),IF(G24="IT System Admin",Inputs!$B$6/Inputs!$B$26*(1+Inputs!$B$28),INDEX(Inputs!$B$19:$B$22,MATCH(G24,Inputs!$A$19:$A$22,0))))))</f>
        <v>385.96491228070181</v>
      </c>
      <c r="I24" s="38">
        <v>5</v>
      </c>
      <c r="J24" s="68">
        <f t="shared" si="0"/>
        <v>1929.8245614035091</v>
      </c>
      <c r="K24" s="35" t="s">
        <v>34</v>
      </c>
      <c r="L24" s="20">
        <f>IF(K24="Yes",J24*Inputs!$B$29,0)</f>
        <v>0</v>
      </c>
      <c r="M24" s="16"/>
      <c r="N24" s="23"/>
    </row>
    <row r="25" spans="1:14" s="19" customFormat="1" ht="24" customHeight="1" x14ac:dyDescent="0.25">
      <c r="A25" s="97">
        <v>2</v>
      </c>
      <c r="B25" s="100" t="s">
        <v>52</v>
      </c>
      <c r="C25" s="100" t="s">
        <v>55</v>
      </c>
      <c r="D25" s="24">
        <v>2.1</v>
      </c>
      <c r="E25" s="32" t="s">
        <v>12</v>
      </c>
      <c r="F25" s="26" t="s">
        <v>79</v>
      </c>
      <c r="G25" s="66" t="s">
        <v>72</v>
      </c>
      <c r="H25" s="67">
        <f>IF(F25="External",(INDEX(Inputs!$B$10:$B$10,MATCH(G25,Inputs!$A$10:$A$10,0))),IF(F25="Project management",((INDEX(Inputs!$B$13:$B$15,MATCH(G25,Inputs!$A$13:$A$15,0)))/Inputs!$B$26*(1+Inputs!$B$28)),IF(G25="Training team",Inputs!$B$7/Inputs!$B$26*(1+Inputs!$B$28),IF(G25="IT System Admin",Inputs!$B$6/Inputs!$B$26*(1+Inputs!$B$28),INDEX(Inputs!$B$19:$B$22,MATCH(G25,Inputs!$A$19:$A$22,0))))))</f>
        <v>750</v>
      </c>
      <c r="I25" s="38">
        <v>20</v>
      </c>
      <c r="J25" s="68">
        <f t="shared" si="0"/>
        <v>15000</v>
      </c>
      <c r="K25" s="35" t="s">
        <v>34</v>
      </c>
      <c r="L25" s="20">
        <f>IF(K25="Yes",J25*Inputs!$B$29,0)</f>
        <v>0</v>
      </c>
      <c r="M25" s="16"/>
    </row>
    <row r="26" spans="1:14" s="19" customFormat="1" ht="24" customHeight="1" x14ac:dyDescent="0.25">
      <c r="A26" s="98"/>
      <c r="B26" s="101"/>
      <c r="C26" s="101"/>
      <c r="D26" s="94">
        <v>2.2000000000000002</v>
      </c>
      <c r="E26" s="122" t="s">
        <v>13</v>
      </c>
      <c r="F26" s="26" t="s">
        <v>79</v>
      </c>
      <c r="G26" s="34" t="s">
        <v>72</v>
      </c>
      <c r="H26" s="67">
        <f>IF(F26="External",(INDEX(Inputs!$B$10:$B$10,MATCH(G26,Inputs!$A$10:$A$10,0))),IF(F26="Project management",((INDEX(Inputs!$B$13:$B$15,MATCH(G26,Inputs!$A$13:$A$15,0)))/Inputs!$B$26*(1+Inputs!$B$28)),IF(G26="Training team",Inputs!$B$7/Inputs!$B$26*(1+Inputs!$B$28),IF(G26="IT System Admin",Inputs!$B$6/Inputs!$B$26*(1+Inputs!$B$28),INDEX(Inputs!$B$19:$B$22,MATCH(G26,Inputs!$A$19:$A$22,0))))))</f>
        <v>750</v>
      </c>
      <c r="I26" s="38">
        <v>60</v>
      </c>
      <c r="J26" s="68">
        <f t="shared" si="0"/>
        <v>45000</v>
      </c>
      <c r="K26" s="35" t="s">
        <v>39</v>
      </c>
      <c r="L26" s="20">
        <f>IF(K26="Yes",J26*Inputs!$B$29,0)</f>
        <v>9000</v>
      </c>
      <c r="M26" s="16"/>
    </row>
    <row r="27" spans="1:14" s="19" customFormat="1" ht="24" customHeight="1" x14ac:dyDescent="0.25">
      <c r="A27" s="98"/>
      <c r="B27" s="101"/>
      <c r="C27" s="101"/>
      <c r="D27" s="95"/>
      <c r="E27" s="123"/>
      <c r="F27" s="26" t="s">
        <v>14</v>
      </c>
      <c r="G27" s="34" t="s">
        <v>16</v>
      </c>
      <c r="H27" s="67">
        <f>IF(F27="External",(INDEX(Inputs!$B$10:$B$10,MATCH(G27,Inputs!$A$10:$A$10,0))),IF(F27="Project management",((INDEX(Inputs!$B$13:$B$15,MATCH(G27,Inputs!$A$13:$A$15,0)))/Inputs!$B$26*(1+Inputs!$B$28)),IF(G27="Training team",Inputs!$B$7/Inputs!$B$26*(1+Inputs!$B$28),IF(G27="IT System Admin",Inputs!$B$6/Inputs!$B$26*(1+Inputs!$B$28),INDEX(Inputs!$B$19:$B$22,MATCH(G27,Inputs!$A$19:$A$22,0))))))</f>
        <v>50000</v>
      </c>
      <c r="I27" s="38">
        <v>0</v>
      </c>
      <c r="J27" s="68">
        <f t="shared" si="0"/>
        <v>50000</v>
      </c>
      <c r="K27" s="35" t="s">
        <v>39</v>
      </c>
      <c r="L27" s="20">
        <f>IF(K27="Yes",J27*Inputs!$B$29,0)</f>
        <v>10000</v>
      </c>
      <c r="M27" s="16"/>
    </row>
    <row r="28" spans="1:14" s="19" customFormat="1" ht="24" customHeight="1" x14ac:dyDescent="0.25">
      <c r="A28" s="98"/>
      <c r="B28" s="101"/>
      <c r="C28" s="101"/>
      <c r="D28" s="96"/>
      <c r="E28" s="124"/>
      <c r="F28" s="26" t="s">
        <v>45</v>
      </c>
      <c r="G28" s="34" t="s">
        <v>44</v>
      </c>
      <c r="H28" s="67">
        <f>IF(F28="External",(INDEX(Inputs!$B$10:$B$10,MATCH(G28,Inputs!$A$10:$A$10,0))),IF(F28="Project management",((INDEX(Inputs!$B$13:$B$15,MATCH(G28,Inputs!$A$13:$A$15,0)))/Inputs!$B$26*(1+Inputs!$B$28)),IF(G28="Training team",Inputs!$B$7/Inputs!$B$26*(1+Inputs!$B$28),IF(G28="IT System Admin",Inputs!$B$6/Inputs!$B$26*(1+Inputs!$B$28),INDEX(Inputs!$B$19:$B$22,MATCH(G28,Inputs!$A$19:$A$22,0))))))</f>
        <v>421.05263157894734</v>
      </c>
      <c r="I28" s="38">
        <v>5</v>
      </c>
      <c r="J28" s="68">
        <f t="shared" si="0"/>
        <v>2105.2631578947367</v>
      </c>
      <c r="K28" s="35" t="s">
        <v>34</v>
      </c>
      <c r="L28" s="20">
        <f>IF(K28="Yes",J28*Inputs!$B$29,0)</f>
        <v>0</v>
      </c>
      <c r="M28" s="16"/>
    </row>
    <row r="29" spans="1:14" s="19" customFormat="1" ht="24" customHeight="1" x14ac:dyDescent="0.25">
      <c r="A29" s="98"/>
      <c r="B29" s="101"/>
      <c r="C29" s="101"/>
      <c r="D29" s="103">
        <v>2.3000000000000003</v>
      </c>
      <c r="E29" s="116" t="s">
        <v>106</v>
      </c>
      <c r="F29" s="26" t="s">
        <v>79</v>
      </c>
      <c r="G29" s="66" t="s">
        <v>72</v>
      </c>
      <c r="H29" s="67">
        <f>IF(F29="External",(INDEX(Inputs!$B$10:$B$10,MATCH(G29,Inputs!$A$10:$A$10,0))),IF(F29="Project management",((INDEX(Inputs!$B$13:$B$15,MATCH(G29,Inputs!$A$13:$A$15,0)))/Inputs!$B$26*(1+Inputs!$B$28)),IF(G29="Training team",Inputs!$B$7/Inputs!$B$26*(1+Inputs!$B$28),IF(G29="IT System Admin",Inputs!$B$6/Inputs!$B$26*(1+Inputs!$B$28),INDEX(Inputs!$B$19:$B$22,MATCH(G29,Inputs!$A$19:$A$22,0))))))</f>
        <v>750</v>
      </c>
      <c r="I29" s="38">
        <v>100</v>
      </c>
      <c r="J29" s="68">
        <f t="shared" si="0"/>
        <v>75000</v>
      </c>
      <c r="K29" s="35" t="s">
        <v>39</v>
      </c>
      <c r="L29" s="20">
        <f>IF(K29="Yes",J29*Inputs!$B$29,0)</f>
        <v>15000</v>
      </c>
      <c r="M29" s="16"/>
    </row>
    <row r="30" spans="1:14" s="19" customFormat="1" ht="24" customHeight="1" x14ac:dyDescent="0.25">
      <c r="A30" s="98"/>
      <c r="B30" s="101"/>
      <c r="C30" s="101"/>
      <c r="D30" s="104"/>
      <c r="E30" s="118"/>
      <c r="F30" s="26" t="s">
        <v>45</v>
      </c>
      <c r="G30" s="34" t="s">
        <v>43</v>
      </c>
      <c r="H30" s="67">
        <f>IF(F30="External",(INDEX(Inputs!$B$10:$B$10,MATCH(G30,Inputs!$A$10:$A$10,0))),IF(F30="Project management",((INDEX(Inputs!$B$13:$B$15,MATCH(G30,Inputs!$A$13:$A$15,0)))/Inputs!$B$26*(1+Inputs!$B$28)),IF(G30="Training team",Inputs!$B$7/Inputs!$B$26*(1+Inputs!$B$28),IF(G30="IT System Admin",Inputs!$B$6/Inputs!$B$26*(1+Inputs!$B$28),INDEX(Inputs!$B$19:$B$22,MATCH(G30,Inputs!$A$19:$A$22,0))))))</f>
        <v>596.49122807017545</v>
      </c>
      <c r="I30" s="38">
        <v>15</v>
      </c>
      <c r="J30" s="68">
        <f t="shared" si="0"/>
        <v>8947.3684210526317</v>
      </c>
      <c r="K30" s="35" t="s">
        <v>34</v>
      </c>
      <c r="L30" s="20">
        <f>IF(K30="Yes",J30*Inputs!$B$29,0)</f>
        <v>0</v>
      </c>
      <c r="M30" s="16"/>
    </row>
    <row r="31" spans="1:14" s="19" customFormat="1" ht="24" customHeight="1" x14ac:dyDescent="0.25">
      <c r="A31" s="98"/>
      <c r="B31" s="101"/>
      <c r="C31" s="101"/>
      <c r="D31" s="103">
        <v>2.4000000000000004</v>
      </c>
      <c r="E31" s="116" t="s">
        <v>89</v>
      </c>
      <c r="F31" s="26" t="s">
        <v>79</v>
      </c>
      <c r="G31" s="66" t="s">
        <v>72</v>
      </c>
      <c r="H31" s="67">
        <f>IF(F31="External",(INDEX(Inputs!$B$10:$B$10,MATCH(G31,Inputs!$A$10:$A$10,0))),IF(F31="Project management",((INDEX(Inputs!$B$13:$B$15,MATCH(G31,Inputs!$A$13:$A$15,0)))/Inputs!$B$26*(1+Inputs!$B$28)),IF(G31="Training team",Inputs!$B$7/Inputs!$B$26*(1+Inputs!$B$28),IF(G31="IT System Admin",Inputs!$B$6/Inputs!$B$26*(1+Inputs!$B$28),INDEX(Inputs!$B$19:$B$22,MATCH(G31,Inputs!$A$19:$A$22,0))))))</f>
        <v>750</v>
      </c>
      <c r="I31" s="61">
        <v>100</v>
      </c>
      <c r="J31" s="68">
        <f t="shared" si="0"/>
        <v>75000</v>
      </c>
      <c r="K31" s="35" t="s">
        <v>39</v>
      </c>
      <c r="L31" s="20">
        <f>IF(K31="Yes",J31*Inputs!$B$29,0)</f>
        <v>15000</v>
      </c>
      <c r="M31" s="16"/>
    </row>
    <row r="32" spans="1:14" s="19" customFormat="1" ht="24" customHeight="1" x14ac:dyDescent="0.25">
      <c r="A32" s="98"/>
      <c r="B32" s="101"/>
      <c r="C32" s="101"/>
      <c r="D32" s="104"/>
      <c r="E32" s="118"/>
      <c r="F32" s="26" t="s">
        <v>45</v>
      </c>
      <c r="G32" s="34" t="s">
        <v>42</v>
      </c>
      <c r="H32" s="67">
        <f>IF(F32="External",(INDEX(Inputs!$B$10:$B$10,MATCH(G32,Inputs!$A$10:$A$10,0))),IF(F32="Project management",((INDEX(Inputs!$B$13:$B$15,MATCH(G32,Inputs!$A$13:$A$15,0)))/Inputs!$B$26*(1+Inputs!$B$28)),IF(G32="Training team",Inputs!$B$7/Inputs!$B$26*(1+Inputs!$B$28),IF(G32="IT System Admin",Inputs!$B$6/Inputs!$B$26*(1+Inputs!$B$28),INDEX(Inputs!$B$19:$B$22,MATCH(G32,Inputs!$A$19:$A$22,0))))))</f>
        <v>526.31578947368428</v>
      </c>
      <c r="I32" s="38">
        <v>15</v>
      </c>
      <c r="J32" s="68">
        <f t="shared" si="0"/>
        <v>7894.7368421052643</v>
      </c>
      <c r="K32" s="35" t="s">
        <v>34</v>
      </c>
      <c r="L32" s="20">
        <f>IF(K32="Yes",J32*Inputs!$B$29,0)</f>
        <v>0</v>
      </c>
      <c r="M32" s="16"/>
    </row>
    <row r="33" spans="1:13" s="19" customFormat="1" ht="24" customHeight="1" x14ac:dyDescent="0.25">
      <c r="A33" s="98"/>
      <c r="B33" s="101"/>
      <c r="C33" s="101"/>
      <c r="D33" s="103">
        <v>2.5000000000000004</v>
      </c>
      <c r="E33" s="116" t="s">
        <v>67</v>
      </c>
      <c r="F33" s="26" t="s">
        <v>79</v>
      </c>
      <c r="G33" s="34" t="s">
        <v>72</v>
      </c>
      <c r="H33" s="67">
        <f>IF(F33="External",(INDEX(Inputs!$B$10:$B$10,MATCH(G33,Inputs!$A$10:$A$10,0))),IF(F33="Project management",((INDEX(Inputs!$B$13:$B$15,MATCH(G33,Inputs!$A$13:$A$15,0)))/Inputs!$B$26*(1+Inputs!$B$28)),IF(G33="Training team",Inputs!$B$7/Inputs!$B$26*(1+Inputs!$B$28),IF(G33="IT System Admin",Inputs!$B$6/Inputs!$B$26*(1+Inputs!$B$28),INDEX(Inputs!$B$19:$B$22,MATCH(G33,Inputs!$A$19:$A$22,0))))))</f>
        <v>750</v>
      </c>
      <c r="I33" s="38">
        <v>60</v>
      </c>
      <c r="J33" s="68">
        <f t="shared" si="0"/>
        <v>45000</v>
      </c>
      <c r="K33" s="35" t="s">
        <v>39</v>
      </c>
      <c r="L33" s="20">
        <f>IF(K33="Yes",J33*Inputs!$B$29,0)</f>
        <v>9000</v>
      </c>
      <c r="M33" s="16"/>
    </row>
    <row r="34" spans="1:13" s="19" customFormat="1" ht="24" customHeight="1" x14ac:dyDescent="0.25">
      <c r="A34" s="98"/>
      <c r="B34" s="101"/>
      <c r="C34" s="101"/>
      <c r="D34" s="104"/>
      <c r="E34" s="118"/>
      <c r="F34" s="26" t="s">
        <v>45</v>
      </c>
      <c r="G34" s="34" t="s">
        <v>43</v>
      </c>
      <c r="H34" s="67">
        <f>IF(F34="External",(INDEX(Inputs!$B$10:$B$10,MATCH(G34,Inputs!$A$10:$A$10,0))),IF(F34="Project management",((INDEX(Inputs!$B$13:$B$15,MATCH(G34,Inputs!$A$13:$A$15,0)))/Inputs!$B$26*(1+Inputs!$B$28)),IF(G34="Training team",Inputs!$B$7/Inputs!$B$26*(1+Inputs!$B$28),IF(G34="IT System Admin",Inputs!$B$6/Inputs!$B$26*(1+Inputs!$B$28),INDEX(Inputs!$B$19:$B$22,MATCH(G34,Inputs!$A$19:$A$22,0))))))</f>
        <v>596.49122807017545</v>
      </c>
      <c r="I34" s="38">
        <v>15</v>
      </c>
      <c r="J34" s="68">
        <f t="shared" si="0"/>
        <v>8947.3684210526317</v>
      </c>
      <c r="K34" s="35" t="s">
        <v>34</v>
      </c>
      <c r="L34" s="20">
        <f>IF(K34="Yes",J34*Inputs!$B$29,0)</f>
        <v>0</v>
      </c>
      <c r="M34" s="16"/>
    </row>
    <row r="35" spans="1:13" s="19" customFormat="1" ht="24" customHeight="1" x14ac:dyDescent="0.25">
      <c r="A35" s="98"/>
      <c r="B35" s="101"/>
      <c r="C35" s="101"/>
      <c r="D35" s="103">
        <v>2.6</v>
      </c>
      <c r="E35" s="116" t="s">
        <v>68</v>
      </c>
      <c r="F35" s="26" t="s">
        <v>79</v>
      </c>
      <c r="G35" s="34" t="s">
        <v>72</v>
      </c>
      <c r="H35" s="67">
        <f>IF(F35="External",(INDEX(Inputs!$B$10:$B$10,MATCH(G35,Inputs!$A$10:$A$10,0))),IF(F35="Project management",((INDEX(Inputs!$B$13:$B$15,MATCH(G35,Inputs!$A$13:$A$15,0)))/Inputs!$B$26*(1+Inputs!$B$28)),IF(G35="Training team",Inputs!$B$7/Inputs!$B$26*(1+Inputs!$B$28),IF(G35="IT System Admin",Inputs!$B$6/Inputs!$B$26*(1+Inputs!$B$28),INDEX(Inputs!$B$19:$B$22,MATCH(G35,Inputs!$A$19:$A$22,0))))))</f>
        <v>750</v>
      </c>
      <c r="I35" s="38">
        <v>15</v>
      </c>
      <c r="J35" s="68">
        <f t="shared" si="0"/>
        <v>11250</v>
      </c>
      <c r="K35" s="35" t="s">
        <v>39</v>
      </c>
      <c r="L35" s="20">
        <f>IF(K35="Yes",J35*Inputs!$B$29,0)</f>
        <v>2250</v>
      </c>
      <c r="M35" s="16"/>
    </row>
    <row r="36" spans="1:13" s="19" customFormat="1" ht="24" customHeight="1" x14ac:dyDescent="0.25">
      <c r="A36" s="98"/>
      <c r="B36" s="101"/>
      <c r="C36" s="102"/>
      <c r="D36" s="104"/>
      <c r="E36" s="118"/>
      <c r="F36" s="26" t="s">
        <v>45</v>
      </c>
      <c r="G36" s="34" t="s">
        <v>42</v>
      </c>
      <c r="H36" s="67">
        <f>IF(F36="External",(INDEX(Inputs!$B$10:$B$10,MATCH(G36,Inputs!$A$10:$A$10,0))),IF(F36="Project management",((INDEX(Inputs!$B$13:$B$15,MATCH(G36,Inputs!$A$13:$A$15,0)))/Inputs!$B$26*(1+Inputs!$B$28)),IF(G36="Training team",Inputs!$B$7/Inputs!$B$26*(1+Inputs!$B$28),IF(G36="IT System Admin",Inputs!$B$6/Inputs!$B$26*(1+Inputs!$B$28),INDEX(Inputs!$B$19:$B$22,MATCH(G36,Inputs!$A$19:$A$22,0))))))</f>
        <v>526.31578947368428</v>
      </c>
      <c r="I36" s="38">
        <v>5</v>
      </c>
      <c r="J36" s="68">
        <f t="shared" si="0"/>
        <v>2631.5789473684213</v>
      </c>
      <c r="K36" s="35" t="s">
        <v>34</v>
      </c>
      <c r="L36" s="20">
        <f>IF(K36="Yes",J36*Inputs!$B$29,0)</f>
        <v>0</v>
      </c>
      <c r="M36" s="16"/>
    </row>
    <row r="37" spans="1:13" s="19" customFormat="1" ht="24" customHeight="1" x14ac:dyDescent="0.25">
      <c r="A37" s="98"/>
      <c r="B37" s="101"/>
      <c r="C37" s="94" t="s">
        <v>29</v>
      </c>
      <c r="D37" s="27">
        <v>2.6</v>
      </c>
      <c r="E37" s="31" t="s">
        <v>10</v>
      </c>
      <c r="F37" s="26" t="s">
        <v>79</v>
      </c>
      <c r="G37" s="66" t="s">
        <v>72</v>
      </c>
      <c r="H37" s="67">
        <f>IF(F37="External",(INDEX(Inputs!$B$10:$B$10,MATCH(G37,Inputs!$A$10:$A$10,0))),IF(F37="Project management",((INDEX(Inputs!$B$13:$B$15,MATCH(G37,Inputs!$A$13:$A$15,0)))/Inputs!$B$26*(1+Inputs!$B$28)),IF(G37="Training team",Inputs!$B$7/Inputs!$B$26*(1+Inputs!$B$28),IF(G37="IT System Admin",Inputs!$B$6/Inputs!$B$26*(1+Inputs!$B$28),INDEX(Inputs!$B$19:$B$22,MATCH(G37,Inputs!$A$19:$A$22,0))))))</f>
        <v>750</v>
      </c>
      <c r="I37" s="38">
        <v>1</v>
      </c>
      <c r="J37" s="68">
        <f t="shared" si="0"/>
        <v>750</v>
      </c>
      <c r="K37" s="35" t="s">
        <v>34</v>
      </c>
      <c r="L37" s="20">
        <f>IF(K37="Yes",J37*Inputs!$B$29,0)</f>
        <v>0</v>
      </c>
      <c r="M37" s="16"/>
    </row>
    <row r="38" spans="1:13" s="19" customFormat="1" ht="24" customHeight="1" x14ac:dyDescent="0.25">
      <c r="A38" s="98"/>
      <c r="B38" s="101"/>
      <c r="C38" s="95"/>
      <c r="D38" s="27">
        <v>2.7</v>
      </c>
      <c r="E38" s="31" t="s">
        <v>30</v>
      </c>
      <c r="F38" s="26" t="s">
        <v>79</v>
      </c>
      <c r="G38" s="66" t="s">
        <v>72</v>
      </c>
      <c r="H38" s="67">
        <f>IF(F38="External",(INDEX(Inputs!$B$10:$B$10,MATCH(G38,Inputs!$A$10:$A$10,0))),IF(F38="Project management",((INDEX(Inputs!$B$13:$B$15,MATCH(G38,Inputs!$A$13:$A$15,0)))/Inputs!$B$26*(1+Inputs!$B$28)),IF(G38="Training team",Inputs!$B$7/Inputs!$B$26*(1+Inputs!$B$28),IF(G38="IT System Admin",Inputs!$B$6/Inputs!$B$26*(1+Inputs!$B$28),INDEX(Inputs!$B$19:$B$22,MATCH(G38,Inputs!$A$19:$A$22,0))))))</f>
        <v>750</v>
      </c>
      <c r="I38" s="38">
        <v>3</v>
      </c>
      <c r="J38" s="68">
        <f t="shared" si="0"/>
        <v>2250</v>
      </c>
      <c r="K38" s="35" t="s">
        <v>34</v>
      </c>
      <c r="L38" s="20">
        <f>IF(K38="Yes",J38*Inputs!$B$29,0)</f>
        <v>0</v>
      </c>
      <c r="M38" s="16"/>
    </row>
    <row r="39" spans="1:13" s="19" customFormat="1" ht="24" customHeight="1" x14ac:dyDescent="0.25">
      <c r="A39" s="98"/>
      <c r="B39" s="101"/>
      <c r="C39" s="95"/>
      <c r="D39" s="105" t="s">
        <v>32</v>
      </c>
      <c r="E39" s="122" t="s">
        <v>38</v>
      </c>
      <c r="F39" s="26" t="s">
        <v>24</v>
      </c>
      <c r="G39" s="34" t="s">
        <v>1</v>
      </c>
      <c r="H39" s="67">
        <f>IF(F39="External",(INDEX(Inputs!$B$10:$B$10,MATCH(G39,Inputs!$A$10:$A$10,0))),IF(F39="Project management",((INDEX(Inputs!$B$13:$B$15,MATCH(G39,Inputs!$A$13:$A$15,0)))/Inputs!$B$26*(1+Inputs!$B$28)),IF(G39="Training team",Inputs!$B$7/Inputs!$B$26*(1+Inputs!$B$28),IF(G39="IT System Admin",Inputs!$B$6/Inputs!$B$26*(1+Inputs!$B$28),INDEX(Inputs!$B$19:$B$22,MATCH(G39,Inputs!$A$19:$A$22,0))))))</f>
        <v>315.78947368421058</v>
      </c>
      <c r="I39" s="38">
        <v>0.5</v>
      </c>
      <c r="J39" s="68">
        <f t="shared" si="0"/>
        <v>157.89473684210529</v>
      </c>
      <c r="K39" s="35" t="s">
        <v>34</v>
      </c>
      <c r="L39" s="20">
        <f>IF(K39="Yes",J39*Inputs!$B$29,0)</f>
        <v>0</v>
      </c>
      <c r="M39" s="16"/>
    </row>
    <row r="40" spans="1:13" s="19" customFormat="1" ht="24" customHeight="1" x14ac:dyDescent="0.25">
      <c r="A40" s="99"/>
      <c r="B40" s="102"/>
      <c r="C40" s="96"/>
      <c r="D40" s="106"/>
      <c r="E40" s="124"/>
      <c r="F40" s="65" t="s">
        <v>24</v>
      </c>
      <c r="G40" s="66" t="s">
        <v>99</v>
      </c>
      <c r="H40" s="67">
        <f>IF(F40="External",(INDEX(Inputs!$B$10:$B$10,MATCH(G40,Inputs!$A$10:$A$10,0))),IF(F40="Project management",((INDEX(Inputs!$B$13:$B$15,MATCH(G40,Inputs!$A$13:$A$15,0)))/Inputs!$B$26*(1+Inputs!$B$28)),IF(G40="Training team",Inputs!$B$7/Inputs!$B$26*(1+Inputs!$B$28),IF(G40="IT System Admin",Inputs!$B$6/Inputs!$B$26*(1+Inputs!$B$28),INDEX(Inputs!$B$19:$B$22,MATCH(G40,Inputs!$A$19:$A$22,0))))))</f>
        <v>385.96491228070181</v>
      </c>
      <c r="I40" s="38">
        <v>2.5</v>
      </c>
      <c r="J40" s="68">
        <f t="shared" si="0"/>
        <v>964.91228070175453</v>
      </c>
      <c r="K40" s="35" t="s">
        <v>34</v>
      </c>
      <c r="L40" s="20">
        <f>IF(K40="Yes",J40*Inputs!$B$29,0)</f>
        <v>0</v>
      </c>
      <c r="M40" s="16"/>
    </row>
    <row r="41" spans="1:13" s="19" customFormat="1" ht="24" customHeight="1" x14ac:dyDescent="0.25">
      <c r="A41" s="97">
        <v>3</v>
      </c>
      <c r="B41" s="103" t="s">
        <v>71</v>
      </c>
      <c r="C41" s="100" t="s">
        <v>55</v>
      </c>
      <c r="D41" s="18">
        <v>3.1</v>
      </c>
      <c r="E41" s="32" t="s">
        <v>12</v>
      </c>
      <c r="F41" s="26" t="s">
        <v>79</v>
      </c>
      <c r="G41" s="66" t="s">
        <v>72</v>
      </c>
      <c r="H41" s="67">
        <f>IF(F41="External",(INDEX(Inputs!$B$10:$B$10,MATCH(G41,Inputs!$A$10:$A$10,0))),IF(F41="Project management",((INDEX(Inputs!$B$13:$B$15,MATCH(G41,Inputs!$A$13:$A$15,0)))/Inputs!$B$26*(1+Inputs!$B$28)),IF(G41="Training team",Inputs!$B$7/Inputs!$B$26*(1+Inputs!$B$28),IF(G41="IT System Admin",Inputs!$B$6/Inputs!$B$26*(1+Inputs!$B$28),INDEX(Inputs!$B$19:$B$22,MATCH(G41,Inputs!$A$19:$A$22,0))))))</f>
        <v>750</v>
      </c>
      <c r="I41" s="38">
        <v>15</v>
      </c>
      <c r="J41" s="68">
        <f t="shared" si="0"/>
        <v>11250</v>
      </c>
      <c r="K41" s="35" t="s">
        <v>34</v>
      </c>
      <c r="L41" s="20">
        <f>IF(K41="Yes",J41*Inputs!$B$29,0)</f>
        <v>0</v>
      </c>
      <c r="M41" s="16"/>
    </row>
    <row r="42" spans="1:13" s="19" customFormat="1" ht="24" customHeight="1" x14ac:dyDescent="0.25">
      <c r="A42" s="98"/>
      <c r="B42" s="112"/>
      <c r="C42" s="101"/>
      <c r="D42" s="94">
        <v>3.2</v>
      </c>
      <c r="E42" s="125" t="s">
        <v>64</v>
      </c>
      <c r="F42" s="26" t="s">
        <v>79</v>
      </c>
      <c r="G42" s="66" t="s">
        <v>72</v>
      </c>
      <c r="H42" s="67">
        <f>IF(F42="External",(INDEX(Inputs!$B$10:$B$10,MATCH(G42,Inputs!$A$10:$A$10,0))),IF(F42="Project management",((INDEX(Inputs!$B$13:$B$15,MATCH(G42,Inputs!$A$13:$A$15,0)))/Inputs!$B$26*(1+Inputs!$B$28)),IF(G42="Training team",Inputs!$B$7/Inputs!$B$26*(1+Inputs!$B$28),IF(G42="IT System Admin",Inputs!$B$6/Inputs!$B$26*(1+Inputs!$B$28),INDEX(Inputs!$B$19:$B$22,MATCH(G42,Inputs!$A$19:$A$22,0))))))</f>
        <v>750</v>
      </c>
      <c r="I42" s="38">
        <v>60</v>
      </c>
      <c r="J42" s="68">
        <f t="shared" si="0"/>
        <v>45000</v>
      </c>
      <c r="K42" s="35" t="s">
        <v>39</v>
      </c>
      <c r="L42" s="20">
        <f>IF(K42="Yes",J42*Inputs!$B$29,0)</f>
        <v>9000</v>
      </c>
      <c r="M42" s="16"/>
    </row>
    <row r="43" spans="1:13" s="19" customFormat="1" ht="24" customHeight="1" x14ac:dyDescent="0.25">
      <c r="A43" s="98"/>
      <c r="B43" s="112"/>
      <c r="C43" s="101"/>
      <c r="D43" s="96"/>
      <c r="E43" s="126"/>
      <c r="F43" s="26" t="s">
        <v>45</v>
      </c>
      <c r="G43" s="34" t="s">
        <v>42</v>
      </c>
      <c r="H43" s="67">
        <f>IF(F43="External",(INDEX(Inputs!$B$10:$B$10,MATCH(G43,Inputs!$A$10:$A$10,0))),IF(F43="Project management",((INDEX(Inputs!$B$13:$B$15,MATCH(G43,Inputs!$A$13:$A$15,0)))/Inputs!$B$26*(1+Inputs!$B$28)),IF(G43="Training team",Inputs!$B$7/Inputs!$B$26*(1+Inputs!$B$28),IF(G43="IT System Admin",Inputs!$B$6/Inputs!$B$26*(1+Inputs!$B$28),INDEX(Inputs!$B$19:$B$22,MATCH(G43,Inputs!$A$19:$A$22,0))))))</f>
        <v>526.31578947368428</v>
      </c>
      <c r="I43" s="38">
        <v>5</v>
      </c>
      <c r="J43" s="68">
        <f t="shared" si="0"/>
        <v>2631.5789473684213</v>
      </c>
      <c r="K43" s="35" t="s">
        <v>34</v>
      </c>
      <c r="L43" s="20">
        <f>IF(K43="Yes",J43*Inputs!$B$29,0)</f>
        <v>0</v>
      </c>
      <c r="M43" s="16"/>
    </row>
    <row r="44" spans="1:13" s="19" customFormat="1" ht="24" customHeight="1" x14ac:dyDescent="0.25">
      <c r="A44" s="98"/>
      <c r="B44" s="112"/>
      <c r="C44" s="101"/>
      <c r="D44" s="94">
        <v>3.3000000000000003</v>
      </c>
      <c r="E44" s="125" t="s">
        <v>62</v>
      </c>
      <c r="F44" s="26" t="s">
        <v>79</v>
      </c>
      <c r="G44" s="66" t="s">
        <v>72</v>
      </c>
      <c r="H44" s="67">
        <f>IF(F44="External",(INDEX(Inputs!$B$10:$B$10,MATCH(G44,Inputs!$A$10:$A$10,0))),IF(F44="Project management",((INDEX(Inputs!$B$13:$B$15,MATCH(G44,Inputs!$A$13:$A$15,0)))/Inputs!$B$26*(1+Inputs!$B$28)),IF(G44="Training team",Inputs!$B$7/Inputs!$B$26*(1+Inputs!$B$28),IF(G44="IT System Admin",Inputs!$B$6/Inputs!$B$26*(1+Inputs!$B$28),INDEX(Inputs!$B$19:$B$22,MATCH(G44,Inputs!$A$19:$A$22,0))))))</f>
        <v>750</v>
      </c>
      <c r="I44" s="38">
        <v>100</v>
      </c>
      <c r="J44" s="68">
        <f t="shared" si="0"/>
        <v>75000</v>
      </c>
      <c r="K44" s="35" t="s">
        <v>39</v>
      </c>
      <c r="L44" s="20">
        <f>IF(K44="Yes",J44*Inputs!$B$29,0)</f>
        <v>15000</v>
      </c>
      <c r="M44" s="16"/>
    </row>
    <row r="45" spans="1:13" s="19" customFormat="1" ht="24" customHeight="1" x14ac:dyDescent="0.25">
      <c r="A45" s="98"/>
      <c r="B45" s="112"/>
      <c r="C45" s="101"/>
      <c r="D45" s="96"/>
      <c r="E45" s="126"/>
      <c r="F45" s="26" t="s">
        <v>45</v>
      </c>
      <c r="G45" s="34" t="s">
        <v>42</v>
      </c>
      <c r="H45" s="67">
        <f>IF(F45="External",(INDEX(Inputs!$B$10:$B$10,MATCH(G45,Inputs!$A$10:$A$10,0))),IF(F45="Project management",((INDEX(Inputs!$B$13:$B$15,MATCH(G45,Inputs!$A$13:$A$15,0)))/Inputs!$B$26*(1+Inputs!$B$28)),IF(G45="Training team",Inputs!$B$7/Inputs!$B$26*(1+Inputs!$B$28),IF(G45="IT System Admin",Inputs!$B$6/Inputs!$B$26*(1+Inputs!$B$28),INDEX(Inputs!$B$19:$B$22,MATCH(G45,Inputs!$A$19:$A$22,0))))))</f>
        <v>526.31578947368428</v>
      </c>
      <c r="I45" s="38">
        <v>10</v>
      </c>
      <c r="J45" s="68">
        <f t="shared" si="0"/>
        <v>5263.1578947368425</v>
      </c>
      <c r="K45" s="35" t="s">
        <v>34</v>
      </c>
      <c r="L45" s="20">
        <f>IF(K45="Yes",J45*Inputs!$B$29,0)</f>
        <v>0</v>
      </c>
      <c r="M45" s="16"/>
    </row>
    <row r="46" spans="1:13" s="19" customFormat="1" ht="24" customHeight="1" x14ac:dyDescent="0.25">
      <c r="A46" s="98"/>
      <c r="B46" s="112"/>
      <c r="C46" s="101"/>
      <c r="D46" s="94">
        <v>3.4000000000000004</v>
      </c>
      <c r="E46" s="125" t="s">
        <v>74</v>
      </c>
      <c r="F46" s="26" t="s">
        <v>79</v>
      </c>
      <c r="G46" s="66" t="s">
        <v>72</v>
      </c>
      <c r="H46" s="67">
        <f>IF(F46="External",(INDEX(Inputs!$B$10:$B$10,MATCH(G46,Inputs!$A$10:$A$10,0))),IF(F46="Project management",((INDEX(Inputs!$B$13:$B$15,MATCH(G46,Inputs!$A$13:$A$15,0)))/Inputs!$B$26*(1+Inputs!$B$28)),IF(G46="Training team",Inputs!$B$7/Inputs!$B$26*(1+Inputs!$B$28),IF(G46="IT System Admin",Inputs!$B$6/Inputs!$B$26*(1+Inputs!$B$28),INDEX(Inputs!$B$19:$B$22,MATCH(G46,Inputs!$A$19:$A$22,0))))))</f>
        <v>750</v>
      </c>
      <c r="I46" s="38">
        <v>100</v>
      </c>
      <c r="J46" s="68">
        <f t="shared" si="0"/>
        <v>75000</v>
      </c>
      <c r="K46" s="35" t="s">
        <v>39</v>
      </c>
      <c r="L46" s="20">
        <f>IF(K46="Yes",J46*Inputs!$B$29,0)</f>
        <v>15000</v>
      </c>
      <c r="M46" s="16"/>
    </row>
    <row r="47" spans="1:13" s="19" customFormat="1" ht="24" customHeight="1" x14ac:dyDescent="0.25">
      <c r="A47" s="98"/>
      <c r="B47" s="112"/>
      <c r="C47" s="101"/>
      <c r="D47" s="96"/>
      <c r="E47" s="126"/>
      <c r="F47" s="26" t="s">
        <v>45</v>
      </c>
      <c r="G47" s="34" t="s">
        <v>42</v>
      </c>
      <c r="H47" s="67">
        <f>IF(F47="External",(INDEX(Inputs!$B$10:$B$10,MATCH(G47,Inputs!$A$10:$A$10,0))),IF(F47="Project management",((INDEX(Inputs!$B$13:$B$15,MATCH(G47,Inputs!$A$13:$A$15,0)))/Inputs!$B$26*(1+Inputs!$B$28)),IF(G47="Training team",Inputs!$B$7/Inputs!$B$26*(1+Inputs!$B$28),IF(G47="IT System Admin",Inputs!$B$6/Inputs!$B$26*(1+Inputs!$B$28),INDEX(Inputs!$B$19:$B$22,MATCH(G47,Inputs!$A$19:$A$22,0))))))</f>
        <v>526.31578947368428</v>
      </c>
      <c r="I47" s="38">
        <v>10</v>
      </c>
      <c r="J47" s="68">
        <f t="shared" si="0"/>
        <v>5263.1578947368425</v>
      </c>
      <c r="K47" s="35" t="s">
        <v>34</v>
      </c>
      <c r="L47" s="20">
        <f>IF(K47="Yes",J47*Inputs!$B$29,0)</f>
        <v>0</v>
      </c>
      <c r="M47" s="16"/>
    </row>
    <row r="48" spans="1:13" s="19" customFormat="1" ht="24" customHeight="1" x14ac:dyDescent="0.25">
      <c r="A48" s="98"/>
      <c r="B48" s="112"/>
      <c r="C48" s="101"/>
      <c r="D48" s="94">
        <v>3.5000000000000004</v>
      </c>
      <c r="E48" s="125" t="s">
        <v>75</v>
      </c>
      <c r="F48" s="26" t="s">
        <v>79</v>
      </c>
      <c r="G48" s="66" t="s">
        <v>72</v>
      </c>
      <c r="H48" s="67">
        <f>IF(F48="External",(INDEX(Inputs!$B$10:$B$10,MATCH(G48,Inputs!$A$10:$A$10,0))),IF(F48="Project management",((INDEX(Inputs!$B$13:$B$15,MATCH(G48,Inputs!$A$13:$A$15,0)))/Inputs!$B$26*(1+Inputs!$B$28)),IF(G48="Training team",Inputs!$B$7/Inputs!$B$26*(1+Inputs!$B$28),IF(G48="IT System Admin",Inputs!$B$6/Inputs!$B$26*(1+Inputs!$B$28),INDEX(Inputs!$B$19:$B$22,MATCH(G48,Inputs!$A$19:$A$22,0))))))</f>
        <v>750</v>
      </c>
      <c r="I48" s="38">
        <v>100</v>
      </c>
      <c r="J48" s="68">
        <f t="shared" si="0"/>
        <v>75000</v>
      </c>
      <c r="K48" s="35" t="s">
        <v>39</v>
      </c>
      <c r="L48" s="20">
        <f>IF(K48="Yes",J48*Inputs!$B$29,0)</f>
        <v>15000</v>
      </c>
      <c r="M48" s="16"/>
    </row>
    <row r="49" spans="1:13" s="19" customFormat="1" ht="24" customHeight="1" x14ac:dyDescent="0.25">
      <c r="A49" s="98"/>
      <c r="B49" s="112"/>
      <c r="C49" s="101"/>
      <c r="D49" s="96"/>
      <c r="E49" s="126"/>
      <c r="F49" s="26" t="s">
        <v>45</v>
      </c>
      <c r="G49" s="34" t="s">
        <v>42</v>
      </c>
      <c r="H49" s="67">
        <f>IF(F49="External",(INDEX(Inputs!$B$10:$B$10,MATCH(G49,Inputs!$A$10:$A$10,0))),IF(F49="Project management",((INDEX(Inputs!$B$13:$B$15,MATCH(G49,Inputs!$A$13:$A$15,0)))/Inputs!$B$26*(1+Inputs!$B$28)),IF(G49="Training team",Inputs!$B$7/Inputs!$B$26*(1+Inputs!$B$28),IF(G49="IT System Admin",Inputs!$B$6/Inputs!$B$26*(1+Inputs!$B$28),INDEX(Inputs!$B$19:$B$22,MATCH(G49,Inputs!$A$19:$A$22,0))))))</f>
        <v>526.31578947368428</v>
      </c>
      <c r="I49" s="38">
        <v>10</v>
      </c>
      <c r="J49" s="68">
        <f t="shared" si="0"/>
        <v>5263.1578947368425</v>
      </c>
      <c r="K49" s="35" t="s">
        <v>34</v>
      </c>
      <c r="L49" s="20">
        <f>IF(K49="Yes",J49*Inputs!$B$29,0)</f>
        <v>0</v>
      </c>
      <c r="M49" s="16"/>
    </row>
    <row r="50" spans="1:13" s="19" customFormat="1" ht="24" customHeight="1" x14ac:dyDescent="0.25">
      <c r="A50" s="98"/>
      <c r="B50" s="112"/>
      <c r="C50" s="101"/>
      <c r="D50" s="94">
        <v>3.6000000000000005</v>
      </c>
      <c r="E50" s="125" t="s">
        <v>63</v>
      </c>
      <c r="F50" s="26" t="s">
        <v>79</v>
      </c>
      <c r="G50" s="66" t="s">
        <v>72</v>
      </c>
      <c r="H50" s="67">
        <f>IF(F50="External",(INDEX(Inputs!$B$10:$B$10,MATCH(G50,Inputs!$A$10:$A$10,0))),IF(F50="Project management",((INDEX(Inputs!$B$13:$B$15,MATCH(G50,Inputs!$A$13:$A$15,0)))/Inputs!$B$26*(1+Inputs!$B$28)),IF(G50="Training team",Inputs!$B$7/Inputs!$B$26*(1+Inputs!$B$28),IF(G50="IT System Admin",Inputs!$B$6/Inputs!$B$26*(1+Inputs!$B$28),INDEX(Inputs!$B$19:$B$22,MATCH(G50,Inputs!$A$19:$A$22,0))))))</f>
        <v>750</v>
      </c>
      <c r="I50" s="38">
        <v>200</v>
      </c>
      <c r="J50" s="68">
        <f t="shared" si="0"/>
        <v>150000</v>
      </c>
      <c r="K50" s="35" t="s">
        <v>39</v>
      </c>
      <c r="L50" s="20">
        <f>IF(K50="Yes",J50*Inputs!$B$29,0)</f>
        <v>30000</v>
      </c>
      <c r="M50" s="16"/>
    </row>
    <row r="51" spans="1:13" s="19" customFormat="1" ht="24" customHeight="1" x14ac:dyDescent="0.25">
      <c r="A51" s="98"/>
      <c r="B51" s="112"/>
      <c r="C51" s="102"/>
      <c r="D51" s="96"/>
      <c r="E51" s="126"/>
      <c r="F51" s="26" t="s">
        <v>45</v>
      </c>
      <c r="G51" s="34" t="s">
        <v>42</v>
      </c>
      <c r="H51" s="67">
        <f>IF(F51="External",(INDEX(Inputs!$B$10:$B$10,MATCH(G51,Inputs!$A$10:$A$10,0))),IF(F51="Project management",((INDEX(Inputs!$B$13:$B$15,MATCH(G51,Inputs!$A$13:$A$15,0)))/Inputs!$B$26*(1+Inputs!$B$28)),IF(G51="Training team",Inputs!$B$7/Inputs!$B$26*(1+Inputs!$B$28),IF(G51="IT System Admin",Inputs!$B$6/Inputs!$B$26*(1+Inputs!$B$28),INDEX(Inputs!$B$19:$B$22,MATCH(G51,Inputs!$A$19:$A$22,0))))))</f>
        <v>526.31578947368428</v>
      </c>
      <c r="I51" s="38">
        <v>30</v>
      </c>
      <c r="J51" s="68">
        <f t="shared" si="0"/>
        <v>15789.473684210529</v>
      </c>
      <c r="K51" s="35" t="s">
        <v>34</v>
      </c>
      <c r="L51" s="20">
        <f>IF(K51="Yes",J51*Inputs!$B$29,0)</f>
        <v>0</v>
      </c>
      <c r="M51" s="16"/>
    </row>
    <row r="52" spans="1:13" s="19" customFormat="1" ht="24" customHeight="1" x14ac:dyDescent="0.25">
      <c r="A52" s="98"/>
      <c r="B52" s="112"/>
      <c r="C52" s="94" t="s">
        <v>29</v>
      </c>
      <c r="D52" s="27">
        <v>3.7</v>
      </c>
      <c r="E52" s="31" t="s">
        <v>10</v>
      </c>
      <c r="F52" s="26" t="s">
        <v>79</v>
      </c>
      <c r="G52" s="66" t="s">
        <v>72</v>
      </c>
      <c r="H52" s="67">
        <f>IF(F52="External",(INDEX(Inputs!$B$10:$B$10,MATCH(G52,Inputs!$A$10:$A$10,0))),IF(F52="Project management",((INDEX(Inputs!$B$13:$B$15,MATCH(G52,Inputs!$A$13:$A$15,0)))/Inputs!$B$26*(1+Inputs!$B$28)),IF(G52="Training team",Inputs!$B$7/Inputs!$B$26*(1+Inputs!$B$28),IF(G52="IT System Admin",Inputs!$B$6/Inputs!$B$26*(1+Inputs!$B$28),INDEX(Inputs!$B$19:$B$22,MATCH(G52,Inputs!$A$19:$A$22,0))))))</f>
        <v>750</v>
      </c>
      <c r="I52" s="38">
        <v>2</v>
      </c>
      <c r="J52" s="68">
        <f t="shared" si="0"/>
        <v>1500</v>
      </c>
      <c r="K52" s="35" t="s">
        <v>34</v>
      </c>
      <c r="L52" s="20">
        <f>IF(K52="Yes",J52*Inputs!$B$29,0)</f>
        <v>0</v>
      </c>
      <c r="M52" s="16"/>
    </row>
    <row r="53" spans="1:13" s="19" customFormat="1" ht="24" customHeight="1" x14ac:dyDescent="0.25">
      <c r="A53" s="98"/>
      <c r="B53" s="112"/>
      <c r="C53" s="95"/>
      <c r="D53" s="27">
        <v>3.8</v>
      </c>
      <c r="E53" s="31" t="s">
        <v>30</v>
      </c>
      <c r="F53" s="26" t="s">
        <v>79</v>
      </c>
      <c r="G53" s="66" t="s">
        <v>72</v>
      </c>
      <c r="H53" s="67">
        <f>IF(F53="External",(INDEX(Inputs!$B$10:$B$10,MATCH(G53,Inputs!$A$10:$A$10,0))),IF(F53="Project management",((INDEX(Inputs!$B$13:$B$15,MATCH(G53,Inputs!$A$13:$A$15,0)))/Inputs!$B$26*(1+Inputs!$B$28)),IF(G53="Training team",Inputs!$B$7/Inputs!$B$26*(1+Inputs!$B$28),IF(G53="IT System Admin",Inputs!$B$6/Inputs!$B$26*(1+Inputs!$B$28),INDEX(Inputs!$B$19:$B$22,MATCH(G53,Inputs!$A$19:$A$22,0))))))</f>
        <v>750</v>
      </c>
      <c r="I53" s="38">
        <v>5</v>
      </c>
      <c r="J53" s="68">
        <f t="shared" si="0"/>
        <v>3750</v>
      </c>
      <c r="K53" s="35" t="s">
        <v>34</v>
      </c>
      <c r="L53" s="20">
        <f>IF(K53="Yes",J53*Inputs!$B$29,0)</f>
        <v>0</v>
      </c>
      <c r="M53" s="16"/>
    </row>
    <row r="54" spans="1:13" s="19" customFormat="1" ht="24" customHeight="1" x14ac:dyDescent="0.25">
      <c r="A54" s="98"/>
      <c r="B54" s="112"/>
      <c r="C54" s="95"/>
      <c r="D54" s="105" t="s">
        <v>33</v>
      </c>
      <c r="E54" s="122" t="s">
        <v>47</v>
      </c>
      <c r="F54" s="26" t="s">
        <v>24</v>
      </c>
      <c r="G54" s="34" t="s">
        <v>1</v>
      </c>
      <c r="H54" s="67">
        <f>IF(F54="External",(INDEX(Inputs!$B$10:$B$10,MATCH(G54,Inputs!$A$10:$A$10,0))),IF(F54="Project management",((INDEX(Inputs!$B$13:$B$15,MATCH(G54,Inputs!$A$13:$A$15,0)))/Inputs!$B$26*(1+Inputs!$B$28)),IF(G54="Training team",Inputs!$B$7/Inputs!$B$26*(1+Inputs!$B$28),IF(G54="IT System Admin",Inputs!$B$6/Inputs!$B$26*(1+Inputs!$B$28),INDEX(Inputs!$B$19:$B$22,MATCH(G54,Inputs!$A$19:$A$22,0))))))</f>
        <v>315.78947368421058</v>
      </c>
      <c r="I54" s="38">
        <v>1</v>
      </c>
      <c r="J54" s="68">
        <f t="shared" si="0"/>
        <v>315.78947368421058</v>
      </c>
      <c r="K54" s="35" t="s">
        <v>34</v>
      </c>
      <c r="L54" s="20">
        <f>IF(K54="Yes",J54*Inputs!$B$29,0)</f>
        <v>0</v>
      </c>
      <c r="M54" s="16"/>
    </row>
    <row r="55" spans="1:13" s="19" customFormat="1" ht="24" customHeight="1" x14ac:dyDescent="0.25">
      <c r="A55" s="99"/>
      <c r="B55" s="104"/>
      <c r="C55" s="96"/>
      <c r="D55" s="106"/>
      <c r="E55" s="124"/>
      <c r="F55" s="26" t="s">
        <v>24</v>
      </c>
      <c r="G55" s="34" t="s">
        <v>99</v>
      </c>
      <c r="H55" s="67">
        <f>IF(F55="External",(INDEX(Inputs!$B$10:$B$10,MATCH(G55,Inputs!$A$10:$A$10,0))),IF(F55="Project management",((INDEX(Inputs!$B$13:$B$15,MATCH(G55,Inputs!$A$13:$A$15,0)))/Inputs!$B$26*(1+Inputs!$B$28)),IF(G55="Training team",Inputs!$B$7/Inputs!$B$26*(1+Inputs!$B$28),IF(G55="IT System Admin",Inputs!$B$6/Inputs!$B$26*(1+Inputs!$B$28),INDEX(Inputs!$B$19:$B$22,MATCH(G55,Inputs!$A$19:$A$22,0))))))</f>
        <v>385.96491228070181</v>
      </c>
      <c r="I55" s="38">
        <v>5</v>
      </c>
      <c r="J55" s="68">
        <f t="shared" si="0"/>
        <v>1929.8245614035091</v>
      </c>
      <c r="K55" s="35" t="s">
        <v>34</v>
      </c>
      <c r="L55" s="20">
        <f>IF(K55="Yes",J55*Inputs!$B$29,0)</f>
        <v>0</v>
      </c>
      <c r="M55" s="16"/>
    </row>
    <row r="56" spans="1:13" s="19" customFormat="1" ht="21.75" customHeight="1" x14ac:dyDescent="0.25">
      <c r="D56" s="4"/>
      <c r="H56" s="21"/>
      <c r="J56" s="23"/>
      <c r="L56" s="22"/>
    </row>
  </sheetData>
  <mergeCells count="52">
    <mergeCell ref="E23:E24"/>
    <mergeCell ref="E54:E55"/>
    <mergeCell ref="D26:D28"/>
    <mergeCell ref="D29:D30"/>
    <mergeCell ref="D31:D32"/>
    <mergeCell ref="D33:D34"/>
    <mergeCell ref="E50:E51"/>
    <mergeCell ref="E48:E49"/>
    <mergeCell ref="D42:D43"/>
    <mergeCell ref="D44:D45"/>
    <mergeCell ref="D46:D47"/>
    <mergeCell ref="D48:D49"/>
    <mergeCell ref="E42:E43"/>
    <mergeCell ref="E44:E45"/>
    <mergeCell ref="E46:E47"/>
    <mergeCell ref="E35:E36"/>
    <mergeCell ref="D50:D51"/>
    <mergeCell ref="A41:A55"/>
    <mergeCell ref="B41:B55"/>
    <mergeCell ref="C41:C51"/>
    <mergeCell ref="C52:C55"/>
    <mergeCell ref="D54:D55"/>
    <mergeCell ref="C37:C40"/>
    <mergeCell ref="A25:A40"/>
    <mergeCell ref="B25:B40"/>
    <mergeCell ref="E33:E34"/>
    <mergeCell ref="D39:D40"/>
    <mergeCell ref="E26:E28"/>
    <mergeCell ref="E31:E32"/>
    <mergeCell ref="E39:E40"/>
    <mergeCell ref="E29:E30"/>
    <mergeCell ref="A7:C7"/>
    <mergeCell ref="K6:L6"/>
    <mergeCell ref="D9:D11"/>
    <mergeCell ref="D12:D14"/>
    <mergeCell ref="D15:D16"/>
    <mergeCell ref="E9:E11"/>
    <mergeCell ref="E12:E14"/>
    <mergeCell ref="E15:E16"/>
    <mergeCell ref="D7:E7"/>
    <mergeCell ref="F6:J6"/>
    <mergeCell ref="C8:C20"/>
    <mergeCell ref="E17:E18"/>
    <mergeCell ref="E19:E20"/>
    <mergeCell ref="C21:C24"/>
    <mergeCell ref="A8:A24"/>
    <mergeCell ref="B8:B24"/>
    <mergeCell ref="C25:C36"/>
    <mergeCell ref="D35:D36"/>
    <mergeCell ref="D17:D18"/>
    <mergeCell ref="D19:D20"/>
    <mergeCell ref="D23:D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2:N30"/>
  <sheetViews>
    <sheetView showGridLines="0" zoomScale="75" zoomScaleNormal="75" workbookViewId="0">
      <selection activeCell="A8" sqref="A8:A29"/>
    </sheetView>
  </sheetViews>
  <sheetFormatPr defaultRowHeight="12" x14ac:dyDescent="0.25"/>
  <cols>
    <col min="1" max="1" width="10.140625" style="2" customWidth="1"/>
    <col min="2" max="2" width="34.28515625" style="2" customWidth="1"/>
    <col min="3" max="3" width="15.85546875" style="2" customWidth="1"/>
    <col min="4" max="4" width="6.7109375" style="4" customWidth="1"/>
    <col min="5" max="5" width="114.140625" style="19" customWidth="1"/>
    <col min="6" max="6" width="26.7109375" style="2" customWidth="1"/>
    <col min="7" max="7" width="28" style="15" customWidth="1"/>
    <col min="8" max="8" width="21.28515625" style="2" customWidth="1"/>
    <col min="9" max="11" width="24.28515625" style="15" customWidth="1"/>
    <col min="12" max="12" width="18" style="14" customWidth="1"/>
    <col min="13" max="13" width="9.85546875" style="2" bestFit="1" customWidth="1"/>
    <col min="14" max="16384" width="9.140625" style="2"/>
  </cols>
  <sheetData>
    <row r="2" spans="1:13" ht="20.25" x14ac:dyDescent="0.25">
      <c r="A2" s="11" t="s">
        <v>97</v>
      </c>
      <c r="B2" s="11"/>
      <c r="C2" s="11"/>
      <c r="E2" s="29"/>
      <c r="F2" s="11"/>
      <c r="G2" s="12"/>
      <c r="H2" s="11"/>
      <c r="I2" s="13"/>
      <c r="J2" s="13"/>
      <c r="K2" s="13"/>
    </row>
    <row r="3" spans="1:13" ht="12.75" customHeight="1" x14ac:dyDescent="0.25">
      <c r="A3" s="11"/>
      <c r="B3" s="11"/>
      <c r="C3" s="11"/>
      <c r="E3" s="29"/>
      <c r="F3" s="11"/>
      <c r="G3" s="12"/>
      <c r="H3" s="11"/>
      <c r="I3" s="13"/>
      <c r="J3" s="13"/>
      <c r="K3" s="13"/>
    </row>
    <row r="4" spans="1:13" x14ac:dyDescent="0.25">
      <c r="A4" s="3" t="s">
        <v>0</v>
      </c>
    </row>
    <row r="5" spans="1:13" x14ac:dyDescent="0.25">
      <c r="A5" s="3"/>
    </row>
    <row r="6" spans="1:13" ht="15" customHeight="1" x14ac:dyDescent="0.25">
      <c r="F6" s="119" t="s">
        <v>19</v>
      </c>
      <c r="G6" s="120"/>
      <c r="H6" s="120"/>
      <c r="I6" s="120"/>
      <c r="J6" s="121"/>
      <c r="K6" s="110" t="s">
        <v>21</v>
      </c>
      <c r="L6" s="111"/>
    </row>
    <row r="7" spans="1:13" s="19" customFormat="1" ht="29.25" customHeight="1" x14ac:dyDescent="0.25">
      <c r="A7" s="107" t="s">
        <v>7</v>
      </c>
      <c r="B7" s="108"/>
      <c r="C7" s="109"/>
      <c r="D7" s="107" t="s">
        <v>26</v>
      </c>
      <c r="E7" s="109"/>
      <c r="F7" s="28" t="s">
        <v>23</v>
      </c>
      <c r="G7" s="33" t="s">
        <v>25</v>
      </c>
      <c r="H7" s="36" t="s">
        <v>8</v>
      </c>
      <c r="I7" s="37" t="s">
        <v>9</v>
      </c>
      <c r="J7" s="17" t="s">
        <v>20</v>
      </c>
      <c r="K7" s="17" t="s">
        <v>31</v>
      </c>
      <c r="L7" s="25" t="s">
        <v>22</v>
      </c>
    </row>
    <row r="8" spans="1:13" s="19" customFormat="1" ht="24" customHeight="1" x14ac:dyDescent="0.25">
      <c r="A8" s="97">
        <v>1</v>
      </c>
      <c r="B8" s="94" t="s">
        <v>90</v>
      </c>
      <c r="C8" s="94" t="s">
        <v>28</v>
      </c>
      <c r="D8" s="27">
        <v>1.1000000000000001</v>
      </c>
      <c r="E8" s="30" t="s">
        <v>10</v>
      </c>
      <c r="F8" s="65" t="s">
        <v>79</v>
      </c>
      <c r="G8" s="66" t="s">
        <v>72</v>
      </c>
      <c r="H8" s="67">
        <f>IF(F8="External",(INDEX(Inputs!$B$10:$B$10,MATCH(G8,Inputs!$A$10:$A$10,0))),IF(F8="Project management",((INDEX(Inputs!$B$13:$B$15,MATCH(G8,Inputs!$A$13:$A$15,0)))/Inputs!$B$26*(1+Inputs!$B$28)),IF(G8="Training team",Inputs!$B$7/Inputs!$B$26*(1+Inputs!$B$28),IF(G8="IT System Admin",Inputs!$B$6/Inputs!$B$26*(1+Inputs!$B$28),INDEX(Inputs!$B$19:$B$22,MATCH(G8,Inputs!$A$19:$A$22,0))))))</f>
        <v>750</v>
      </c>
      <c r="I8" s="38">
        <v>30</v>
      </c>
      <c r="J8" s="44">
        <f>IF(F8="Hardware / software licence",H8,H8*I8)</f>
        <v>22500</v>
      </c>
      <c r="K8" s="35" t="s">
        <v>34</v>
      </c>
      <c r="L8" s="20">
        <f>IF(K8="Yes",J8*Inputs!$B$29,0)</f>
        <v>0</v>
      </c>
      <c r="M8" s="16"/>
    </row>
    <row r="9" spans="1:13" s="19" customFormat="1" ht="24" customHeight="1" x14ac:dyDescent="0.25">
      <c r="A9" s="98"/>
      <c r="B9" s="95"/>
      <c r="C9" s="95"/>
      <c r="D9" s="94">
        <v>1.2000000000000002</v>
      </c>
      <c r="E9" s="127" t="s">
        <v>91</v>
      </c>
      <c r="F9" s="65" t="s">
        <v>79</v>
      </c>
      <c r="G9" s="66" t="s">
        <v>72</v>
      </c>
      <c r="H9" s="67">
        <f>IF(F9="External",(INDEX(Inputs!$B$10:$B$10,MATCH(G9,Inputs!$A$10:$A$10,0))),IF(F9="Project management",((INDEX(Inputs!$B$13:$B$15,MATCH(G9,Inputs!$A$13:$A$15,0)))/Inputs!$B$26*(1+Inputs!$B$28)),IF(G9="Training team",Inputs!$B$7/Inputs!$B$26*(1+Inputs!$B$28),IF(G9="IT System Admin",Inputs!$B$6/Inputs!$B$26*(1+Inputs!$B$28),INDEX(Inputs!$B$19:$B$22,MATCH(G9,Inputs!$A$19:$A$22,0))))))</f>
        <v>750</v>
      </c>
      <c r="I9" s="38">
        <v>50</v>
      </c>
      <c r="J9" s="44">
        <f t="shared" ref="J9:J29" si="0">IF(F9="Hardware / software licence",H9,H9*I9)</f>
        <v>37500</v>
      </c>
      <c r="K9" s="35" t="s">
        <v>39</v>
      </c>
      <c r="L9" s="20">
        <f>IF(K9="Yes",J9*Inputs!$B$29,0)</f>
        <v>7500</v>
      </c>
      <c r="M9" s="16"/>
    </row>
    <row r="10" spans="1:13" s="19" customFormat="1" ht="24" customHeight="1" x14ac:dyDescent="0.25">
      <c r="A10" s="98"/>
      <c r="B10" s="95"/>
      <c r="C10" s="95"/>
      <c r="D10" s="96"/>
      <c r="E10" s="128"/>
      <c r="F10" s="26" t="s">
        <v>45</v>
      </c>
      <c r="G10" s="34" t="s">
        <v>42</v>
      </c>
      <c r="H10" s="67">
        <f>IF(F10="External",(INDEX(Inputs!$B$10:$B$10,MATCH(G10,Inputs!$A$10:$A$10,0))),IF(F10="Project management",((INDEX(Inputs!$B$13:$B$15,MATCH(G10,Inputs!$A$13:$A$15,0)))/Inputs!$B$26*(1+Inputs!$B$28)),IF(G10="Training team",Inputs!$B$7/Inputs!$B$26*(1+Inputs!$B$28),IF(G10="IT System Admin",Inputs!$B$6/Inputs!$B$26*(1+Inputs!$B$28),INDEX(Inputs!$B$19:$B$22,MATCH(G10,Inputs!$A$19:$A$22,0))))))</f>
        <v>526.31578947368428</v>
      </c>
      <c r="I10" s="38">
        <v>10</v>
      </c>
      <c r="J10" s="44">
        <f t="shared" si="0"/>
        <v>5263.1578947368425</v>
      </c>
      <c r="K10" s="35" t="s">
        <v>34</v>
      </c>
      <c r="L10" s="20">
        <f>IF(K10="Yes",J10*Inputs!$B$29,0)</f>
        <v>0</v>
      </c>
      <c r="M10" s="16"/>
    </row>
    <row r="11" spans="1:13" s="19" customFormat="1" ht="24" customHeight="1" x14ac:dyDescent="0.25">
      <c r="A11" s="98"/>
      <c r="B11" s="95"/>
      <c r="C11" s="95"/>
      <c r="D11" s="94">
        <v>1.3000000000000003</v>
      </c>
      <c r="E11" s="122" t="s">
        <v>92</v>
      </c>
      <c r="F11" s="65" t="s">
        <v>79</v>
      </c>
      <c r="G11" s="66" t="s">
        <v>72</v>
      </c>
      <c r="H11" s="67">
        <f>IF(F11="External",(INDEX(Inputs!$B$10:$B$10,MATCH(G11,Inputs!$A$10:$A$10,0))),IF(F11="Project management",((INDEX(Inputs!$B$13:$B$15,MATCH(G11,Inputs!$A$13:$A$15,0)))/Inputs!$B$26*(1+Inputs!$B$28)),IF(G11="Training team",Inputs!$B$7/Inputs!$B$26*(1+Inputs!$B$28),IF(G11="IT System Admin",Inputs!$B$6/Inputs!$B$26*(1+Inputs!$B$28),INDEX(Inputs!$B$19:$B$22,MATCH(G11,Inputs!$A$19:$A$22,0))))))</f>
        <v>750</v>
      </c>
      <c r="I11" s="38">
        <v>150</v>
      </c>
      <c r="J11" s="44">
        <f t="shared" si="0"/>
        <v>112500</v>
      </c>
      <c r="K11" s="35" t="s">
        <v>39</v>
      </c>
      <c r="L11" s="20">
        <f>IF(K11="Yes",J11*Inputs!$B$29,0)</f>
        <v>22500</v>
      </c>
      <c r="M11" s="16"/>
    </row>
    <row r="12" spans="1:13" s="19" customFormat="1" ht="24" customHeight="1" x14ac:dyDescent="0.25">
      <c r="A12" s="98"/>
      <c r="B12" s="95"/>
      <c r="C12" s="95"/>
      <c r="D12" s="95"/>
      <c r="E12" s="123"/>
      <c r="F12" s="26" t="s">
        <v>14</v>
      </c>
      <c r="G12" s="34" t="s">
        <v>16</v>
      </c>
      <c r="H12" s="67">
        <f>IF(F12="External",(INDEX(Inputs!$B$10:$B$10,MATCH(G12,Inputs!$A$10:$A$10,0))),IF(F12="Project management",((INDEX(Inputs!$B$13:$B$15,MATCH(G12,Inputs!$A$13:$A$15,0)))/Inputs!$B$26*(1+Inputs!$B$28)),IF(G12="Training team",Inputs!$B$7/Inputs!$B$26*(1+Inputs!$B$28),IF(G12="IT System Admin",Inputs!$B$6/Inputs!$B$26*(1+Inputs!$B$28),INDEX(Inputs!$B$19:$B$22,MATCH(G12,Inputs!$A$19:$A$22,0))))))</f>
        <v>50000</v>
      </c>
      <c r="I12" s="38">
        <v>150</v>
      </c>
      <c r="J12" s="44">
        <f t="shared" si="0"/>
        <v>50000</v>
      </c>
      <c r="K12" s="35" t="s">
        <v>39</v>
      </c>
      <c r="L12" s="20">
        <f>IF(K12="Yes",J12*Inputs!$B$29,0)</f>
        <v>10000</v>
      </c>
      <c r="M12" s="16"/>
    </row>
    <row r="13" spans="1:13" s="19" customFormat="1" ht="24" customHeight="1" x14ac:dyDescent="0.25">
      <c r="A13" s="98"/>
      <c r="B13" s="95"/>
      <c r="C13" s="95"/>
      <c r="D13" s="96"/>
      <c r="E13" s="124"/>
      <c r="F13" s="26" t="s">
        <v>45</v>
      </c>
      <c r="G13" s="34" t="s">
        <v>43</v>
      </c>
      <c r="H13" s="67">
        <f>IF(F13="External",(INDEX(Inputs!$B$10:$B$10,MATCH(G13,Inputs!$A$10:$A$10,0))),IF(F13="Project management",((INDEX(Inputs!$B$13:$B$15,MATCH(G13,Inputs!$A$13:$A$15,0)))/Inputs!$B$26*(1+Inputs!$B$28)),IF(G13="Training team",Inputs!$B$7/Inputs!$B$26*(1+Inputs!$B$28),IF(G13="IT System Admin",Inputs!$B$6/Inputs!$B$26*(1+Inputs!$B$28),INDEX(Inputs!$B$19:$B$22,MATCH(G13,Inputs!$A$19:$A$22,0))))))</f>
        <v>596.49122807017545</v>
      </c>
      <c r="I13" s="38">
        <v>20</v>
      </c>
      <c r="J13" s="44">
        <f t="shared" si="0"/>
        <v>11929.82456140351</v>
      </c>
      <c r="K13" s="35" t="s">
        <v>34</v>
      </c>
      <c r="L13" s="20">
        <f>IF(K13="Yes",J13*Inputs!$B$29,0)</f>
        <v>0</v>
      </c>
      <c r="M13" s="16"/>
    </row>
    <row r="14" spans="1:13" s="19" customFormat="1" ht="24" customHeight="1" x14ac:dyDescent="0.25">
      <c r="A14" s="98"/>
      <c r="B14" s="95"/>
      <c r="C14" s="95"/>
      <c r="D14" s="94">
        <v>1.4000000000000004</v>
      </c>
      <c r="E14" s="122" t="s">
        <v>93</v>
      </c>
      <c r="F14" s="65" t="s">
        <v>79</v>
      </c>
      <c r="G14" s="66" t="s">
        <v>72</v>
      </c>
      <c r="H14" s="67">
        <f>IF(F14="External",(INDEX(Inputs!$B$10:$B$10,MATCH(G14,Inputs!$A$10:$A$10,0))),IF(F14="Project management",((INDEX(Inputs!$B$13:$B$15,MATCH(G14,Inputs!$A$13:$A$15,0)))/Inputs!$B$26*(1+Inputs!$B$28)),IF(G14="Training team",Inputs!$B$7/Inputs!$B$26*(1+Inputs!$B$28),IF(G14="IT System Admin",Inputs!$B$6/Inputs!$B$26*(1+Inputs!$B$28),INDEX(Inputs!$B$19:$B$22,MATCH(G14,Inputs!$A$19:$A$22,0))))))</f>
        <v>750</v>
      </c>
      <c r="I14" s="38">
        <v>60</v>
      </c>
      <c r="J14" s="44">
        <f t="shared" si="0"/>
        <v>45000</v>
      </c>
      <c r="K14" s="35" t="s">
        <v>39</v>
      </c>
      <c r="L14" s="20">
        <f>IF(K14="Yes",J14*Inputs!$B$29,0)</f>
        <v>9000</v>
      </c>
      <c r="M14" s="16"/>
    </row>
    <row r="15" spans="1:13" s="19" customFormat="1" ht="24" customHeight="1" x14ac:dyDescent="0.25">
      <c r="A15" s="98"/>
      <c r="B15" s="95"/>
      <c r="C15" s="95"/>
      <c r="D15" s="96"/>
      <c r="E15" s="124"/>
      <c r="F15" s="26" t="s">
        <v>45</v>
      </c>
      <c r="G15" s="34" t="s">
        <v>43</v>
      </c>
      <c r="H15" s="67">
        <f>IF(F15="External",(INDEX(Inputs!$B$10:$B$10,MATCH(G15,Inputs!$A$10:$A$10,0))),IF(F15="Project management",((INDEX(Inputs!$B$13:$B$15,MATCH(G15,Inputs!$A$13:$A$15,0)))/Inputs!$B$26*(1+Inputs!$B$28)),IF(G15="Training team",Inputs!$B$7/Inputs!$B$26*(1+Inputs!$B$28),IF(G15="IT System Admin",Inputs!$B$6/Inputs!$B$26*(1+Inputs!$B$28),INDEX(Inputs!$B$19:$B$22,MATCH(G15,Inputs!$A$19:$A$22,0))))))</f>
        <v>596.49122807017545</v>
      </c>
      <c r="I15" s="38">
        <v>10</v>
      </c>
      <c r="J15" s="44">
        <f t="shared" si="0"/>
        <v>5964.9122807017548</v>
      </c>
      <c r="K15" s="35" t="s">
        <v>34</v>
      </c>
      <c r="L15" s="20">
        <f>IF(K15="Yes",J15*Inputs!$B$29,0)</f>
        <v>0</v>
      </c>
      <c r="M15" s="16"/>
    </row>
    <row r="16" spans="1:13" s="19" customFormat="1" ht="24" customHeight="1" x14ac:dyDescent="0.25">
      <c r="A16" s="98"/>
      <c r="B16" s="95"/>
      <c r="C16" s="95"/>
      <c r="D16" s="94">
        <v>1.5000000000000004</v>
      </c>
      <c r="E16" s="122" t="s">
        <v>87</v>
      </c>
      <c r="F16" s="65" t="s">
        <v>79</v>
      </c>
      <c r="G16" s="66" t="s">
        <v>72</v>
      </c>
      <c r="H16" s="67">
        <f>IF(F16="External",(INDEX(Inputs!$B$10:$B$10,MATCH(G16,Inputs!$A$10:$A$10,0))),IF(F16="Project management",((INDEX(Inputs!$B$13:$B$15,MATCH(G16,Inputs!$A$13:$A$15,0)))/Inputs!$B$26*(1+Inputs!$B$28)),IF(G16="Training team",Inputs!$B$7/Inputs!$B$26*(1+Inputs!$B$28),IF(G16="IT System Admin",Inputs!$B$6/Inputs!$B$26*(1+Inputs!$B$28),INDEX(Inputs!$B$19:$B$22,MATCH(G16,Inputs!$A$19:$A$22,0))))))</f>
        <v>750</v>
      </c>
      <c r="I16" s="38">
        <v>150</v>
      </c>
      <c r="J16" s="44">
        <f t="shared" si="0"/>
        <v>112500</v>
      </c>
      <c r="K16" s="35" t="s">
        <v>39</v>
      </c>
      <c r="L16" s="20">
        <f>IF(K16="Yes",J16*Inputs!$B$29,0)</f>
        <v>22500</v>
      </c>
      <c r="M16" s="16"/>
    </row>
    <row r="17" spans="1:14" s="19" customFormat="1" ht="24" customHeight="1" x14ac:dyDescent="0.25">
      <c r="A17" s="98"/>
      <c r="B17" s="95"/>
      <c r="C17" s="95"/>
      <c r="D17" s="96"/>
      <c r="E17" s="124"/>
      <c r="F17" s="26" t="s">
        <v>45</v>
      </c>
      <c r="G17" s="34" t="s">
        <v>43</v>
      </c>
      <c r="H17" s="67">
        <f>IF(F17="External",(INDEX(Inputs!$B$10:$B$10,MATCH(G17,Inputs!$A$10:$A$10,0))),IF(F17="Project management",((INDEX(Inputs!$B$13:$B$15,MATCH(G17,Inputs!$A$13:$A$15,0)))/Inputs!$B$26*(1+Inputs!$B$28)),IF(G17="Training team",Inputs!$B$7/Inputs!$B$26*(1+Inputs!$B$28),IF(G17="IT System Admin",Inputs!$B$6/Inputs!$B$26*(1+Inputs!$B$28),INDEX(Inputs!$B$19:$B$22,MATCH(G17,Inputs!$A$19:$A$22,0))))))</f>
        <v>596.49122807017545</v>
      </c>
      <c r="I17" s="38">
        <v>20</v>
      </c>
      <c r="J17" s="44">
        <f t="shared" si="0"/>
        <v>11929.82456140351</v>
      </c>
      <c r="K17" s="35" t="s">
        <v>34</v>
      </c>
      <c r="L17" s="20">
        <f>IF(K17="Yes",J17*Inputs!$B$29,0)</f>
        <v>0</v>
      </c>
      <c r="M17" s="16"/>
    </row>
    <row r="18" spans="1:14" s="19" customFormat="1" ht="24" customHeight="1" x14ac:dyDescent="0.25">
      <c r="A18" s="98"/>
      <c r="B18" s="95"/>
      <c r="C18" s="95"/>
      <c r="D18" s="94">
        <v>1.6000000000000005</v>
      </c>
      <c r="E18" s="122" t="s">
        <v>94</v>
      </c>
      <c r="F18" s="65" t="s">
        <v>79</v>
      </c>
      <c r="G18" s="66" t="s">
        <v>72</v>
      </c>
      <c r="H18" s="67">
        <f>IF(F18="External",(INDEX(Inputs!$B$10:$B$10,MATCH(G18,Inputs!$A$10:$A$10,0))),IF(F18="Project management",((INDEX(Inputs!$B$13:$B$15,MATCH(G18,Inputs!$A$13:$A$15,0)))/Inputs!$B$26*(1+Inputs!$B$28)),IF(G18="Training team",Inputs!$B$7/Inputs!$B$26*(1+Inputs!$B$28),IF(G18="IT System Admin",Inputs!$B$6/Inputs!$B$26*(1+Inputs!$B$28),INDEX(Inputs!$B$19:$B$22,MATCH(G18,Inputs!$A$19:$A$22,0))))))</f>
        <v>750</v>
      </c>
      <c r="I18" s="38">
        <v>150</v>
      </c>
      <c r="J18" s="44">
        <f t="shared" si="0"/>
        <v>112500</v>
      </c>
      <c r="K18" s="35" t="s">
        <v>39</v>
      </c>
      <c r="L18" s="20">
        <f>IF(K18="Yes",J18*Inputs!$B$29,0)</f>
        <v>22500</v>
      </c>
      <c r="M18" s="16"/>
    </row>
    <row r="19" spans="1:14" s="19" customFormat="1" ht="24" customHeight="1" x14ac:dyDescent="0.25">
      <c r="A19" s="98"/>
      <c r="B19" s="95"/>
      <c r="C19" s="95"/>
      <c r="D19" s="96"/>
      <c r="E19" s="124"/>
      <c r="F19" s="26" t="s">
        <v>45</v>
      </c>
      <c r="G19" s="34" t="s">
        <v>43</v>
      </c>
      <c r="H19" s="67">
        <f>IF(F19="External",(INDEX(Inputs!$B$10:$B$10,MATCH(G19,Inputs!$A$10:$A$10,0))),IF(F19="Project management",((INDEX(Inputs!$B$13:$B$15,MATCH(G19,Inputs!$A$13:$A$15,0)))/Inputs!$B$26*(1+Inputs!$B$28)),IF(G19="Training team",Inputs!$B$7/Inputs!$B$26*(1+Inputs!$B$28),IF(G19="IT System Admin",Inputs!$B$6/Inputs!$B$26*(1+Inputs!$B$28),INDEX(Inputs!$B$19:$B$22,MATCH(G19,Inputs!$A$19:$A$22,0))))))</f>
        <v>596.49122807017545</v>
      </c>
      <c r="I19" s="38">
        <v>30</v>
      </c>
      <c r="J19" s="44">
        <f t="shared" si="0"/>
        <v>17894.736842105263</v>
      </c>
      <c r="K19" s="35" t="s">
        <v>34</v>
      </c>
      <c r="L19" s="20">
        <f>IF(K19="Yes",J19*Inputs!$B$29,0)</f>
        <v>0</v>
      </c>
      <c r="M19" s="16"/>
    </row>
    <row r="20" spans="1:14" s="19" customFormat="1" ht="24" customHeight="1" x14ac:dyDescent="0.25">
      <c r="A20" s="98"/>
      <c r="B20" s="95"/>
      <c r="C20" s="95"/>
      <c r="D20" s="94">
        <v>1.7000000000000006</v>
      </c>
      <c r="E20" s="122" t="s">
        <v>95</v>
      </c>
      <c r="F20" s="65" t="s">
        <v>79</v>
      </c>
      <c r="G20" s="66" t="s">
        <v>72</v>
      </c>
      <c r="H20" s="67">
        <f>IF(F20="External",(INDEX(Inputs!$B$10:$B$10,MATCH(G20,Inputs!$A$10:$A$10,0))),IF(F20="Project management",((INDEX(Inputs!$B$13:$B$15,MATCH(G20,Inputs!$A$13:$A$15,0)))/Inputs!$B$26*(1+Inputs!$B$28)),IF(G20="Training team",Inputs!$B$7/Inputs!$B$26*(1+Inputs!$B$28),IF(G20="IT System Admin",Inputs!$B$6/Inputs!$B$26*(1+Inputs!$B$28),INDEX(Inputs!$B$19:$B$22,MATCH(G20,Inputs!$A$19:$A$22,0))))))</f>
        <v>750</v>
      </c>
      <c r="I20" s="38">
        <v>100</v>
      </c>
      <c r="J20" s="44">
        <f t="shared" ref="J20:J23" si="1">IF(F20="Hardware / software licence",H20,H20*I20)</f>
        <v>75000</v>
      </c>
      <c r="K20" s="35" t="s">
        <v>39</v>
      </c>
      <c r="L20" s="20">
        <f>IF(K20="Yes",J20*Inputs!$B$29,0)</f>
        <v>15000</v>
      </c>
      <c r="M20" s="16"/>
    </row>
    <row r="21" spans="1:14" s="19" customFormat="1" ht="24" customHeight="1" x14ac:dyDescent="0.25">
      <c r="A21" s="98"/>
      <c r="B21" s="95"/>
      <c r="C21" s="95"/>
      <c r="D21" s="96"/>
      <c r="E21" s="124"/>
      <c r="F21" s="26" t="s">
        <v>45</v>
      </c>
      <c r="G21" s="34" t="s">
        <v>42</v>
      </c>
      <c r="H21" s="67">
        <f>IF(F21="External",(INDEX(Inputs!$B$10:$B$10,MATCH(G21,Inputs!$A$10:$A$10,0))),IF(F21="Project management",((INDEX(Inputs!$B$13:$B$15,MATCH(G21,Inputs!$A$13:$A$15,0)))/Inputs!$B$26*(1+Inputs!$B$28)),IF(G21="Training team",Inputs!$B$7/Inputs!$B$26*(1+Inputs!$B$28),IF(G21="IT System Admin",Inputs!$B$6/Inputs!$B$26*(1+Inputs!$B$28),INDEX(Inputs!$B$19:$B$22,MATCH(G21,Inputs!$A$19:$A$22,0))))))</f>
        <v>526.31578947368428</v>
      </c>
      <c r="I21" s="38">
        <v>20</v>
      </c>
      <c r="J21" s="44">
        <f t="shared" si="1"/>
        <v>10526.315789473685</v>
      </c>
      <c r="K21" s="35" t="s">
        <v>34</v>
      </c>
      <c r="L21" s="20">
        <f>IF(K21="Yes",J21*Inputs!$B$29,0)</f>
        <v>0</v>
      </c>
      <c r="M21" s="16"/>
    </row>
    <row r="22" spans="1:14" s="19" customFormat="1" ht="24" customHeight="1" x14ac:dyDescent="0.25">
      <c r="A22" s="98"/>
      <c r="B22" s="95"/>
      <c r="C22" s="95"/>
      <c r="D22" s="94">
        <v>1.8</v>
      </c>
      <c r="E22" s="122" t="s">
        <v>96</v>
      </c>
      <c r="F22" s="65" t="s">
        <v>79</v>
      </c>
      <c r="G22" s="66" t="s">
        <v>72</v>
      </c>
      <c r="H22" s="67">
        <f>IF(F22="External",(INDEX(Inputs!$B$10:$B$10,MATCH(G22,Inputs!$A$10:$A$10,0))),IF(F22="Project management",((INDEX(Inputs!$B$13:$B$15,MATCH(G22,Inputs!$A$13:$A$15,0)))/Inputs!$B$26*(1+Inputs!$B$28)),IF(G22="Training team",Inputs!$B$7/Inputs!$B$26*(1+Inputs!$B$28),IF(G22="IT System Admin",Inputs!$B$6/Inputs!$B$26*(1+Inputs!$B$28),INDEX(Inputs!$B$19:$B$22,MATCH(G22,Inputs!$A$19:$A$22,0))))))</f>
        <v>750</v>
      </c>
      <c r="I22" s="38">
        <v>100</v>
      </c>
      <c r="J22" s="44">
        <f t="shared" si="1"/>
        <v>75000</v>
      </c>
      <c r="K22" s="35" t="s">
        <v>39</v>
      </c>
      <c r="L22" s="20">
        <f>IF(K22="Yes",J22*Inputs!$B$29,0)</f>
        <v>15000</v>
      </c>
      <c r="M22" s="16"/>
    </row>
    <row r="23" spans="1:14" s="19" customFormat="1" ht="24" customHeight="1" x14ac:dyDescent="0.25">
      <c r="A23" s="98"/>
      <c r="B23" s="95"/>
      <c r="C23" s="95"/>
      <c r="D23" s="96"/>
      <c r="E23" s="124"/>
      <c r="F23" s="26" t="s">
        <v>45</v>
      </c>
      <c r="G23" s="34" t="s">
        <v>42</v>
      </c>
      <c r="H23" s="67">
        <f>IF(F23="External",(INDEX(Inputs!$B$10:$B$10,MATCH(G23,Inputs!$A$10:$A$10,0))),IF(F23="Project management",((INDEX(Inputs!$B$13:$B$15,MATCH(G23,Inputs!$A$13:$A$15,0)))/Inputs!$B$26*(1+Inputs!$B$28)),IF(G23="Training team",Inputs!$B$7/Inputs!$B$26*(1+Inputs!$B$28),IF(G23="IT System Admin",Inputs!$B$6/Inputs!$B$26*(1+Inputs!$B$28),INDEX(Inputs!$B$19:$B$22,MATCH(G23,Inputs!$A$19:$A$22,0))))))</f>
        <v>526.31578947368428</v>
      </c>
      <c r="I23" s="38">
        <v>20</v>
      </c>
      <c r="J23" s="44">
        <f t="shared" si="1"/>
        <v>10526.315789473685</v>
      </c>
      <c r="K23" s="35" t="s">
        <v>34</v>
      </c>
      <c r="L23" s="20">
        <f>IF(K23="Yes",J23*Inputs!$B$29,0)</f>
        <v>0</v>
      </c>
      <c r="M23" s="16"/>
    </row>
    <row r="24" spans="1:14" s="19" customFormat="1" ht="24" customHeight="1" x14ac:dyDescent="0.25">
      <c r="A24" s="98"/>
      <c r="B24" s="95"/>
      <c r="C24" s="95"/>
      <c r="D24" s="94">
        <v>1.9</v>
      </c>
      <c r="E24" s="122" t="s">
        <v>80</v>
      </c>
      <c r="F24" s="65" t="s">
        <v>79</v>
      </c>
      <c r="G24" s="66" t="s">
        <v>72</v>
      </c>
      <c r="H24" s="67">
        <f>IF(F24="External",(INDEX(Inputs!$B$10:$B$10,MATCH(G24,Inputs!$A$10:$A$10,0))),IF(F24="Project management",((INDEX(Inputs!$B$13:$B$15,MATCH(G24,Inputs!$A$13:$A$15,0)))/Inputs!$B$26*(1+Inputs!$B$28)),IF(G24="Training team",Inputs!$B$7/Inputs!$B$26*(1+Inputs!$B$28),IF(G24="IT System Admin",Inputs!$B$6/Inputs!$B$26*(1+Inputs!$B$28),INDEX(Inputs!$B$19:$B$22,MATCH(G24,Inputs!$A$19:$A$22,0))))))</f>
        <v>750</v>
      </c>
      <c r="I24" s="38">
        <v>244</v>
      </c>
      <c r="J24" s="44">
        <f t="shared" si="0"/>
        <v>183000</v>
      </c>
      <c r="K24" s="35" t="s">
        <v>39</v>
      </c>
      <c r="L24" s="20">
        <f>IF(K24="Yes",J24*Inputs!$B$29,0)</f>
        <v>36600</v>
      </c>
      <c r="M24" s="16"/>
    </row>
    <row r="25" spans="1:14" s="19" customFormat="1" ht="24" customHeight="1" x14ac:dyDescent="0.25">
      <c r="A25" s="98"/>
      <c r="B25" s="95"/>
      <c r="C25" s="96"/>
      <c r="D25" s="96"/>
      <c r="E25" s="124"/>
      <c r="F25" s="26" t="s">
        <v>45</v>
      </c>
      <c r="G25" s="34" t="s">
        <v>42</v>
      </c>
      <c r="H25" s="67">
        <f>IF(F25="External",(INDEX(Inputs!$B$10:$B$10,MATCH(G25,Inputs!$A$10:$A$10,0))),IF(F25="Project management",((INDEX(Inputs!$B$13:$B$15,MATCH(G25,Inputs!$A$13:$A$15,0)))/Inputs!$B$26*(1+Inputs!$B$28)),IF(G25="Training team",Inputs!$B$7/Inputs!$B$26*(1+Inputs!$B$28),IF(G25="IT System Admin",Inputs!$B$6/Inputs!$B$26*(1+Inputs!$B$28),INDEX(Inputs!$B$19:$B$22,MATCH(G25,Inputs!$A$19:$A$22,0))))))</f>
        <v>526.31578947368428</v>
      </c>
      <c r="I25" s="38">
        <v>50</v>
      </c>
      <c r="J25" s="44">
        <f t="shared" si="0"/>
        <v>26315.789473684214</v>
      </c>
      <c r="K25" s="35" t="s">
        <v>34</v>
      </c>
      <c r="L25" s="20">
        <f>IF(K25="Yes",J25*Inputs!$B$29,0)</f>
        <v>0</v>
      </c>
      <c r="M25" s="16"/>
    </row>
    <row r="26" spans="1:14" s="19" customFormat="1" ht="24" customHeight="1" x14ac:dyDescent="0.25">
      <c r="A26" s="98"/>
      <c r="B26" s="95"/>
      <c r="C26" s="94" t="s">
        <v>29</v>
      </c>
      <c r="D26" s="39" t="s">
        <v>27</v>
      </c>
      <c r="E26" s="31" t="s">
        <v>10</v>
      </c>
      <c r="F26" s="65" t="s">
        <v>79</v>
      </c>
      <c r="G26" s="66" t="s">
        <v>72</v>
      </c>
      <c r="H26" s="67">
        <f>IF(F26="External",(INDEX(Inputs!$B$10:$B$10,MATCH(G26,Inputs!$A$10:$A$10,0))),IF(F26="Project management",((INDEX(Inputs!$B$13:$B$15,MATCH(G26,Inputs!$A$13:$A$15,0)))/Inputs!$B$26*(1+Inputs!$B$28)),IF(G26="Training team",Inputs!$B$7/Inputs!$B$26*(1+Inputs!$B$28),IF(G26="IT System Admin",Inputs!$B$6/Inputs!$B$26*(1+Inputs!$B$28),INDEX(Inputs!$B$19:$B$22,MATCH(G26,Inputs!$A$19:$A$22,0))))))</f>
        <v>750</v>
      </c>
      <c r="I26" s="38">
        <v>5</v>
      </c>
      <c r="J26" s="44">
        <f t="shared" si="0"/>
        <v>3750</v>
      </c>
      <c r="K26" s="35" t="s">
        <v>34</v>
      </c>
      <c r="L26" s="20">
        <f>IF(K26="Yes",J26*Inputs!$B$29,0)</f>
        <v>0</v>
      </c>
      <c r="M26" s="16"/>
    </row>
    <row r="27" spans="1:14" s="19" customFormat="1" ht="24" customHeight="1" x14ac:dyDescent="0.25">
      <c r="A27" s="98"/>
      <c r="B27" s="95"/>
      <c r="C27" s="95"/>
      <c r="D27" s="39">
        <v>1.1100000000000001</v>
      </c>
      <c r="E27" s="31" t="s">
        <v>30</v>
      </c>
      <c r="F27" s="65" t="s">
        <v>79</v>
      </c>
      <c r="G27" s="66" t="s">
        <v>72</v>
      </c>
      <c r="H27" s="67">
        <f>IF(F27="External",(INDEX(Inputs!$B$10:$B$10,MATCH(G27,Inputs!$A$10:$A$10,0))),IF(F27="Project management",((INDEX(Inputs!$B$13:$B$15,MATCH(G27,Inputs!$A$13:$A$15,0)))/Inputs!$B$26*(1+Inputs!$B$28)),IF(G27="Training team",Inputs!$B$7/Inputs!$B$26*(1+Inputs!$B$28),IF(G27="IT System Admin",Inputs!$B$6/Inputs!$B$26*(1+Inputs!$B$28),INDEX(Inputs!$B$19:$B$22,MATCH(G27,Inputs!$A$19:$A$22,0))))))</f>
        <v>750</v>
      </c>
      <c r="I27" s="38">
        <v>10</v>
      </c>
      <c r="J27" s="44">
        <f t="shared" si="0"/>
        <v>7500</v>
      </c>
      <c r="K27" s="35" t="s">
        <v>34</v>
      </c>
      <c r="L27" s="20">
        <f>IF(K27="Yes",J27*Inputs!$B$29,0)</f>
        <v>0</v>
      </c>
      <c r="M27" s="16"/>
    </row>
    <row r="28" spans="1:14" s="19" customFormat="1" ht="24" customHeight="1" x14ac:dyDescent="0.25">
      <c r="A28" s="98"/>
      <c r="B28" s="95"/>
      <c r="C28" s="95"/>
      <c r="D28" s="105" t="s">
        <v>46</v>
      </c>
      <c r="E28" s="129" t="s">
        <v>48</v>
      </c>
      <c r="F28" s="26" t="s">
        <v>24</v>
      </c>
      <c r="G28" s="34" t="s">
        <v>1</v>
      </c>
      <c r="H28" s="67">
        <f>IF(F28="External",(INDEX(Inputs!$B$10:$B$10,MATCH(G28,Inputs!$A$10:$A$10,0))),IF(F28="Project management",((INDEX(Inputs!$B$13:$B$15,MATCH(G28,Inputs!$A$13:$A$15,0)))/Inputs!$B$26*(1+Inputs!$B$28)),IF(G28="Training team",Inputs!$B$7/Inputs!$B$26*(1+Inputs!$B$28),IF(G28="IT System Admin",Inputs!$B$6/Inputs!$B$26*(1+Inputs!$B$28),INDEX(Inputs!$B$19:$B$22,MATCH(G28,Inputs!$A$19:$A$22,0))))))</f>
        <v>315.78947368421058</v>
      </c>
      <c r="I28" s="38">
        <v>2</v>
      </c>
      <c r="J28" s="44">
        <f t="shared" ref="J28" si="2">IF(F28="Hardware / software licence",H28,H28*I28)</f>
        <v>631.57894736842115</v>
      </c>
      <c r="K28" s="35" t="s">
        <v>34</v>
      </c>
      <c r="L28" s="20">
        <f>IF(K28="Yes",J28*Inputs!$B$29,0)</f>
        <v>0</v>
      </c>
      <c r="M28" s="16"/>
    </row>
    <row r="29" spans="1:14" s="19" customFormat="1" ht="24" customHeight="1" x14ac:dyDescent="0.25">
      <c r="A29" s="99"/>
      <c r="B29" s="96"/>
      <c r="C29" s="96"/>
      <c r="D29" s="106"/>
      <c r="E29" s="130"/>
      <c r="F29" s="65" t="s">
        <v>24</v>
      </c>
      <c r="G29" s="66" t="s">
        <v>99</v>
      </c>
      <c r="H29" s="67">
        <f>IF(F29="External",(INDEX(Inputs!$B$10:$B$10,MATCH(G29,Inputs!$A$10:$A$10,0))),IF(F29="Project management",((INDEX(Inputs!$B$13:$B$15,MATCH(G29,Inputs!$A$13:$A$15,0)))/Inputs!$B$26*(1+Inputs!$B$28)),IF(G29="Training team",Inputs!$B$7/Inputs!$B$26*(1+Inputs!$B$28),IF(G29="IT System Admin",Inputs!$B$6/Inputs!$B$26*(1+Inputs!$B$28),INDEX(Inputs!$B$19:$B$22,MATCH(G29,Inputs!$A$19:$A$22,0))))))</f>
        <v>385.96491228070181</v>
      </c>
      <c r="I29" s="38">
        <v>10</v>
      </c>
      <c r="J29" s="44">
        <f t="shared" si="0"/>
        <v>3859.6491228070181</v>
      </c>
      <c r="K29" s="35" t="s">
        <v>34</v>
      </c>
      <c r="L29" s="20">
        <f>IF(K29="Yes",J29*Inputs!$B$29,0)</f>
        <v>0</v>
      </c>
      <c r="M29" s="16"/>
      <c r="N29" s="23"/>
    </row>
    <row r="30" spans="1:14" s="19" customFormat="1" ht="21.75" customHeight="1" x14ac:dyDescent="0.25">
      <c r="D30" s="4"/>
      <c r="H30" s="21"/>
      <c r="J30" s="23"/>
      <c r="L30" s="22"/>
    </row>
  </sheetData>
  <mergeCells count="26">
    <mergeCell ref="D28:D29"/>
    <mergeCell ref="E28:E29"/>
    <mergeCell ref="D24:D25"/>
    <mergeCell ref="E24:E25"/>
    <mergeCell ref="D18:D19"/>
    <mergeCell ref="E18:E19"/>
    <mergeCell ref="D20:D21"/>
    <mergeCell ref="E20:E21"/>
    <mergeCell ref="D22:D23"/>
    <mergeCell ref="E22:E23"/>
    <mergeCell ref="F6:J6"/>
    <mergeCell ref="K6:L6"/>
    <mergeCell ref="A7:C7"/>
    <mergeCell ref="D7:E7"/>
    <mergeCell ref="A8:A29"/>
    <mergeCell ref="B8:B29"/>
    <mergeCell ref="C8:C25"/>
    <mergeCell ref="D9:D10"/>
    <mergeCell ref="E9:E10"/>
    <mergeCell ref="D11:D13"/>
    <mergeCell ref="C26:C29"/>
    <mergeCell ref="E11:E13"/>
    <mergeCell ref="D14:D15"/>
    <mergeCell ref="E14:E15"/>
    <mergeCell ref="D16:D17"/>
    <mergeCell ref="E16:E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2:N60"/>
  <sheetViews>
    <sheetView showGridLines="0" zoomScale="75" zoomScaleNormal="75" workbookViewId="0">
      <selection activeCell="E12" sqref="E12:E14"/>
    </sheetView>
  </sheetViews>
  <sheetFormatPr defaultRowHeight="12" x14ac:dyDescent="0.25"/>
  <cols>
    <col min="1" max="1" width="10.140625" style="2" customWidth="1"/>
    <col min="2" max="2" width="34.28515625" style="2" customWidth="1"/>
    <col min="3" max="3" width="15.85546875" style="2" customWidth="1"/>
    <col min="4" max="4" width="6.7109375" style="4" customWidth="1"/>
    <col min="5" max="5" width="114.140625" style="19" customWidth="1"/>
    <col min="6" max="6" width="26.7109375" style="2" customWidth="1"/>
    <col min="7" max="7" width="28" style="15" customWidth="1"/>
    <col min="8" max="8" width="21.28515625" style="2" customWidth="1"/>
    <col min="9" max="11" width="24.28515625" style="15" customWidth="1"/>
    <col min="12" max="12" width="18" style="14" customWidth="1"/>
    <col min="13" max="13" width="9.85546875" style="2" bestFit="1" customWidth="1"/>
    <col min="14" max="16384" width="9.140625" style="2"/>
  </cols>
  <sheetData>
    <row r="2" spans="1:13" ht="26.25" x14ac:dyDescent="0.25">
      <c r="A2" s="59" t="s">
        <v>59</v>
      </c>
      <c r="B2" s="11"/>
      <c r="C2" s="11"/>
      <c r="E2" s="29"/>
      <c r="F2" s="11"/>
      <c r="G2" s="12"/>
      <c r="H2" s="11"/>
      <c r="I2" s="13"/>
      <c r="J2" s="13"/>
      <c r="K2" s="13"/>
    </row>
    <row r="3" spans="1:13" ht="12.75" customHeight="1" x14ac:dyDescent="0.25">
      <c r="A3" s="11"/>
      <c r="B3" s="11"/>
      <c r="C3" s="11"/>
      <c r="E3" s="29"/>
      <c r="F3" s="11"/>
      <c r="G3" s="12"/>
      <c r="H3" s="11"/>
      <c r="I3" s="13"/>
      <c r="J3" s="13"/>
      <c r="K3" s="13"/>
    </row>
    <row r="4" spans="1:13" ht="12.75" x14ac:dyDescent="0.25">
      <c r="A4" s="56"/>
    </row>
    <row r="5" spans="1:13" x14ac:dyDescent="0.25">
      <c r="A5" s="3"/>
    </row>
    <row r="6" spans="1:13" ht="15" customHeight="1" x14ac:dyDescent="0.25">
      <c r="F6" s="119" t="s">
        <v>19</v>
      </c>
      <c r="G6" s="120"/>
      <c r="H6" s="120"/>
      <c r="I6" s="120"/>
      <c r="J6" s="121"/>
      <c r="K6" s="110" t="s">
        <v>21</v>
      </c>
      <c r="L6" s="111"/>
    </row>
    <row r="7" spans="1:13" s="19" customFormat="1" ht="29.25" customHeight="1" x14ac:dyDescent="0.25">
      <c r="A7" s="107" t="s">
        <v>7</v>
      </c>
      <c r="B7" s="108"/>
      <c r="C7" s="109"/>
      <c r="D7" s="107" t="s">
        <v>26</v>
      </c>
      <c r="E7" s="109"/>
      <c r="F7" s="28" t="s">
        <v>23</v>
      </c>
      <c r="G7" s="33" t="s">
        <v>25</v>
      </c>
      <c r="H7" s="36" t="s">
        <v>8</v>
      </c>
      <c r="I7" s="37" t="s">
        <v>9</v>
      </c>
      <c r="J7" s="58" t="s">
        <v>20</v>
      </c>
      <c r="K7" s="58" t="s">
        <v>31</v>
      </c>
      <c r="L7" s="25" t="s">
        <v>22</v>
      </c>
    </row>
    <row r="8" spans="1:13" s="19" customFormat="1" ht="24" customHeight="1" x14ac:dyDescent="0.25">
      <c r="A8" s="97">
        <v>1</v>
      </c>
      <c r="B8" s="103" t="s">
        <v>86</v>
      </c>
      <c r="C8" s="94" t="s">
        <v>55</v>
      </c>
      <c r="D8" s="60">
        <v>1.1000000000000001</v>
      </c>
      <c r="E8" s="30" t="s">
        <v>10</v>
      </c>
      <c r="F8" s="65" t="s">
        <v>79</v>
      </c>
      <c r="G8" s="66" t="s">
        <v>72</v>
      </c>
      <c r="H8" s="67">
        <f>IF(F8="External",(INDEX(Inputs!$B$10:$B$10,MATCH(G8,Inputs!$A$10:$A$10,0))),IF(F8="Project management",((INDEX(Inputs!$B$13:$B$15,MATCH(G8,Inputs!$A$13:$A$15,0)))/Inputs!$B$26*(1+Inputs!$B$28)),IF(G8="Training team",Inputs!$B$7/Inputs!$B$26*(1+Inputs!$B$28),IF(G8="IT System Admin",Inputs!$B$6/Inputs!$B$26*(1+Inputs!$B$28),INDEX(Inputs!$B$19:$B$22,MATCH(G8,Inputs!$A$19:$A$22,0))))))</f>
        <v>750</v>
      </c>
      <c r="I8" s="61">
        <v>20</v>
      </c>
      <c r="J8" s="44">
        <f>IF(F8="Hardware / software licence",H8,H8*I8)</f>
        <v>15000</v>
      </c>
      <c r="K8" s="35" t="s">
        <v>34</v>
      </c>
      <c r="L8" s="20">
        <f>IF(K8="Yes",J8*Inputs!$B$29,0)</f>
        <v>0</v>
      </c>
      <c r="M8" s="16"/>
    </row>
    <row r="9" spans="1:13" s="19" customFormat="1" ht="24" customHeight="1" x14ac:dyDescent="0.25">
      <c r="A9" s="98"/>
      <c r="B9" s="112"/>
      <c r="C9" s="95"/>
      <c r="D9" s="103">
        <v>1.2000000000000002</v>
      </c>
      <c r="E9" s="131" t="s">
        <v>11</v>
      </c>
      <c r="F9" s="65" t="s">
        <v>79</v>
      </c>
      <c r="G9" s="66" t="s">
        <v>72</v>
      </c>
      <c r="H9" s="67">
        <f>IF(F9="External",(INDEX(Inputs!$B$10:$B$10,MATCH(G9,Inputs!$A$10:$A$10,0))),IF(F9="Project management",((INDEX(Inputs!$B$13:$B$15,MATCH(G9,Inputs!$A$13:$A$15,0)))/Inputs!$B$26*(1+Inputs!$B$28)),IF(G9="Training team",Inputs!$B$7/Inputs!$B$26*(1+Inputs!$B$28),IF(G9="IT System Admin",Inputs!$B$6/Inputs!$B$26*(1+Inputs!$B$28),INDEX(Inputs!$B$19:$B$22,MATCH(G9,Inputs!$A$19:$A$22,0))))))</f>
        <v>750</v>
      </c>
      <c r="I9" s="38">
        <v>40</v>
      </c>
      <c r="J9" s="44">
        <f t="shared" ref="J9:J59" si="0">IF(F9="Hardware / software licence",H9,H9*I9)</f>
        <v>30000</v>
      </c>
      <c r="K9" s="35" t="s">
        <v>39</v>
      </c>
      <c r="L9" s="20">
        <f>IF(K9="Yes",J9*Inputs!$B$29,0)</f>
        <v>6000</v>
      </c>
      <c r="M9" s="16"/>
    </row>
    <row r="10" spans="1:13" s="19" customFormat="1" ht="24" customHeight="1" x14ac:dyDescent="0.25">
      <c r="A10" s="98"/>
      <c r="B10" s="112"/>
      <c r="C10" s="95"/>
      <c r="D10" s="112"/>
      <c r="E10" s="132"/>
      <c r="F10" s="26" t="s">
        <v>14</v>
      </c>
      <c r="G10" s="34" t="s">
        <v>50</v>
      </c>
      <c r="H10" s="67">
        <f>IF(F10="External",(INDEX(Inputs!$B$10:$B$10,MATCH(G10,Inputs!$A$10:$A$10,0))),IF(F10="Project management",((INDEX(Inputs!$B$13:$B$15,MATCH(G10,Inputs!$A$13:$A$15,0)))/Inputs!$B$26*(1+Inputs!$B$28)),IF(G10="Training team",Inputs!$B$7/Inputs!$B$26*(1+Inputs!$B$28),IF(G10="IT System Admin",Inputs!$B$6/Inputs!$B$26*(1+Inputs!$B$28),INDEX(Inputs!$B$19:$B$22,MATCH(G10,Inputs!$A$19:$A$22,0))))))</f>
        <v>100000</v>
      </c>
      <c r="I10" s="38">
        <v>0</v>
      </c>
      <c r="J10" s="44">
        <f t="shared" si="0"/>
        <v>100000</v>
      </c>
      <c r="K10" s="35" t="s">
        <v>39</v>
      </c>
      <c r="L10" s="20">
        <f>IF(K10="Yes",J10*Inputs!$B$29,0)</f>
        <v>20000</v>
      </c>
      <c r="M10" s="16"/>
    </row>
    <row r="11" spans="1:13" s="19" customFormat="1" ht="24" customHeight="1" x14ac:dyDescent="0.25">
      <c r="A11" s="98"/>
      <c r="B11" s="112"/>
      <c r="C11" s="95"/>
      <c r="D11" s="104"/>
      <c r="E11" s="133"/>
      <c r="F11" s="26" t="s">
        <v>45</v>
      </c>
      <c r="G11" s="34" t="s">
        <v>42</v>
      </c>
      <c r="H11" s="67">
        <f>IF(F11="External",(INDEX(Inputs!$B$10:$B$10,MATCH(G11,Inputs!$A$10:$A$10,0))),IF(F11="Project management",((INDEX(Inputs!$B$13:$B$15,MATCH(G11,Inputs!$A$13:$A$15,0)))/Inputs!$B$26*(1+Inputs!$B$28)),IF(G11="Training team",Inputs!$B$7/Inputs!$B$26*(1+Inputs!$B$28),IF(G11="IT System Admin",Inputs!$B$6/Inputs!$B$26*(1+Inputs!$B$28),INDEX(Inputs!$B$19:$B$22,MATCH(G11,Inputs!$A$19:$A$22,0))))))</f>
        <v>526.31578947368428</v>
      </c>
      <c r="I11" s="38">
        <v>5</v>
      </c>
      <c r="J11" s="44">
        <f t="shared" si="0"/>
        <v>2631.5789473684213</v>
      </c>
      <c r="K11" s="35" t="s">
        <v>34</v>
      </c>
      <c r="L11" s="20">
        <f>IF(K11="Yes",J11*Inputs!$B$29,0)</f>
        <v>0</v>
      </c>
      <c r="M11" s="16"/>
    </row>
    <row r="12" spans="1:13" s="19" customFormat="1" ht="24" customHeight="1" x14ac:dyDescent="0.25">
      <c r="A12" s="98"/>
      <c r="B12" s="112"/>
      <c r="C12" s="95"/>
      <c r="D12" s="103">
        <v>1.3</v>
      </c>
      <c r="E12" s="116" t="s">
        <v>81</v>
      </c>
      <c r="F12" s="65" t="s">
        <v>79</v>
      </c>
      <c r="G12" s="66" t="s">
        <v>72</v>
      </c>
      <c r="H12" s="67">
        <f>IF(F12="External",(INDEX(Inputs!$B$10:$B$10,MATCH(G12,Inputs!$A$10:$A$10,0))),IF(F12="Project management",((INDEX(Inputs!$B$13:$B$15,MATCH(G12,Inputs!$A$13:$A$15,0)))/Inputs!$B$26*(1+Inputs!$B$28)),IF(G12="Training team",Inputs!$B$7/Inputs!$B$26*(1+Inputs!$B$28),IF(G12="IT System Admin",Inputs!$B$6/Inputs!$B$26*(1+Inputs!$B$28),INDEX(Inputs!$B$19:$B$22,MATCH(G12,Inputs!$A$19:$A$22,0))))))</f>
        <v>750</v>
      </c>
      <c r="I12" s="61">
        <v>275</v>
      </c>
      <c r="J12" s="44">
        <f t="shared" si="0"/>
        <v>206250</v>
      </c>
      <c r="K12" s="35" t="s">
        <v>39</v>
      </c>
      <c r="L12" s="20">
        <f>IF(K12="Yes",J12*Inputs!$B$29,0)</f>
        <v>41250</v>
      </c>
      <c r="M12" s="16"/>
    </row>
    <row r="13" spans="1:13" s="19" customFormat="1" ht="24" customHeight="1" x14ac:dyDescent="0.25">
      <c r="A13" s="98"/>
      <c r="B13" s="112"/>
      <c r="C13" s="95"/>
      <c r="D13" s="112"/>
      <c r="E13" s="117"/>
      <c r="F13" s="26" t="s">
        <v>14</v>
      </c>
      <c r="G13" s="34" t="s">
        <v>53</v>
      </c>
      <c r="H13" s="67">
        <f>IF(F13="External",(INDEX(Inputs!$B$10:$B$10,MATCH(G13,Inputs!$A$10:$A$10,0))),IF(F13="Project management",((INDEX(Inputs!$B$13:$B$15,MATCH(G13,Inputs!$A$13:$A$15,0)))/Inputs!$B$26*(1+Inputs!$B$28)),IF(G13="Training team",Inputs!$B$7/Inputs!$B$26*(1+Inputs!$B$28),IF(G13="IT System Admin",Inputs!$B$6/Inputs!$B$26*(1+Inputs!$B$28),INDEX(Inputs!$B$19:$B$22,MATCH(G13,Inputs!$A$19:$A$22,0))))))</f>
        <v>75000</v>
      </c>
      <c r="I13" s="38">
        <v>0</v>
      </c>
      <c r="J13" s="44">
        <f t="shared" si="0"/>
        <v>75000</v>
      </c>
      <c r="K13" s="35" t="s">
        <v>39</v>
      </c>
      <c r="L13" s="20">
        <f>IF(K13="Yes",J13*Inputs!$B$29,0)</f>
        <v>15000</v>
      </c>
      <c r="M13" s="16"/>
    </row>
    <row r="14" spans="1:13" s="19" customFormat="1" ht="18.75" customHeight="1" x14ac:dyDescent="0.25">
      <c r="A14" s="98"/>
      <c r="B14" s="112"/>
      <c r="C14" s="95"/>
      <c r="D14" s="104"/>
      <c r="E14" s="118"/>
      <c r="F14" s="26" t="s">
        <v>45</v>
      </c>
      <c r="G14" s="34" t="s">
        <v>43</v>
      </c>
      <c r="H14" s="67">
        <f>IF(F14="External",(INDEX(Inputs!$B$10:$B$10,MATCH(G14,Inputs!$A$10:$A$10,0))),IF(F14="Project management",((INDEX(Inputs!$B$13:$B$15,MATCH(G14,Inputs!$A$13:$A$15,0)))/Inputs!$B$26*(1+Inputs!$B$28)),IF(G14="Training team",Inputs!$B$7/Inputs!$B$26*(1+Inputs!$B$28),IF(G14="IT System Admin",Inputs!$B$6/Inputs!$B$26*(1+Inputs!$B$28),INDEX(Inputs!$B$19:$B$22,MATCH(G14,Inputs!$A$19:$A$22,0))))))</f>
        <v>596.49122807017545</v>
      </c>
      <c r="I14" s="61">
        <v>30</v>
      </c>
      <c r="J14" s="44">
        <f t="shared" si="0"/>
        <v>17894.736842105263</v>
      </c>
      <c r="K14" s="35" t="s">
        <v>34</v>
      </c>
      <c r="L14" s="20">
        <f>IF(K14="Yes",J14*Inputs!$B$29,0)</f>
        <v>0</v>
      </c>
      <c r="M14" s="16"/>
    </row>
    <row r="15" spans="1:13" s="19" customFormat="1" ht="24" customHeight="1" x14ac:dyDescent="0.25">
      <c r="A15" s="98"/>
      <c r="B15" s="112"/>
      <c r="C15" s="95"/>
      <c r="D15" s="94">
        <v>1.4</v>
      </c>
      <c r="E15" s="116" t="s">
        <v>56</v>
      </c>
      <c r="F15" s="65" t="s">
        <v>79</v>
      </c>
      <c r="G15" s="66" t="s">
        <v>72</v>
      </c>
      <c r="H15" s="67">
        <f>IF(F15="External",(INDEX(Inputs!$B$10:$B$10,MATCH(G15,Inputs!$A$10:$A$10,0))),IF(F15="Project management",((INDEX(Inputs!$B$13:$B$15,MATCH(G15,Inputs!$A$13:$A$15,0)))/Inputs!$B$26*(1+Inputs!$B$28)),IF(G15="Training team",Inputs!$B$7/Inputs!$B$26*(1+Inputs!$B$28),IF(G15="IT System Admin",Inputs!$B$6/Inputs!$B$26*(1+Inputs!$B$28),INDEX(Inputs!$B$19:$B$22,MATCH(G15,Inputs!$A$19:$A$22,0))))))</f>
        <v>750</v>
      </c>
      <c r="I15" s="61">
        <v>100</v>
      </c>
      <c r="J15" s="44">
        <f t="shared" si="0"/>
        <v>75000</v>
      </c>
      <c r="K15" s="35" t="s">
        <v>39</v>
      </c>
      <c r="L15" s="20">
        <f>IF(K15="Yes",J15*Inputs!$B$29,0)</f>
        <v>15000</v>
      </c>
      <c r="M15" s="16"/>
    </row>
    <row r="16" spans="1:13" s="19" customFormat="1" ht="24" customHeight="1" x14ac:dyDescent="0.25">
      <c r="A16" s="98"/>
      <c r="B16" s="112"/>
      <c r="C16" s="95"/>
      <c r="D16" s="96"/>
      <c r="E16" s="118"/>
      <c r="F16" s="26" t="s">
        <v>45</v>
      </c>
      <c r="G16" s="34" t="s">
        <v>43</v>
      </c>
      <c r="H16" s="67">
        <f>IF(F16="External",(INDEX(Inputs!$B$10:$B$10,MATCH(G16,Inputs!$A$10:$A$10,0))),IF(F16="Project management",((INDEX(Inputs!$B$13:$B$15,MATCH(G16,Inputs!$A$13:$A$15,0)))/Inputs!$B$26*(1+Inputs!$B$28)),IF(G16="Training team",Inputs!$B$7/Inputs!$B$26*(1+Inputs!$B$28),IF(G16="IT System Admin",Inputs!$B$6/Inputs!$B$26*(1+Inputs!$B$28),INDEX(Inputs!$B$19:$B$22,MATCH(G16,Inputs!$A$19:$A$22,0))))))</f>
        <v>596.49122807017545</v>
      </c>
      <c r="I16" s="38">
        <v>30</v>
      </c>
      <c r="J16" s="44">
        <f t="shared" si="0"/>
        <v>17894.736842105263</v>
      </c>
      <c r="K16" s="35" t="s">
        <v>34</v>
      </c>
      <c r="L16" s="20">
        <f>IF(K16="Yes",J16*Inputs!$B$29,0)</f>
        <v>0</v>
      </c>
      <c r="M16" s="16"/>
    </row>
    <row r="17" spans="1:14" s="19" customFormat="1" ht="24" customHeight="1" x14ac:dyDescent="0.25">
      <c r="A17" s="98"/>
      <c r="B17" s="112"/>
      <c r="C17" s="95"/>
      <c r="D17" s="94">
        <v>1.5</v>
      </c>
      <c r="E17" s="122" t="s">
        <v>82</v>
      </c>
      <c r="F17" s="65" t="s">
        <v>79</v>
      </c>
      <c r="G17" s="66" t="s">
        <v>72</v>
      </c>
      <c r="H17" s="67">
        <f>IF(F17="External",(INDEX(Inputs!$B$10:$B$10,MATCH(G17,Inputs!$A$10:$A$10,0))),IF(F17="Project management",((INDEX(Inputs!$B$13:$B$15,MATCH(G17,Inputs!$A$13:$A$15,0)))/Inputs!$B$26*(1+Inputs!$B$28)),IF(G17="Training team",Inputs!$B$7/Inputs!$B$26*(1+Inputs!$B$28),IF(G17="IT System Admin",Inputs!$B$6/Inputs!$B$26*(1+Inputs!$B$28),INDEX(Inputs!$B$19:$B$22,MATCH(G17,Inputs!$A$19:$A$22,0))))))</f>
        <v>750</v>
      </c>
      <c r="I17" s="38">
        <v>270</v>
      </c>
      <c r="J17" s="44">
        <f t="shared" si="0"/>
        <v>202500</v>
      </c>
      <c r="K17" s="35" t="s">
        <v>39</v>
      </c>
      <c r="L17" s="20">
        <f>IF(K17="Yes",J17*Inputs!$B$29,0)</f>
        <v>40500</v>
      </c>
      <c r="M17" s="16"/>
    </row>
    <row r="18" spans="1:14" s="19" customFormat="1" ht="24" customHeight="1" x14ac:dyDescent="0.25">
      <c r="A18" s="98"/>
      <c r="B18" s="112"/>
      <c r="C18" s="95"/>
      <c r="D18" s="96"/>
      <c r="E18" s="124"/>
      <c r="F18" s="26" t="s">
        <v>45</v>
      </c>
      <c r="G18" s="34" t="s">
        <v>43</v>
      </c>
      <c r="H18" s="67">
        <f>IF(F18="External",(INDEX(Inputs!$B$10:$B$10,MATCH(G18,Inputs!$A$10:$A$10,0))),IF(F18="Project management",((INDEX(Inputs!$B$13:$B$15,MATCH(G18,Inputs!$A$13:$A$15,0)))/Inputs!$B$26*(1+Inputs!$B$28)),IF(G18="Training team",Inputs!$B$7/Inputs!$B$26*(1+Inputs!$B$28),IF(G18="IT System Admin",Inputs!$B$6/Inputs!$B$26*(1+Inputs!$B$28),INDEX(Inputs!$B$19:$B$22,MATCH(G18,Inputs!$A$19:$A$22,0))))))</f>
        <v>596.49122807017545</v>
      </c>
      <c r="I18" s="38">
        <v>40</v>
      </c>
      <c r="J18" s="44">
        <f t="shared" si="0"/>
        <v>23859.649122807019</v>
      </c>
      <c r="K18" s="35" t="s">
        <v>34</v>
      </c>
      <c r="L18" s="20">
        <f>IF(K18="Yes",J18*Inputs!$B$29,0)</f>
        <v>0</v>
      </c>
      <c r="M18" s="16"/>
    </row>
    <row r="19" spans="1:14" s="19" customFormat="1" ht="24" customHeight="1" x14ac:dyDescent="0.25">
      <c r="A19" s="98"/>
      <c r="B19" s="112"/>
      <c r="C19" s="95"/>
      <c r="D19" s="94">
        <v>1.6</v>
      </c>
      <c r="E19" s="122" t="s">
        <v>83</v>
      </c>
      <c r="F19" s="65" t="s">
        <v>79</v>
      </c>
      <c r="G19" s="66" t="s">
        <v>72</v>
      </c>
      <c r="H19" s="67">
        <f>IF(F19="External",(INDEX(Inputs!$B$10:$B$10,MATCH(G19,Inputs!$A$10:$A$10,0))),IF(F19="Project management",((INDEX(Inputs!$B$13:$B$15,MATCH(G19,Inputs!$A$13:$A$15,0)))/Inputs!$B$26*(1+Inputs!$B$28)),IF(G19="Training team",Inputs!$B$7/Inputs!$B$26*(1+Inputs!$B$28),IF(G19="IT System Admin",Inputs!$B$6/Inputs!$B$26*(1+Inputs!$B$28),INDEX(Inputs!$B$19:$B$22,MATCH(G19,Inputs!$A$19:$A$22,0))))))</f>
        <v>750</v>
      </c>
      <c r="I19" s="38">
        <v>170</v>
      </c>
      <c r="J19" s="44">
        <f t="shared" si="0"/>
        <v>127500</v>
      </c>
      <c r="K19" s="35" t="s">
        <v>39</v>
      </c>
      <c r="L19" s="20">
        <f>IF(K19="Yes",J19*Inputs!$B$29,0)</f>
        <v>25500</v>
      </c>
      <c r="M19" s="16"/>
    </row>
    <row r="20" spans="1:14" s="19" customFormat="1" ht="24" customHeight="1" x14ac:dyDescent="0.25">
      <c r="A20" s="98"/>
      <c r="B20" s="112"/>
      <c r="C20" s="95"/>
      <c r="D20" s="96"/>
      <c r="E20" s="124"/>
      <c r="F20" s="26" t="s">
        <v>45</v>
      </c>
      <c r="G20" s="34" t="s">
        <v>43</v>
      </c>
      <c r="H20" s="67">
        <f>IF(F20="External",(INDEX(Inputs!$B$10:$B$10,MATCH(G20,Inputs!$A$10:$A$10,0))),IF(F20="Project management",((INDEX(Inputs!$B$13:$B$15,MATCH(G20,Inputs!$A$13:$A$15,0)))/Inputs!$B$26*(1+Inputs!$B$28)),IF(G20="Training team",Inputs!$B$7/Inputs!$B$26*(1+Inputs!$B$28),IF(G20="IT System Admin",Inputs!$B$6/Inputs!$B$26*(1+Inputs!$B$28),INDEX(Inputs!$B$19:$B$22,MATCH(G20,Inputs!$A$19:$A$22,0))))))</f>
        <v>596.49122807017545</v>
      </c>
      <c r="I20" s="38">
        <v>40</v>
      </c>
      <c r="J20" s="44">
        <f t="shared" si="0"/>
        <v>23859.649122807019</v>
      </c>
      <c r="K20" s="35" t="s">
        <v>34</v>
      </c>
      <c r="L20" s="20">
        <f>IF(K20="Yes",J20*Inputs!$B$29,0)</f>
        <v>0</v>
      </c>
      <c r="M20" s="16"/>
    </row>
    <row r="21" spans="1:14" s="19" customFormat="1" ht="24" customHeight="1" x14ac:dyDescent="0.25">
      <c r="A21" s="98"/>
      <c r="B21" s="112"/>
      <c r="C21" s="95"/>
      <c r="D21" s="103">
        <v>1.7</v>
      </c>
      <c r="E21" s="116" t="s">
        <v>87</v>
      </c>
      <c r="F21" s="71" t="s">
        <v>79</v>
      </c>
      <c r="G21" s="72" t="s">
        <v>72</v>
      </c>
      <c r="H21" s="67">
        <f>IF(F21="External",(INDEX(Inputs!$B$10:$B$10,MATCH(G21,Inputs!$A$10:$A$10,0))),IF(F21="Project management",((INDEX(Inputs!$B$13:$B$15,MATCH(G21,Inputs!$A$13:$A$15,0)))/Inputs!$B$26*(1+Inputs!$B$28)),IF(G21="Training team",Inputs!$B$7/Inputs!$B$26*(1+Inputs!$B$28),IF(G21="IT System Admin",Inputs!$B$6/Inputs!$B$26*(1+Inputs!$B$28),INDEX(Inputs!$B$19:$B$22,MATCH(G21,Inputs!$A$19:$A$22,0))))))</f>
        <v>750</v>
      </c>
      <c r="I21" s="61">
        <v>150</v>
      </c>
      <c r="J21" s="73">
        <f t="shared" si="0"/>
        <v>112500</v>
      </c>
      <c r="K21" s="74" t="s">
        <v>39</v>
      </c>
      <c r="L21" s="75">
        <f>IF(K21="Yes",J21*Inputs!$B$29,0)</f>
        <v>22500</v>
      </c>
      <c r="M21" s="16"/>
    </row>
    <row r="22" spans="1:14" s="19" customFormat="1" ht="24" customHeight="1" x14ac:dyDescent="0.25">
      <c r="A22" s="98"/>
      <c r="B22" s="112"/>
      <c r="C22" s="95"/>
      <c r="D22" s="104"/>
      <c r="E22" s="118"/>
      <c r="F22" s="71" t="s">
        <v>45</v>
      </c>
      <c r="G22" s="72" t="s">
        <v>43</v>
      </c>
      <c r="H22" s="67">
        <f>IF(F22="External",(INDEX(Inputs!$B$10:$B$10,MATCH(G22,Inputs!$A$10:$A$10,0))),IF(F22="Project management",((INDEX(Inputs!$B$13:$B$15,MATCH(G22,Inputs!$A$13:$A$15,0)))/Inputs!$B$26*(1+Inputs!$B$28)),IF(G22="Training team",Inputs!$B$7/Inputs!$B$26*(1+Inputs!$B$28),IF(G22="IT System Admin",Inputs!$B$6/Inputs!$B$26*(1+Inputs!$B$28),INDEX(Inputs!$B$19:$B$22,MATCH(G22,Inputs!$A$19:$A$22,0))))))</f>
        <v>596.49122807017545</v>
      </c>
      <c r="I22" s="61">
        <v>20</v>
      </c>
      <c r="J22" s="73">
        <f t="shared" si="0"/>
        <v>11929.82456140351</v>
      </c>
      <c r="K22" s="74" t="s">
        <v>34</v>
      </c>
      <c r="L22" s="75">
        <f>IF(K22="Yes",J22*Inputs!$B$29,0)</f>
        <v>0</v>
      </c>
      <c r="M22" s="16"/>
    </row>
    <row r="23" spans="1:14" s="19" customFormat="1" ht="24" customHeight="1" x14ac:dyDescent="0.25">
      <c r="A23" s="98"/>
      <c r="B23" s="112"/>
      <c r="C23" s="95"/>
      <c r="D23" s="103">
        <v>1.8</v>
      </c>
      <c r="E23" s="116" t="s">
        <v>88</v>
      </c>
      <c r="F23" s="71" t="s">
        <v>79</v>
      </c>
      <c r="G23" s="72" t="s">
        <v>72</v>
      </c>
      <c r="H23" s="67">
        <f>IF(F23="External",(INDEX(Inputs!$B$10:$B$10,MATCH(G23,Inputs!$A$10:$A$10,0))),IF(F23="Project management",((INDEX(Inputs!$B$13:$B$15,MATCH(G23,Inputs!$A$13:$A$15,0)))/Inputs!$B$26*(1+Inputs!$B$28)),IF(G23="Training team",Inputs!$B$7/Inputs!$B$26*(1+Inputs!$B$28),IF(G23="IT System Admin",Inputs!$B$6/Inputs!$B$26*(1+Inputs!$B$28),INDEX(Inputs!$B$19:$B$22,MATCH(G23,Inputs!$A$19:$A$22,0))))))</f>
        <v>750</v>
      </c>
      <c r="I23" s="61">
        <v>150</v>
      </c>
      <c r="J23" s="73">
        <f t="shared" si="0"/>
        <v>112500</v>
      </c>
      <c r="K23" s="74" t="s">
        <v>39</v>
      </c>
      <c r="L23" s="75">
        <f>IF(K23="Yes",J23*Inputs!$B$29,0)</f>
        <v>22500</v>
      </c>
      <c r="M23" s="16"/>
    </row>
    <row r="24" spans="1:14" s="19" customFormat="1" ht="24" customHeight="1" x14ac:dyDescent="0.25">
      <c r="A24" s="98"/>
      <c r="B24" s="112"/>
      <c r="C24" s="96"/>
      <c r="D24" s="104"/>
      <c r="E24" s="118"/>
      <c r="F24" s="71" t="s">
        <v>45</v>
      </c>
      <c r="G24" s="72" t="s">
        <v>43</v>
      </c>
      <c r="H24" s="67">
        <f>IF(F24="External",(INDEX(Inputs!$B$10:$B$10,MATCH(G24,Inputs!$A$10:$A$10,0))),IF(F24="Project management",((INDEX(Inputs!$B$13:$B$15,MATCH(G24,Inputs!$A$13:$A$15,0)))/Inputs!$B$26*(1+Inputs!$B$28)),IF(G24="Training team",Inputs!$B$7/Inputs!$B$26*(1+Inputs!$B$28),IF(G24="IT System Admin",Inputs!$B$6/Inputs!$B$26*(1+Inputs!$B$28),INDEX(Inputs!$B$19:$B$22,MATCH(G24,Inputs!$A$19:$A$22,0))))))</f>
        <v>596.49122807017545</v>
      </c>
      <c r="I24" s="61">
        <v>30</v>
      </c>
      <c r="J24" s="73">
        <f t="shared" si="0"/>
        <v>17894.736842105263</v>
      </c>
      <c r="K24" s="74" t="s">
        <v>34</v>
      </c>
      <c r="L24" s="75">
        <f>IF(K24="Yes",J24*Inputs!$B$29,0)</f>
        <v>0</v>
      </c>
      <c r="M24" s="16"/>
    </row>
    <row r="25" spans="1:14" s="19" customFormat="1" ht="24" customHeight="1" x14ac:dyDescent="0.25">
      <c r="A25" s="98"/>
      <c r="B25" s="112"/>
      <c r="C25" s="94" t="s">
        <v>29</v>
      </c>
      <c r="D25" s="27">
        <v>1.9</v>
      </c>
      <c r="E25" s="31" t="s">
        <v>10</v>
      </c>
      <c r="F25" s="65" t="s">
        <v>79</v>
      </c>
      <c r="G25" s="66" t="s">
        <v>72</v>
      </c>
      <c r="H25" s="67">
        <f>IF(F25="External",(INDEX(Inputs!$B$10:$B$10,MATCH(G25,Inputs!$A$10:$A$10,0))),IF(F25="Project management",((INDEX(Inputs!$B$13:$B$15,MATCH(G25,Inputs!$A$13:$A$15,0)))/Inputs!$B$26*(1+Inputs!$B$28)),IF(G25="Training team",Inputs!$B$7/Inputs!$B$26*(1+Inputs!$B$28),IF(G25="IT System Admin",Inputs!$B$6/Inputs!$B$26*(1+Inputs!$B$28),INDEX(Inputs!$B$19:$B$22,MATCH(G25,Inputs!$A$19:$A$22,0))))))</f>
        <v>750</v>
      </c>
      <c r="I25" s="38">
        <v>2</v>
      </c>
      <c r="J25" s="44">
        <f t="shared" si="0"/>
        <v>1500</v>
      </c>
      <c r="K25" s="35" t="s">
        <v>34</v>
      </c>
      <c r="L25" s="20">
        <f>IF(K25="Yes",J25*Inputs!$B$29,0)</f>
        <v>0</v>
      </c>
      <c r="M25" s="16"/>
    </row>
    <row r="26" spans="1:14" s="19" customFormat="1" ht="24" customHeight="1" x14ac:dyDescent="0.25">
      <c r="A26" s="98"/>
      <c r="B26" s="112"/>
      <c r="C26" s="95"/>
      <c r="D26" s="27">
        <v>1.1000000000000001</v>
      </c>
      <c r="E26" s="31" t="s">
        <v>30</v>
      </c>
      <c r="F26" s="65" t="s">
        <v>79</v>
      </c>
      <c r="G26" s="66" t="s">
        <v>72</v>
      </c>
      <c r="H26" s="67">
        <f>IF(F26="External",(INDEX(Inputs!$B$10:$B$10,MATCH(G26,Inputs!$A$10:$A$10,0))),IF(F26="Project management",((INDEX(Inputs!$B$13:$B$15,MATCH(G26,Inputs!$A$13:$A$15,0)))/Inputs!$B$26*(1+Inputs!$B$28)),IF(G26="Training team",Inputs!$B$7/Inputs!$B$26*(1+Inputs!$B$28),IF(G26="IT System Admin",Inputs!$B$6/Inputs!$B$26*(1+Inputs!$B$28),INDEX(Inputs!$B$19:$B$22,MATCH(G26,Inputs!$A$19:$A$22,0))))))</f>
        <v>750</v>
      </c>
      <c r="I26" s="38">
        <v>5</v>
      </c>
      <c r="J26" s="44">
        <f t="shared" si="0"/>
        <v>3750</v>
      </c>
      <c r="K26" s="35" t="s">
        <v>34</v>
      </c>
      <c r="L26" s="20">
        <f>IF(K26="Yes",J26*Inputs!$B$29,0)</f>
        <v>0</v>
      </c>
      <c r="M26" s="16"/>
    </row>
    <row r="27" spans="1:14" s="19" customFormat="1" ht="24" customHeight="1" x14ac:dyDescent="0.25">
      <c r="A27" s="98"/>
      <c r="B27" s="112"/>
      <c r="C27" s="95"/>
      <c r="D27" s="105" t="s">
        <v>58</v>
      </c>
      <c r="E27" s="122" t="s">
        <v>47</v>
      </c>
      <c r="F27" s="26" t="s">
        <v>24</v>
      </c>
      <c r="G27" s="34" t="s">
        <v>1</v>
      </c>
      <c r="H27" s="67">
        <f>IF(F27="External",(INDEX(Inputs!$B$10:$B$10,MATCH(G27,Inputs!$A$10:$A$10,0))),IF(F27="Project management",((INDEX(Inputs!$B$13:$B$15,MATCH(G27,Inputs!$A$13:$A$15,0)))/Inputs!$B$26*(1+Inputs!$B$28)),IF(G27="Training team",Inputs!$B$7/Inputs!$B$26*(1+Inputs!$B$28),IF(G27="IT System Admin",Inputs!$B$6/Inputs!$B$26*(1+Inputs!$B$28),INDEX(Inputs!$B$19:$B$22,MATCH(G27,Inputs!$A$19:$A$22,0))))))</f>
        <v>315.78947368421058</v>
      </c>
      <c r="I27" s="38">
        <v>1</v>
      </c>
      <c r="J27" s="44">
        <f t="shared" si="0"/>
        <v>315.78947368421058</v>
      </c>
      <c r="K27" s="35" t="s">
        <v>34</v>
      </c>
      <c r="L27" s="20">
        <f>IF(K27="Yes",J27*Inputs!$B$29,0)</f>
        <v>0</v>
      </c>
      <c r="M27" s="16"/>
      <c r="N27" s="23"/>
    </row>
    <row r="28" spans="1:14" s="19" customFormat="1" ht="24" customHeight="1" x14ac:dyDescent="0.25">
      <c r="A28" s="99"/>
      <c r="B28" s="104"/>
      <c r="C28" s="96"/>
      <c r="D28" s="106"/>
      <c r="E28" s="124"/>
      <c r="F28" s="65" t="s">
        <v>24</v>
      </c>
      <c r="G28" s="66" t="s">
        <v>99</v>
      </c>
      <c r="H28" s="67">
        <f>IF(F28="External",(INDEX(Inputs!$B$10:$B$10,MATCH(G28,Inputs!$A$10:$A$10,0))),IF(F28="Project management",((INDEX(Inputs!$B$13:$B$15,MATCH(G28,Inputs!$A$13:$A$15,0)))/Inputs!$B$26*(1+Inputs!$B$28)),IF(G28="Training team",Inputs!$B$7/Inputs!$B$26*(1+Inputs!$B$28),IF(G28="IT System Admin",Inputs!$B$6/Inputs!$B$26*(1+Inputs!$B$28),INDEX(Inputs!$B$19:$B$22,MATCH(G28,Inputs!$A$19:$A$22,0))))))</f>
        <v>385.96491228070181</v>
      </c>
      <c r="I28" s="38">
        <v>5</v>
      </c>
      <c r="J28" s="44">
        <f t="shared" si="0"/>
        <v>1929.8245614035091</v>
      </c>
      <c r="K28" s="35" t="s">
        <v>34</v>
      </c>
      <c r="L28" s="20">
        <f>IF(K28="Yes",J28*Inputs!$B$29,0)</f>
        <v>0</v>
      </c>
      <c r="M28" s="16"/>
      <c r="N28" s="23"/>
    </row>
    <row r="29" spans="1:14" s="19" customFormat="1" ht="24" customHeight="1" x14ac:dyDescent="0.25">
      <c r="A29" s="97">
        <v>2</v>
      </c>
      <c r="B29" s="100" t="s">
        <v>52</v>
      </c>
      <c r="C29" s="100" t="s">
        <v>55</v>
      </c>
      <c r="D29" s="28">
        <v>2.1</v>
      </c>
      <c r="E29" s="32" t="s">
        <v>12</v>
      </c>
      <c r="F29" s="65" t="s">
        <v>79</v>
      </c>
      <c r="G29" s="66" t="s">
        <v>72</v>
      </c>
      <c r="H29" s="67">
        <f>IF(F29="External",(INDEX(Inputs!$B$10:$B$10,MATCH(G29,Inputs!$A$10:$A$10,0))),IF(F29="Project management",((INDEX(Inputs!$B$13:$B$15,MATCH(G29,Inputs!$A$13:$A$15,0)))/Inputs!$B$26*(1+Inputs!$B$28)),IF(G29="Training team",Inputs!$B$7/Inputs!$B$26*(1+Inputs!$B$28),IF(G29="IT System Admin",Inputs!$B$6/Inputs!$B$26*(1+Inputs!$B$28),INDEX(Inputs!$B$19:$B$22,MATCH(G29,Inputs!$A$19:$A$22,0))))))</f>
        <v>750</v>
      </c>
      <c r="I29" s="38">
        <v>20</v>
      </c>
      <c r="J29" s="44">
        <f t="shared" si="0"/>
        <v>15000</v>
      </c>
      <c r="K29" s="35" t="s">
        <v>34</v>
      </c>
      <c r="L29" s="20">
        <f>IF(K29="Yes",J29*Inputs!$B$29,0)</f>
        <v>0</v>
      </c>
      <c r="M29" s="16"/>
    </row>
    <row r="30" spans="1:14" s="19" customFormat="1" ht="24" customHeight="1" x14ac:dyDescent="0.25">
      <c r="A30" s="98"/>
      <c r="B30" s="101"/>
      <c r="C30" s="101"/>
      <c r="D30" s="94">
        <v>2.2000000000000002</v>
      </c>
      <c r="E30" s="122" t="s">
        <v>13</v>
      </c>
      <c r="F30" s="65" t="s">
        <v>79</v>
      </c>
      <c r="G30" s="66" t="s">
        <v>72</v>
      </c>
      <c r="H30" s="67">
        <f>IF(F30="External",(INDEX(Inputs!$B$10:$B$10,MATCH(G30,Inputs!$A$10:$A$10,0))),IF(F30="Project management",((INDEX(Inputs!$B$13:$B$15,MATCH(G30,Inputs!$A$13:$A$15,0)))/Inputs!$B$26*(1+Inputs!$B$28)),IF(G30="Training team",Inputs!$B$7/Inputs!$B$26*(1+Inputs!$B$28),IF(G30="IT System Admin",Inputs!$B$6/Inputs!$B$26*(1+Inputs!$B$28),INDEX(Inputs!$B$19:$B$22,MATCH(G30,Inputs!$A$19:$A$22,0))))))</f>
        <v>750</v>
      </c>
      <c r="I30" s="38">
        <v>60</v>
      </c>
      <c r="J30" s="44">
        <f t="shared" si="0"/>
        <v>45000</v>
      </c>
      <c r="K30" s="35" t="s">
        <v>39</v>
      </c>
      <c r="L30" s="20">
        <f>IF(K30="Yes",J30*Inputs!$B$29,0)</f>
        <v>9000</v>
      </c>
      <c r="M30" s="16"/>
    </row>
    <row r="31" spans="1:14" s="19" customFormat="1" ht="24" customHeight="1" x14ac:dyDescent="0.25">
      <c r="A31" s="98"/>
      <c r="B31" s="101"/>
      <c r="C31" s="101"/>
      <c r="D31" s="95"/>
      <c r="E31" s="123"/>
      <c r="F31" s="26" t="s">
        <v>14</v>
      </c>
      <c r="G31" s="34" t="s">
        <v>16</v>
      </c>
      <c r="H31" s="67">
        <f>IF(F31="External",(INDEX(Inputs!$B$10:$B$10,MATCH(G31,Inputs!$A$10:$A$10,0))),IF(F31="Project management",((INDEX(Inputs!$B$13:$B$15,MATCH(G31,Inputs!$A$13:$A$15,0)))/Inputs!$B$26*(1+Inputs!$B$28)),IF(G31="Training team",Inputs!$B$7/Inputs!$B$26*(1+Inputs!$B$28),IF(G31="IT System Admin",Inputs!$B$6/Inputs!$B$26*(1+Inputs!$B$28),INDEX(Inputs!$B$19:$B$22,MATCH(G31,Inputs!$A$19:$A$22,0))))))</f>
        <v>50000</v>
      </c>
      <c r="I31" s="38">
        <v>0</v>
      </c>
      <c r="J31" s="44">
        <f t="shared" si="0"/>
        <v>50000</v>
      </c>
      <c r="K31" s="35" t="s">
        <v>39</v>
      </c>
      <c r="L31" s="20">
        <f>IF(K31="Yes",J31*Inputs!$B$29,0)</f>
        <v>10000</v>
      </c>
      <c r="M31" s="16"/>
    </row>
    <row r="32" spans="1:14" s="19" customFormat="1" ht="24" customHeight="1" x14ac:dyDescent="0.25">
      <c r="A32" s="98"/>
      <c r="B32" s="101"/>
      <c r="C32" s="101"/>
      <c r="D32" s="96"/>
      <c r="E32" s="124"/>
      <c r="F32" s="26" t="s">
        <v>45</v>
      </c>
      <c r="G32" s="34" t="s">
        <v>44</v>
      </c>
      <c r="H32" s="67">
        <f>IF(F32="External",(INDEX(Inputs!$B$10:$B$10,MATCH(G32,Inputs!$A$10:$A$10,0))),IF(F32="Project management",((INDEX(Inputs!$B$13:$B$15,MATCH(G32,Inputs!$A$13:$A$15,0)))/Inputs!$B$26*(1+Inputs!$B$28)),IF(G32="Training team",Inputs!$B$7/Inputs!$B$26*(1+Inputs!$B$28),IF(G32="IT System Admin",Inputs!$B$6/Inputs!$B$26*(1+Inputs!$B$28),INDEX(Inputs!$B$19:$B$22,MATCH(G32,Inputs!$A$19:$A$22,0))))))</f>
        <v>421.05263157894734</v>
      </c>
      <c r="I32" s="38">
        <v>5</v>
      </c>
      <c r="J32" s="44">
        <f t="shared" si="0"/>
        <v>2105.2631578947367</v>
      </c>
      <c r="K32" s="35" t="s">
        <v>34</v>
      </c>
      <c r="L32" s="20">
        <f>IF(K32="Yes",J32*Inputs!$B$29,0)</f>
        <v>0</v>
      </c>
      <c r="M32" s="16"/>
    </row>
    <row r="33" spans="1:13" s="19" customFormat="1" ht="24" customHeight="1" x14ac:dyDescent="0.25">
      <c r="A33" s="98"/>
      <c r="B33" s="101"/>
      <c r="C33" s="101"/>
      <c r="D33" s="103">
        <v>2.3000000000000003</v>
      </c>
      <c r="E33" s="116" t="s">
        <v>106</v>
      </c>
      <c r="F33" s="65" t="s">
        <v>79</v>
      </c>
      <c r="G33" s="66" t="s">
        <v>72</v>
      </c>
      <c r="H33" s="67">
        <f>IF(F33="External",(INDEX(Inputs!$B$10:$B$10,MATCH(G33,Inputs!$A$10:$A$10,0))),IF(F33="Project management",((INDEX(Inputs!$B$13:$B$15,MATCH(G33,Inputs!$A$13:$A$15,0)))/Inputs!$B$26*(1+Inputs!$B$28)),IF(G33="Training team",Inputs!$B$7/Inputs!$B$26*(1+Inputs!$B$28),IF(G33="IT System Admin",Inputs!$B$6/Inputs!$B$26*(1+Inputs!$B$28),INDEX(Inputs!$B$19:$B$22,MATCH(G33,Inputs!$A$19:$A$22,0))))))</f>
        <v>750</v>
      </c>
      <c r="I33" s="38">
        <v>100</v>
      </c>
      <c r="J33" s="44">
        <f t="shared" si="0"/>
        <v>75000</v>
      </c>
      <c r="K33" s="35" t="s">
        <v>39</v>
      </c>
      <c r="L33" s="20">
        <f>IF(K33="Yes",J33*Inputs!$B$29,0)</f>
        <v>15000</v>
      </c>
      <c r="M33" s="16"/>
    </row>
    <row r="34" spans="1:13" s="19" customFormat="1" ht="24" customHeight="1" x14ac:dyDescent="0.25">
      <c r="A34" s="98"/>
      <c r="B34" s="101"/>
      <c r="C34" s="101"/>
      <c r="D34" s="104"/>
      <c r="E34" s="118"/>
      <c r="F34" s="26" t="s">
        <v>45</v>
      </c>
      <c r="G34" s="34" t="s">
        <v>43</v>
      </c>
      <c r="H34" s="67">
        <f>IF(F34="External",(INDEX(Inputs!$B$10:$B$10,MATCH(G34,Inputs!$A$10:$A$10,0))),IF(F34="Project management",((INDEX(Inputs!$B$13:$B$15,MATCH(G34,Inputs!$A$13:$A$15,0)))/Inputs!$B$26*(1+Inputs!$B$28)),IF(G34="Training team",Inputs!$B$7/Inputs!$B$26*(1+Inputs!$B$28),IF(G34="IT System Admin",Inputs!$B$6/Inputs!$B$26*(1+Inputs!$B$28),INDEX(Inputs!$B$19:$B$22,MATCH(G34,Inputs!$A$19:$A$22,0))))))</f>
        <v>596.49122807017545</v>
      </c>
      <c r="I34" s="38">
        <v>15</v>
      </c>
      <c r="J34" s="44">
        <f t="shared" si="0"/>
        <v>8947.3684210526317</v>
      </c>
      <c r="K34" s="35" t="s">
        <v>34</v>
      </c>
      <c r="L34" s="20">
        <f>IF(K34="Yes",J34*Inputs!$B$29,0)</f>
        <v>0</v>
      </c>
      <c r="M34" s="16"/>
    </row>
    <row r="35" spans="1:13" s="19" customFormat="1" ht="24" customHeight="1" x14ac:dyDescent="0.25">
      <c r="A35" s="98"/>
      <c r="B35" s="101"/>
      <c r="C35" s="101"/>
      <c r="D35" s="103">
        <v>2.4000000000000004</v>
      </c>
      <c r="E35" s="116" t="s">
        <v>89</v>
      </c>
      <c r="F35" s="65" t="s">
        <v>79</v>
      </c>
      <c r="G35" s="66" t="s">
        <v>72</v>
      </c>
      <c r="H35" s="67">
        <f>IF(F35="External",(INDEX(Inputs!$B$10:$B$10,MATCH(G35,Inputs!$A$10:$A$10,0))),IF(F35="Project management",((INDEX(Inputs!$B$13:$B$15,MATCH(G35,Inputs!$A$13:$A$15,0)))/Inputs!$B$26*(1+Inputs!$B$28)),IF(G35="Training team",Inputs!$B$7/Inputs!$B$26*(1+Inputs!$B$28),IF(G35="IT System Admin",Inputs!$B$6/Inputs!$B$26*(1+Inputs!$B$28),INDEX(Inputs!$B$19:$B$22,MATCH(G35,Inputs!$A$19:$A$22,0))))))</f>
        <v>750</v>
      </c>
      <c r="I35" s="61">
        <v>100</v>
      </c>
      <c r="J35" s="44">
        <f t="shared" si="0"/>
        <v>75000</v>
      </c>
      <c r="K35" s="35" t="s">
        <v>39</v>
      </c>
      <c r="L35" s="20">
        <f>IF(K35="Yes",J35*Inputs!$B$29,0)</f>
        <v>15000</v>
      </c>
      <c r="M35" s="16"/>
    </row>
    <row r="36" spans="1:13" s="19" customFormat="1" ht="24" customHeight="1" x14ac:dyDescent="0.25">
      <c r="A36" s="98"/>
      <c r="B36" s="101"/>
      <c r="C36" s="101"/>
      <c r="D36" s="104"/>
      <c r="E36" s="118"/>
      <c r="F36" s="26" t="s">
        <v>45</v>
      </c>
      <c r="G36" s="34" t="s">
        <v>42</v>
      </c>
      <c r="H36" s="67">
        <f>IF(F36="External",(INDEX(Inputs!$B$10:$B$10,MATCH(G36,Inputs!$A$10:$A$10,0))),IF(F36="Project management",((INDEX(Inputs!$B$13:$B$15,MATCH(G36,Inputs!$A$13:$A$15,0)))/Inputs!$B$26*(1+Inputs!$B$28)),IF(G36="Training team",Inputs!$B$7/Inputs!$B$26*(1+Inputs!$B$28),IF(G36="IT System Admin",Inputs!$B$6/Inputs!$B$26*(1+Inputs!$B$28),INDEX(Inputs!$B$19:$B$22,MATCH(G36,Inputs!$A$19:$A$22,0))))))</f>
        <v>526.31578947368428</v>
      </c>
      <c r="I36" s="38">
        <v>15</v>
      </c>
      <c r="J36" s="44">
        <f t="shared" si="0"/>
        <v>7894.7368421052643</v>
      </c>
      <c r="K36" s="35" t="s">
        <v>34</v>
      </c>
      <c r="L36" s="20">
        <f>IF(K36="Yes",J36*Inputs!$B$29,0)</f>
        <v>0</v>
      </c>
      <c r="M36" s="16"/>
    </row>
    <row r="37" spans="1:13" s="19" customFormat="1" ht="24" customHeight="1" x14ac:dyDescent="0.25">
      <c r="A37" s="98"/>
      <c r="B37" s="101"/>
      <c r="C37" s="101"/>
      <c r="D37" s="103">
        <v>2.5000000000000004</v>
      </c>
      <c r="E37" s="116" t="s">
        <v>67</v>
      </c>
      <c r="F37" s="65" t="s">
        <v>79</v>
      </c>
      <c r="G37" s="66" t="s">
        <v>72</v>
      </c>
      <c r="H37" s="67">
        <f>IF(F37="External",(INDEX(Inputs!$B$10:$B$10,MATCH(G37,Inputs!$A$10:$A$10,0))),IF(F37="Project management",((INDEX(Inputs!$B$13:$B$15,MATCH(G37,Inputs!$A$13:$A$15,0)))/Inputs!$B$26*(1+Inputs!$B$28)),IF(G37="Training team",Inputs!$B$7/Inputs!$B$26*(1+Inputs!$B$28),IF(G37="IT System Admin",Inputs!$B$6/Inputs!$B$26*(1+Inputs!$B$28),INDEX(Inputs!$B$19:$B$22,MATCH(G37,Inputs!$A$19:$A$22,0))))))</f>
        <v>750</v>
      </c>
      <c r="I37" s="38">
        <v>60</v>
      </c>
      <c r="J37" s="44">
        <f t="shared" si="0"/>
        <v>45000</v>
      </c>
      <c r="K37" s="35" t="s">
        <v>39</v>
      </c>
      <c r="L37" s="20">
        <f>IF(K37="Yes",J37*Inputs!$B$29,0)</f>
        <v>9000</v>
      </c>
      <c r="M37" s="16"/>
    </row>
    <row r="38" spans="1:13" s="19" customFormat="1" ht="24" customHeight="1" x14ac:dyDescent="0.25">
      <c r="A38" s="98"/>
      <c r="B38" s="101"/>
      <c r="C38" s="101"/>
      <c r="D38" s="104"/>
      <c r="E38" s="118"/>
      <c r="F38" s="26" t="s">
        <v>45</v>
      </c>
      <c r="G38" s="34" t="s">
        <v>43</v>
      </c>
      <c r="H38" s="67">
        <f>IF(F38="External",(INDEX(Inputs!$B$10:$B$10,MATCH(G38,Inputs!$A$10:$A$10,0))),IF(F38="Project management",((INDEX(Inputs!$B$13:$B$15,MATCH(G38,Inputs!$A$13:$A$15,0)))/Inputs!$B$26*(1+Inputs!$B$28)),IF(G38="Training team",Inputs!$B$7/Inputs!$B$26*(1+Inputs!$B$28),IF(G38="IT System Admin",Inputs!$B$6/Inputs!$B$26*(1+Inputs!$B$28),INDEX(Inputs!$B$19:$B$22,MATCH(G38,Inputs!$A$19:$A$22,0))))))</f>
        <v>596.49122807017545</v>
      </c>
      <c r="I38" s="38">
        <v>15</v>
      </c>
      <c r="J38" s="44">
        <f t="shared" si="0"/>
        <v>8947.3684210526317</v>
      </c>
      <c r="K38" s="35" t="s">
        <v>34</v>
      </c>
      <c r="L38" s="20">
        <f>IF(K38="Yes",J38*Inputs!$B$29,0)</f>
        <v>0</v>
      </c>
      <c r="M38" s="16"/>
    </row>
    <row r="39" spans="1:13" s="19" customFormat="1" ht="24" customHeight="1" x14ac:dyDescent="0.25">
      <c r="A39" s="98"/>
      <c r="B39" s="101"/>
      <c r="C39" s="101"/>
      <c r="D39" s="103">
        <v>2.6</v>
      </c>
      <c r="E39" s="116" t="s">
        <v>68</v>
      </c>
      <c r="F39" s="65" t="s">
        <v>79</v>
      </c>
      <c r="G39" s="66" t="s">
        <v>72</v>
      </c>
      <c r="H39" s="67">
        <f>IF(F39="External",(INDEX(Inputs!$B$10:$B$10,MATCH(G39,Inputs!$A$10:$A$10,0))),IF(F39="Project management",((INDEX(Inputs!$B$13:$B$15,MATCH(G39,Inputs!$A$13:$A$15,0)))/Inputs!$B$26*(1+Inputs!$B$28)),IF(G39="Training team",Inputs!$B$7/Inputs!$B$26*(1+Inputs!$B$28),IF(G39="IT System Admin",Inputs!$B$6/Inputs!$B$26*(1+Inputs!$B$28),INDEX(Inputs!$B$19:$B$22,MATCH(G39,Inputs!$A$19:$A$22,0))))))</f>
        <v>750</v>
      </c>
      <c r="I39" s="38">
        <v>15</v>
      </c>
      <c r="J39" s="44">
        <f t="shared" si="0"/>
        <v>11250</v>
      </c>
      <c r="K39" s="35" t="s">
        <v>39</v>
      </c>
      <c r="L39" s="20">
        <f>IF(K39="Yes",J39*Inputs!$B$29,0)</f>
        <v>2250</v>
      </c>
      <c r="M39" s="16"/>
    </row>
    <row r="40" spans="1:13" s="19" customFormat="1" ht="24" customHeight="1" x14ac:dyDescent="0.25">
      <c r="A40" s="98"/>
      <c r="B40" s="101"/>
      <c r="C40" s="102"/>
      <c r="D40" s="104"/>
      <c r="E40" s="118"/>
      <c r="F40" s="26" t="s">
        <v>45</v>
      </c>
      <c r="G40" s="34" t="s">
        <v>42</v>
      </c>
      <c r="H40" s="67">
        <f>IF(F40="External",(INDEX(Inputs!$B$10:$B$10,MATCH(G40,Inputs!$A$10:$A$10,0))),IF(F40="Project management",((INDEX(Inputs!$B$13:$B$15,MATCH(G40,Inputs!$A$13:$A$15,0)))/Inputs!$B$26*(1+Inputs!$B$28)),IF(G40="Training team",Inputs!$B$7/Inputs!$B$26*(1+Inputs!$B$28),IF(G40="IT System Admin",Inputs!$B$6/Inputs!$B$26*(1+Inputs!$B$28),INDEX(Inputs!$B$19:$B$22,MATCH(G40,Inputs!$A$19:$A$22,0))))))</f>
        <v>526.31578947368428</v>
      </c>
      <c r="I40" s="38">
        <v>5</v>
      </c>
      <c r="J40" s="44">
        <f t="shared" si="0"/>
        <v>2631.5789473684213</v>
      </c>
      <c r="K40" s="35" t="s">
        <v>34</v>
      </c>
      <c r="L40" s="20">
        <f>IF(K40="Yes",J40*Inputs!$B$29,0)</f>
        <v>0</v>
      </c>
      <c r="M40" s="16"/>
    </row>
    <row r="41" spans="1:13" s="19" customFormat="1" ht="24" customHeight="1" x14ac:dyDescent="0.25">
      <c r="A41" s="98"/>
      <c r="B41" s="101"/>
      <c r="C41" s="94" t="s">
        <v>29</v>
      </c>
      <c r="D41" s="27">
        <v>2.6</v>
      </c>
      <c r="E41" s="31" t="s">
        <v>10</v>
      </c>
      <c r="F41" s="65" t="s">
        <v>79</v>
      </c>
      <c r="G41" s="66" t="s">
        <v>72</v>
      </c>
      <c r="H41" s="67">
        <f>IF(F41="External",(INDEX(Inputs!$B$10:$B$10,MATCH(G41,Inputs!$A$10:$A$10,0))),IF(F41="Project management",((INDEX(Inputs!$B$13:$B$15,MATCH(G41,Inputs!$A$13:$A$15,0)))/Inputs!$B$26*(1+Inputs!$B$28)),IF(G41="Training team",Inputs!$B$7/Inputs!$B$26*(1+Inputs!$B$28),IF(G41="IT System Admin",Inputs!$B$6/Inputs!$B$26*(1+Inputs!$B$28),INDEX(Inputs!$B$19:$B$22,MATCH(G41,Inputs!$A$19:$A$22,0))))))</f>
        <v>750</v>
      </c>
      <c r="I41" s="38">
        <v>1</v>
      </c>
      <c r="J41" s="44">
        <f t="shared" si="0"/>
        <v>750</v>
      </c>
      <c r="K41" s="35" t="s">
        <v>34</v>
      </c>
      <c r="L41" s="20">
        <f>IF(K41="Yes",J41*Inputs!$B$29,0)</f>
        <v>0</v>
      </c>
      <c r="M41" s="16"/>
    </row>
    <row r="42" spans="1:13" s="19" customFormat="1" ht="24" customHeight="1" x14ac:dyDescent="0.25">
      <c r="A42" s="98"/>
      <c r="B42" s="101"/>
      <c r="C42" s="95"/>
      <c r="D42" s="27">
        <v>2.7</v>
      </c>
      <c r="E42" s="31" t="s">
        <v>30</v>
      </c>
      <c r="F42" s="65" t="s">
        <v>79</v>
      </c>
      <c r="G42" s="66" t="s">
        <v>72</v>
      </c>
      <c r="H42" s="67">
        <f>IF(F42="External",(INDEX(Inputs!$B$10:$B$10,MATCH(G42,Inputs!$A$10:$A$10,0))),IF(F42="Project management",((INDEX(Inputs!$B$13:$B$15,MATCH(G42,Inputs!$A$13:$A$15,0)))/Inputs!$B$26*(1+Inputs!$B$28)),IF(G42="Training team",Inputs!$B$7/Inputs!$B$26*(1+Inputs!$B$28),IF(G42="IT System Admin",Inputs!$B$6/Inputs!$B$26*(1+Inputs!$B$28),INDEX(Inputs!$B$19:$B$22,MATCH(G42,Inputs!$A$19:$A$22,0))))))</f>
        <v>750</v>
      </c>
      <c r="I42" s="38">
        <v>3</v>
      </c>
      <c r="J42" s="44">
        <f t="shared" si="0"/>
        <v>2250</v>
      </c>
      <c r="K42" s="35" t="s">
        <v>34</v>
      </c>
      <c r="L42" s="20">
        <f>IF(K42="Yes",J42*Inputs!$B$29,0)</f>
        <v>0</v>
      </c>
      <c r="M42" s="16"/>
    </row>
    <row r="43" spans="1:13" s="19" customFormat="1" ht="24" customHeight="1" x14ac:dyDescent="0.25">
      <c r="A43" s="98"/>
      <c r="B43" s="101"/>
      <c r="C43" s="95"/>
      <c r="D43" s="105" t="s">
        <v>32</v>
      </c>
      <c r="E43" s="122" t="s">
        <v>38</v>
      </c>
      <c r="F43" s="26" t="s">
        <v>24</v>
      </c>
      <c r="G43" s="34" t="s">
        <v>1</v>
      </c>
      <c r="H43" s="67">
        <f>IF(F43="External",(INDEX(Inputs!$B$10:$B$10,MATCH(G43,Inputs!$A$10:$A$10,0))),IF(F43="Project management",((INDEX(Inputs!$B$13:$B$15,MATCH(G43,Inputs!$A$13:$A$15,0)))/Inputs!$B$26*(1+Inputs!$B$28)),IF(G43="Training team",Inputs!$B$7/Inputs!$B$26*(1+Inputs!$B$28),IF(G43="IT System Admin",Inputs!$B$6/Inputs!$B$26*(1+Inputs!$B$28),INDEX(Inputs!$B$19:$B$22,MATCH(G43,Inputs!$A$19:$A$22,0))))))</f>
        <v>315.78947368421058</v>
      </c>
      <c r="I43" s="38">
        <v>0.5</v>
      </c>
      <c r="J43" s="44">
        <f t="shared" si="0"/>
        <v>157.89473684210529</v>
      </c>
      <c r="K43" s="35" t="s">
        <v>34</v>
      </c>
      <c r="L43" s="20">
        <f>IF(K43="Yes",J43*Inputs!$B$29,0)</f>
        <v>0</v>
      </c>
      <c r="M43" s="16"/>
    </row>
    <row r="44" spans="1:13" s="19" customFormat="1" ht="24" customHeight="1" x14ac:dyDescent="0.25">
      <c r="A44" s="99"/>
      <c r="B44" s="102"/>
      <c r="C44" s="96"/>
      <c r="D44" s="106"/>
      <c r="E44" s="124"/>
      <c r="F44" s="65" t="s">
        <v>24</v>
      </c>
      <c r="G44" s="66" t="s">
        <v>99</v>
      </c>
      <c r="H44" s="67">
        <f>IF(F44="External",(INDEX(Inputs!$B$10:$B$10,MATCH(G44,Inputs!$A$10:$A$10,0))),IF(F44="Project management",((INDEX(Inputs!$B$13:$B$15,MATCH(G44,Inputs!$A$13:$A$15,0)))/Inputs!$B$26*(1+Inputs!$B$28)),IF(G44="Training team",Inputs!$B$7/Inputs!$B$26*(1+Inputs!$B$28),IF(G44="IT System Admin",Inputs!$B$6/Inputs!$B$26*(1+Inputs!$B$28),INDEX(Inputs!$B$19:$B$22,MATCH(G44,Inputs!$A$19:$A$22,0))))))</f>
        <v>385.96491228070181</v>
      </c>
      <c r="I44" s="38">
        <v>2.5</v>
      </c>
      <c r="J44" s="44">
        <f t="shared" si="0"/>
        <v>964.91228070175453</v>
      </c>
      <c r="K44" s="35" t="s">
        <v>34</v>
      </c>
      <c r="L44" s="20">
        <f>IF(K44="Yes",J44*Inputs!$B$29,0)</f>
        <v>0</v>
      </c>
      <c r="M44" s="16"/>
    </row>
    <row r="45" spans="1:13" s="19" customFormat="1" ht="24" customHeight="1" x14ac:dyDescent="0.25">
      <c r="A45" s="97">
        <v>3</v>
      </c>
      <c r="B45" s="103" t="s">
        <v>70</v>
      </c>
      <c r="C45" s="100" t="s">
        <v>55</v>
      </c>
      <c r="D45" s="27">
        <v>3.1</v>
      </c>
      <c r="E45" s="32" t="s">
        <v>12</v>
      </c>
      <c r="F45" s="65" t="s">
        <v>79</v>
      </c>
      <c r="G45" s="66" t="s">
        <v>72</v>
      </c>
      <c r="H45" s="67">
        <f>IF(F45="External",(INDEX(Inputs!$B$10:$B$10,MATCH(G45,Inputs!$A$10:$A$10,0))),IF(F45="Project management",((INDEX(Inputs!$B$13:$B$15,MATCH(G45,Inputs!$A$13:$A$15,0)))/Inputs!$B$26*(1+Inputs!$B$28)),IF(G45="Training team",Inputs!$B$7/Inputs!$B$26*(1+Inputs!$B$28),IF(G45="IT System Admin",Inputs!$B$6/Inputs!$B$26*(1+Inputs!$B$28),INDEX(Inputs!$B$19:$B$22,MATCH(G45,Inputs!$A$19:$A$22,0))))))</f>
        <v>750</v>
      </c>
      <c r="I45" s="38">
        <v>15</v>
      </c>
      <c r="J45" s="44">
        <f t="shared" si="0"/>
        <v>11250</v>
      </c>
      <c r="K45" s="35" t="s">
        <v>34</v>
      </c>
      <c r="L45" s="20">
        <f>IF(K45="Yes",J45*Inputs!$B$29,0)</f>
        <v>0</v>
      </c>
      <c r="M45" s="16"/>
    </row>
    <row r="46" spans="1:13" s="19" customFormat="1" ht="24" customHeight="1" x14ac:dyDescent="0.25">
      <c r="A46" s="98"/>
      <c r="B46" s="112"/>
      <c r="C46" s="101"/>
      <c r="D46" s="94">
        <v>3.2</v>
      </c>
      <c r="E46" s="125" t="s">
        <v>73</v>
      </c>
      <c r="F46" s="65" t="s">
        <v>79</v>
      </c>
      <c r="G46" s="66" t="s">
        <v>72</v>
      </c>
      <c r="H46" s="67">
        <f>IF(F46="External",(INDEX(Inputs!$B$10:$B$10,MATCH(G46,Inputs!$A$10:$A$10,0))),IF(F46="Project management",((INDEX(Inputs!$B$13:$B$15,MATCH(G46,Inputs!$A$13:$A$15,0)))/Inputs!$B$26*(1+Inputs!$B$28)),IF(G46="Training team",Inputs!$B$7/Inputs!$B$26*(1+Inputs!$B$28),IF(G46="IT System Admin",Inputs!$B$6/Inputs!$B$26*(1+Inputs!$B$28),INDEX(Inputs!$B$19:$B$22,MATCH(G46,Inputs!$A$19:$A$22,0))))))</f>
        <v>750</v>
      </c>
      <c r="I46" s="38">
        <v>60</v>
      </c>
      <c r="J46" s="44">
        <f t="shared" si="0"/>
        <v>45000</v>
      </c>
      <c r="K46" s="35" t="s">
        <v>39</v>
      </c>
      <c r="L46" s="20">
        <f>IF(K46="Yes",J46*Inputs!$B$29,0)</f>
        <v>9000</v>
      </c>
      <c r="M46" s="16"/>
    </row>
    <row r="47" spans="1:13" s="19" customFormat="1" ht="24" customHeight="1" x14ac:dyDescent="0.25">
      <c r="A47" s="98"/>
      <c r="B47" s="112"/>
      <c r="C47" s="101"/>
      <c r="D47" s="96"/>
      <c r="E47" s="126"/>
      <c r="F47" s="26" t="s">
        <v>45</v>
      </c>
      <c r="G47" s="34" t="s">
        <v>42</v>
      </c>
      <c r="H47" s="67">
        <f>IF(F47="External",(INDEX(Inputs!$B$10:$B$10,MATCH(G47,Inputs!$A$10:$A$10,0))),IF(F47="Project management",((INDEX(Inputs!$B$13:$B$15,MATCH(G47,Inputs!$A$13:$A$15,0)))/Inputs!$B$26*(1+Inputs!$B$28)),IF(G47="Training team",Inputs!$B$7/Inputs!$B$26*(1+Inputs!$B$28),IF(G47="IT System Admin",Inputs!$B$6/Inputs!$B$26*(1+Inputs!$B$28),INDEX(Inputs!$B$19:$B$22,MATCH(G47,Inputs!$A$19:$A$22,0))))))</f>
        <v>526.31578947368428</v>
      </c>
      <c r="I47" s="38">
        <v>5</v>
      </c>
      <c r="J47" s="44">
        <f t="shared" si="0"/>
        <v>2631.5789473684213</v>
      </c>
      <c r="K47" s="35" t="s">
        <v>34</v>
      </c>
      <c r="L47" s="20">
        <f>IF(K47="Yes",J47*Inputs!$B$29,0)</f>
        <v>0</v>
      </c>
      <c r="M47" s="16"/>
    </row>
    <row r="48" spans="1:13" s="19" customFormat="1" ht="24" customHeight="1" x14ac:dyDescent="0.25">
      <c r="A48" s="98"/>
      <c r="B48" s="112"/>
      <c r="C48" s="101"/>
      <c r="D48" s="94">
        <v>3.3000000000000003</v>
      </c>
      <c r="E48" s="125" t="s">
        <v>61</v>
      </c>
      <c r="F48" s="65" t="s">
        <v>79</v>
      </c>
      <c r="G48" s="66" t="s">
        <v>72</v>
      </c>
      <c r="H48" s="67">
        <f>IF(F48="External",(INDEX(Inputs!$B$10:$B$10,MATCH(G48,Inputs!$A$10:$A$10,0))),IF(F48="Project management",((INDEX(Inputs!$B$13:$B$15,MATCH(G48,Inputs!$A$13:$A$15,0)))/Inputs!$B$26*(1+Inputs!$B$28)),IF(G48="Training team",Inputs!$B$7/Inputs!$B$26*(1+Inputs!$B$28),IF(G48="IT System Admin",Inputs!$B$6/Inputs!$B$26*(1+Inputs!$B$28),INDEX(Inputs!$B$19:$B$22,MATCH(G48,Inputs!$A$19:$A$22,0))))))</f>
        <v>750</v>
      </c>
      <c r="I48" s="61">
        <v>110</v>
      </c>
      <c r="J48" s="44">
        <f t="shared" si="0"/>
        <v>82500</v>
      </c>
      <c r="K48" s="35" t="s">
        <v>39</v>
      </c>
      <c r="L48" s="20">
        <f>IF(K48="Yes",J48*Inputs!$B$29,0)</f>
        <v>16500</v>
      </c>
      <c r="M48" s="62"/>
    </row>
    <row r="49" spans="1:13" s="19" customFormat="1" ht="24" customHeight="1" x14ac:dyDescent="0.25">
      <c r="A49" s="98"/>
      <c r="B49" s="112"/>
      <c r="C49" s="101"/>
      <c r="D49" s="96"/>
      <c r="E49" s="126"/>
      <c r="F49" s="26" t="s">
        <v>45</v>
      </c>
      <c r="G49" s="34" t="s">
        <v>42</v>
      </c>
      <c r="H49" s="67">
        <f>IF(F49="External",(INDEX(Inputs!$B$10:$B$10,MATCH(G49,Inputs!$A$10:$A$10,0))),IF(F49="Project management",((INDEX(Inputs!$B$13:$B$15,MATCH(G49,Inputs!$A$13:$A$15,0)))/Inputs!$B$26*(1+Inputs!$B$28)),IF(G49="Training team",Inputs!$B$7/Inputs!$B$26*(1+Inputs!$B$28),IF(G49="IT System Admin",Inputs!$B$6/Inputs!$B$26*(1+Inputs!$B$28),INDEX(Inputs!$B$19:$B$22,MATCH(G49,Inputs!$A$19:$A$22,0))))))</f>
        <v>526.31578947368428</v>
      </c>
      <c r="I49" s="61">
        <v>10</v>
      </c>
      <c r="J49" s="44">
        <f t="shared" si="0"/>
        <v>5263.1578947368425</v>
      </c>
      <c r="K49" s="35" t="s">
        <v>34</v>
      </c>
      <c r="L49" s="20">
        <f>IF(K49="Yes",J49*Inputs!$B$29,0)</f>
        <v>0</v>
      </c>
      <c r="M49" s="16"/>
    </row>
    <row r="50" spans="1:13" s="19" customFormat="1" ht="24" customHeight="1" x14ac:dyDescent="0.25">
      <c r="A50" s="98"/>
      <c r="B50" s="112"/>
      <c r="C50" s="101"/>
      <c r="D50" s="94">
        <v>3.4000000000000004</v>
      </c>
      <c r="E50" s="125" t="s">
        <v>76</v>
      </c>
      <c r="F50" s="65" t="s">
        <v>79</v>
      </c>
      <c r="G50" s="66" t="s">
        <v>72</v>
      </c>
      <c r="H50" s="67">
        <f>IF(F50="External",(INDEX(Inputs!$B$10:$B$10,MATCH(G50,Inputs!$A$10:$A$10,0))),IF(F50="Project management",((INDEX(Inputs!$B$13:$B$15,MATCH(G50,Inputs!$A$13:$A$15,0)))/Inputs!$B$26*(1+Inputs!$B$28)),IF(G50="Training team",Inputs!$B$7/Inputs!$B$26*(1+Inputs!$B$28),IF(G50="IT System Admin",Inputs!$B$6/Inputs!$B$26*(1+Inputs!$B$28),INDEX(Inputs!$B$19:$B$22,MATCH(G50,Inputs!$A$19:$A$22,0))))))</f>
        <v>750</v>
      </c>
      <c r="I50" s="61">
        <v>110</v>
      </c>
      <c r="J50" s="44">
        <f t="shared" si="0"/>
        <v>82500</v>
      </c>
      <c r="K50" s="35" t="s">
        <v>39</v>
      </c>
      <c r="L50" s="20">
        <f>IF(K50="Yes",J50*Inputs!$B$29,0)</f>
        <v>16500</v>
      </c>
      <c r="M50" s="16"/>
    </row>
    <row r="51" spans="1:13" s="19" customFormat="1" ht="24" customHeight="1" x14ac:dyDescent="0.25">
      <c r="A51" s="98"/>
      <c r="B51" s="112"/>
      <c r="C51" s="101"/>
      <c r="D51" s="96"/>
      <c r="E51" s="126"/>
      <c r="F51" s="26" t="s">
        <v>45</v>
      </c>
      <c r="G51" s="34" t="s">
        <v>42</v>
      </c>
      <c r="H51" s="67">
        <f>IF(F51="External",(INDEX(Inputs!$B$10:$B$10,MATCH(G51,Inputs!$A$10:$A$10,0))),IF(F51="Project management",((INDEX(Inputs!$B$13:$B$15,MATCH(G51,Inputs!$A$13:$A$15,0)))/Inputs!$B$26*(1+Inputs!$B$28)),IF(G51="Training team",Inputs!$B$7/Inputs!$B$26*(1+Inputs!$B$28),IF(G51="IT System Admin",Inputs!$B$6/Inputs!$B$26*(1+Inputs!$B$28),INDEX(Inputs!$B$19:$B$22,MATCH(G51,Inputs!$A$19:$A$22,0))))))</f>
        <v>526.31578947368428</v>
      </c>
      <c r="I51" s="61">
        <v>10</v>
      </c>
      <c r="J51" s="44">
        <f t="shared" si="0"/>
        <v>5263.1578947368425</v>
      </c>
      <c r="K51" s="35" t="s">
        <v>34</v>
      </c>
      <c r="L51" s="20">
        <f>IF(K51="Yes",J51*Inputs!$B$29,0)</f>
        <v>0</v>
      </c>
      <c r="M51" s="16"/>
    </row>
    <row r="52" spans="1:13" s="19" customFormat="1" ht="24" customHeight="1" x14ac:dyDescent="0.25">
      <c r="A52" s="98"/>
      <c r="B52" s="112"/>
      <c r="C52" s="101"/>
      <c r="D52" s="94">
        <v>3.5000000000000004</v>
      </c>
      <c r="E52" s="125" t="s">
        <v>60</v>
      </c>
      <c r="F52" s="65" t="s">
        <v>79</v>
      </c>
      <c r="G52" s="66" t="s">
        <v>72</v>
      </c>
      <c r="H52" s="67">
        <f>IF(F52="External",(INDEX(Inputs!$B$10:$B$10,MATCH(G52,Inputs!$A$10:$A$10,0))),IF(F52="Project management",((INDEX(Inputs!$B$13:$B$15,MATCH(G52,Inputs!$A$13:$A$15,0)))/Inputs!$B$26*(1+Inputs!$B$28)),IF(G52="Training team",Inputs!$B$7/Inputs!$B$26*(1+Inputs!$B$28),IF(G52="IT System Admin",Inputs!$B$6/Inputs!$B$26*(1+Inputs!$B$28),INDEX(Inputs!$B$19:$B$22,MATCH(G52,Inputs!$A$19:$A$22,0))))))</f>
        <v>750</v>
      </c>
      <c r="I52" s="61">
        <v>110</v>
      </c>
      <c r="J52" s="44">
        <f t="shared" si="0"/>
        <v>82500</v>
      </c>
      <c r="K52" s="35" t="s">
        <v>39</v>
      </c>
      <c r="L52" s="20">
        <f>IF(K52="Yes",J52*Inputs!$B$29,0)</f>
        <v>16500</v>
      </c>
      <c r="M52" s="16"/>
    </row>
    <row r="53" spans="1:13" s="19" customFormat="1" ht="24" customHeight="1" x14ac:dyDescent="0.25">
      <c r="A53" s="98"/>
      <c r="B53" s="112"/>
      <c r="C53" s="101"/>
      <c r="D53" s="96"/>
      <c r="E53" s="126"/>
      <c r="F53" s="26" t="s">
        <v>45</v>
      </c>
      <c r="G53" s="34" t="s">
        <v>42</v>
      </c>
      <c r="H53" s="67">
        <f>IF(F53="External",(INDEX(Inputs!$B$10:$B$10,MATCH(G53,Inputs!$A$10:$A$10,0))),IF(F53="Project management",((INDEX(Inputs!$B$13:$B$15,MATCH(G53,Inputs!$A$13:$A$15,0)))/Inputs!$B$26*(1+Inputs!$B$28)),IF(G53="Training team",Inputs!$B$7/Inputs!$B$26*(1+Inputs!$B$28),IF(G53="IT System Admin",Inputs!$B$6/Inputs!$B$26*(1+Inputs!$B$28),INDEX(Inputs!$B$19:$B$22,MATCH(G53,Inputs!$A$19:$A$22,0))))))</f>
        <v>526.31578947368428</v>
      </c>
      <c r="I53" s="38">
        <v>10</v>
      </c>
      <c r="J53" s="44">
        <f t="shared" si="0"/>
        <v>5263.1578947368425</v>
      </c>
      <c r="K53" s="35" t="s">
        <v>34</v>
      </c>
      <c r="L53" s="20">
        <f>IF(K53="Yes",J53*Inputs!$B$29,0)</f>
        <v>0</v>
      </c>
      <c r="M53" s="16"/>
    </row>
    <row r="54" spans="1:13" s="19" customFormat="1" ht="24" customHeight="1" x14ac:dyDescent="0.25">
      <c r="A54" s="98"/>
      <c r="B54" s="112"/>
      <c r="C54" s="101"/>
      <c r="D54" s="94">
        <v>3.6000000000000005</v>
      </c>
      <c r="E54" s="125" t="s">
        <v>63</v>
      </c>
      <c r="F54" s="65" t="s">
        <v>79</v>
      </c>
      <c r="G54" s="66" t="s">
        <v>72</v>
      </c>
      <c r="H54" s="67">
        <f>IF(F54="External",(INDEX(Inputs!$B$10:$B$10,MATCH(G54,Inputs!$A$10:$A$10,0))),IF(F54="Project management",((INDEX(Inputs!$B$13:$B$15,MATCH(G54,Inputs!$A$13:$A$15,0)))/Inputs!$B$26*(1+Inputs!$B$28)),IF(G54="Training team",Inputs!$B$7/Inputs!$B$26*(1+Inputs!$B$28),IF(G54="IT System Admin",Inputs!$B$6/Inputs!$B$26*(1+Inputs!$B$28),INDEX(Inputs!$B$19:$B$22,MATCH(G54,Inputs!$A$19:$A$22,0))))))</f>
        <v>750</v>
      </c>
      <c r="I54" s="38">
        <v>200</v>
      </c>
      <c r="J54" s="44">
        <f t="shared" si="0"/>
        <v>150000</v>
      </c>
      <c r="K54" s="35" t="s">
        <v>39</v>
      </c>
      <c r="L54" s="20">
        <f>IF(K54="Yes",J54*Inputs!$B$29,0)</f>
        <v>30000</v>
      </c>
      <c r="M54" s="16"/>
    </row>
    <row r="55" spans="1:13" s="19" customFormat="1" ht="24" customHeight="1" x14ac:dyDescent="0.25">
      <c r="A55" s="98"/>
      <c r="B55" s="112"/>
      <c r="C55" s="102"/>
      <c r="D55" s="96"/>
      <c r="E55" s="126"/>
      <c r="F55" s="26" t="s">
        <v>45</v>
      </c>
      <c r="G55" s="34" t="s">
        <v>42</v>
      </c>
      <c r="H55" s="67">
        <f>IF(F55="External",(INDEX(Inputs!$B$10:$B$10,MATCH(G55,Inputs!$A$10:$A$10,0))),IF(F55="Project management",((INDEX(Inputs!$B$13:$B$15,MATCH(G55,Inputs!$A$13:$A$15,0)))/Inputs!$B$26*(1+Inputs!$B$28)),IF(G55="Training team",Inputs!$B$7/Inputs!$B$26*(1+Inputs!$B$28),IF(G55="IT System Admin",Inputs!$B$6/Inputs!$B$26*(1+Inputs!$B$28),INDEX(Inputs!$B$19:$B$22,MATCH(G55,Inputs!$A$19:$A$22,0))))))</f>
        <v>526.31578947368428</v>
      </c>
      <c r="I55" s="38">
        <v>30</v>
      </c>
      <c r="J55" s="44">
        <f t="shared" si="0"/>
        <v>15789.473684210529</v>
      </c>
      <c r="K55" s="35" t="s">
        <v>34</v>
      </c>
      <c r="L55" s="20">
        <f>IF(K55="Yes",J55*Inputs!$B$29,0)</f>
        <v>0</v>
      </c>
      <c r="M55" s="16"/>
    </row>
    <row r="56" spans="1:13" s="19" customFormat="1" ht="24" customHeight="1" x14ac:dyDescent="0.25">
      <c r="A56" s="98"/>
      <c r="B56" s="112"/>
      <c r="C56" s="94" t="s">
        <v>29</v>
      </c>
      <c r="D56" s="27">
        <v>3.7</v>
      </c>
      <c r="E56" s="31" t="s">
        <v>10</v>
      </c>
      <c r="F56" s="65" t="s">
        <v>79</v>
      </c>
      <c r="G56" s="66" t="s">
        <v>72</v>
      </c>
      <c r="H56" s="67">
        <f>IF(F56="External",(INDEX(Inputs!$B$10:$B$10,MATCH(G56,Inputs!$A$10:$A$10,0))),IF(F56="Project management",((INDEX(Inputs!$B$13:$B$15,MATCH(G56,Inputs!$A$13:$A$15,0)))/Inputs!$B$26*(1+Inputs!$B$28)),IF(G56="Training team",Inputs!$B$7/Inputs!$B$26*(1+Inputs!$B$28),IF(G56="IT System Admin",Inputs!$B$6/Inputs!$B$26*(1+Inputs!$B$28),INDEX(Inputs!$B$19:$B$22,MATCH(G56,Inputs!$A$19:$A$22,0))))))</f>
        <v>750</v>
      </c>
      <c r="I56" s="38">
        <v>2</v>
      </c>
      <c r="J56" s="44">
        <f t="shared" si="0"/>
        <v>1500</v>
      </c>
      <c r="K56" s="35" t="s">
        <v>34</v>
      </c>
      <c r="L56" s="20">
        <f>IF(K56="Yes",J56*Inputs!$B$29,0)</f>
        <v>0</v>
      </c>
      <c r="M56" s="16"/>
    </row>
    <row r="57" spans="1:13" s="19" customFormat="1" ht="24" customHeight="1" x14ac:dyDescent="0.25">
      <c r="A57" s="98"/>
      <c r="B57" s="112"/>
      <c r="C57" s="95"/>
      <c r="D57" s="27">
        <v>3.8</v>
      </c>
      <c r="E57" s="31" t="s">
        <v>30</v>
      </c>
      <c r="F57" s="65" t="s">
        <v>79</v>
      </c>
      <c r="G57" s="66" t="s">
        <v>72</v>
      </c>
      <c r="H57" s="67">
        <f>IF(F57="External",(INDEX(Inputs!$B$10:$B$10,MATCH(G57,Inputs!$A$10:$A$10,0))),IF(F57="Project management",((INDEX(Inputs!$B$13:$B$15,MATCH(G57,Inputs!$A$13:$A$15,0)))/Inputs!$B$26*(1+Inputs!$B$28)),IF(G57="Training team",Inputs!$B$7/Inputs!$B$26*(1+Inputs!$B$28),IF(G57="IT System Admin",Inputs!$B$6/Inputs!$B$26*(1+Inputs!$B$28),INDEX(Inputs!$B$19:$B$22,MATCH(G57,Inputs!$A$19:$A$22,0))))))</f>
        <v>750</v>
      </c>
      <c r="I57" s="38">
        <v>5</v>
      </c>
      <c r="J57" s="44">
        <f t="shared" si="0"/>
        <v>3750</v>
      </c>
      <c r="K57" s="35" t="s">
        <v>34</v>
      </c>
      <c r="L57" s="20">
        <f>IF(K57="Yes",J57*Inputs!$B$29,0)</f>
        <v>0</v>
      </c>
      <c r="M57" s="16"/>
    </row>
    <row r="58" spans="1:13" s="19" customFormat="1" ht="24" customHeight="1" x14ac:dyDescent="0.25">
      <c r="A58" s="98"/>
      <c r="B58" s="112"/>
      <c r="C58" s="95"/>
      <c r="D58" s="105" t="s">
        <v>33</v>
      </c>
      <c r="E58" s="122" t="s">
        <v>47</v>
      </c>
      <c r="F58" s="26" t="s">
        <v>24</v>
      </c>
      <c r="G58" s="34" t="s">
        <v>1</v>
      </c>
      <c r="H58" s="67">
        <f>IF(F58="External",(INDEX(Inputs!$B$10:$B$10,MATCH(G58,Inputs!$A$10:$A$10,0))),IF(F58="Project management",((INDEX(Inputs!$B$13:$B$15,MATCH(G58,Inputs!$A$13:$A$15,0)))/Inputs!$B$26*(1+Inputs!$B$28)),IF(G58="Training team",Inputs!$B$7/Inputs!$B$26*(1+Inputs!$B$28),IF(G58="IT System Admin",Inputs!$B$6/Inputs!$B$26*(1+Inputs!$B$28),INDEX(Inputs!$B$19:$B$22,MATCH(G58,Inputs!$A$19:$A$22,0))))))</f>
        <v>315.78947368421058</v>
      </c>
      <c r="I58" s="38">
        <v>1</v>
      </c>
      <c r="J58" s="44">
        <f t="shared" si="0"/>
        <v>315.78947368421058</v>
      </c>
      <c r="K58" s="35" t="s">
        <v>34</v>
      </c>
      <c r="L58" s="20">
        <f>IF(K58="Yes",J58*Inputs!$B$29,0)</f>
        <v>0</v>
      </c>
      <c r="M58" s="16"/>
    </row>
    <row r="59" spans="1:13" s="19" customFormat="1" ht="24" customHeight="1" x14ac:dyDescent="0.25">
      <c r="A59" s="99"/>
      <c r="B59" s="104"/>
      <c r="C59" s="96"/>
      <c r="D59" s="106"/>
      <c r="E59" s="124"/>
      <c r="F59" s="65" t="s">
        <v>24</v>
      </c>
      <c r="G59" s="66" t="s">
        <v>99</v>
      </c>
      <c r="H59" s="67">
        <f>IF(F59="External",(INDEX(Inputs!$B$10:$B$10,MATCH(G59,Inputs!$A$10:$A$10,0))),IF(F59="Project management",((INDEX(Inputs!$B$13:$B$15,MATCH(G59,Inputs!$A$13:$A$15,0)))/Inputs!$B$26*(1+Inputs!$B$28)),IF(G59="Training team",Inputs!$B$7/Inputs!$B$26*(1+Inputs!$B$28),IF(G59="IT System Admin",Inputs!$B$6/Inputs!$B$26*(1+Inputs!$B$28),INDEX(Inputs!$B$19:$B$22,MATCH(G59,Inputs!$A$19:$A$22,0))))))</f>
        <v>385.96491228070181</v>
      </c>
      <c r="I59" s="38">
        <v>5</v>
      </c>
      <c r="J59" s="44">
        <f t="shared" si="0"/>
        <v>1929.8245614035091</v>
      </c>
      <c r="K59" s="35" t="s">
        <v>34</v>
      </c>
      <c r="L59" s="20">
        <f>IF(K59="Yes",J59*Inputs!$B$29,0)</f>
        <v>0</v>
      </c>
      <c r="M59" s="16"/>
    </row>
    <row r="60" spans="1:13" s="19" customFormat="1" ht="21.75" customHeight="1" x14ac:dyDescent="0.25">
      <c r="D60" s="4"/>
      <c r="H60" s="21"/>
      <c r="J60" s="23"/>
      <c r="L60" s="22"/>
    </row>
  </sheetData>
  <mergeCells count="56">
    <mergeCell ref="E46:E47"/>
    <mergeCell ref="E48:E49"/>
    <mergeCell ref="E50:E51"/>
    <mergeCell ref="E52:E53"/>
    <mergeCell ref="D23:D24"/>
    <mergeCell ref="E23:E24"/>
    <mergeCell ref="C8:C24"/>
    <mergeCell ref="E43:E44"/>
    <mergeCell ref="C25:C28"/>
    <mergeCell ref="D27:D28"/>
    <mergeCell ref="E27:E28"/>
    <mergeCell ref="D19:D20"/>
    <mergeCell ref="E19:E20"/>
    <mergeCell ref="A45:A59"/>
    <mergeCell ref="B45:B59"/>
    <mergeCell ref="C45:C55"/>
    <mergeCell ref="D46:D47"/>
    <mergeCell ref="D48:D49"/>
    <mergeCell ref="C56:C59"/>
    <mergeCell ref="D58:D59"/>
    <mergeCell ref="E58:E59"/>
    <mergeCell ref="D50:D51"/>
    <mergeCell ref="D52:D53"/>
    <mergeCell ref="D54:D55"/>
    <mergeCell ref="E54:E55"/>
    <mergeCell ref="A29:A44"/>
    <mergeCell ref="B29:B44"/>
    <mergeCell ref="C29:C40"/>
    <mergeCell ref="D30:D32"/>
    <mergeCell ref="E30:E32"/>
    <mergeCell ref="D33:D34"/>
    <mergeCell ref="E33:E34"/>
    <mergeCell ref="D35:D36"/>
    <mergeCell ref="E35:E36"/>
    <mergeCell ref="D37:D38"/>
    <mergeCell ref="E37:E38"/>
    <mergeCell ref="D39:D40"/>
    <mergeCell ref="E39:E40"/>
    <mergeCell ref="C41:C44"/>
    <mergeCell ref="D43:D44"/>
    <mergeCell ref="F6:J6"/>
    <mergeCell ref="K6:L6"/>
    <mergeCell ref="A7:C7"/>
    <mergeCell ref="D7:E7"/>
    <mergeCell ref="A8:A28"/>
    <mergeCell ref="B8:B28"/>
    <mergeCell ref="D9:D11"/>
    <mergeCell ref="E9:E11"/>
    <mergeCell ref="D12:D14"/>
    <mergeCell ref="E12:E14"/>
    <mergeCell ref="D15:D16"/>
    <mergeCell ref="E15:E16"/>
    <mergeCell ref="D17:D18"/>
    <mergeCell ref="E17:E18"/>
    <mergeCell ref="D21:D22"/>
    <mergeCell ref="E21:E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2:N30"/>
  <sheetViews>
    <sheetView showGridLines="0" zoomScale="75" zoomScaleNormal="75" workbookViewId="0">
      <selection activeCell="C8" sqref="C8:C25"/>
    </sheetView>
  </sheetViews>
  <sheetFormatPr defaultRowHeight="12" x14ac:dyDescent="0.25"/>
  <cols>
    <col min="1" max="1" width="10.140625" style="2" customWidth="1"/>
    <col min="2" max="2" width="34.28515625" style="2" customWidth="1"/>
    <col min="3" max="3" width="15.85546875" style="2" customWidth="1"/>
    <col min="4" max="4" width="6.7109375" style="4" customWidth="1"/>
    <col min="5" max="5" width="114.140625" style="19" customWidth="1"/>
    <col min="6" max="6" width="26.7109375" style="2" customWidth="1"/>
    <col min="7" max="7" width="28" style="15" customWidth="1"/>
    <col min="8" max="8" width="21.28515625" style="2" customWidth="1"/>
    <col min="9" max="11" width="24.28515625" style="15" customWidth="1"/>
    <col min="12" max="12" width="18" style="14" customWidth="1"/>
    <col min="13" max="13" width="9.85546875" style="2" bestFit="1" customWidth="1"/>
    <col min="14" max="16384" width="9.140625" style="2"/>
  </cols>
  <sheetData>
    <row r="2" spans="1:13" ht="20.25" x14ac:dyDescent="0.25">
      <c r="A2" s="11" t="s">
        <v>98</v>
      </c>
      <c r="B2" s="11"/>
      <c r="C2" s="11"/>
      <c r="E2" s="29"/>
      <c r="F2" s="11"/>
      <c r="G2" s="12"/>
      <c r="H2" s="11"/>
      <c r="I2" s="13"/>
      <c r="J2" s="13"/>
      <c r="K2" s="13"/>
    </row>
    <row r="3" spans="1:13" ht="12.75" customHeight="1" x14ac:dyDescent="0.25">
      <c r="A3" s="11"/>
      <c r="B3" s="11"/>
      <c r="C3" s="11"/>
      <c r="E3" s="29"/>
      <c r="F3" s="11"/>
      <c r="G3" s="12"/>
      <c r="H3" s="11"/>
      <c r="I3" s="13"/>
      <c r="J3" s="13"/>
      <c r="K3" s="13"/>
    </row>
    <row r="4" spans="1:13" x14ac:dyDescent="0.25">
      <c r="A4" s="3" t="s">
        <v>0</v>
      </c>
    </row>
    <row r="5" spans="1:13" x14ac:dyDescent="0.25">
      <c r="A5" s="3"/>
    </row>
    <row r="6" spans="1:13" ht="15" customHeight="1" x14ac:dyDescent="0.25">
      <c r="F6" s="119" t="s">
        <v>19</v>
      </c>
      <c r="G6" s="120"/>
      <c r="H6" s="120"/>
      <c r="I6" s="120"/>
      <c r="J6" s="121"/>
      <c r="K6" s="110" t="s">
        <v>21</v>
      </c>
      <c r="L6" s="111"/>
    </row>
    <row r="7" spans="1:13" s="19" customFormat="1" ht="29.25" customHeight="1" x14ac:dyDescent="0.25">
      <c r="A7" s="107" t="s">
        <v>7</v>
      </c>
      <c r="B7" s="108"/>
      <c r="C7" s="109"/>
      <c r="D7" s="107" t="s">
        <v>26</v>
      </c>
      <c r="E7" s="109"/>
      <c r="F7" s="28" t="s">
        <v>23</v>
      </c>
      <c r="G7" s="33" t="s">
        <v>25</v>
      </c>
      <c r="H7" s="36" t="s">
        <v>8</v>
      </c>
      <c r="I7" s="37" t="s">
        <v>9</v>
      </c>
      <c r="J7" s="58" t="s">
        <v>20</v>
      </c>
      <c r="K7" s="58" t="s">
        <v>31</v>
      </c>
      <c r="L7" s="25" t="s">
        <v>22</v>
      </c>
    </row>
    <row r="8" spans="1:13" s="19" customFormat="1" ht="24" customHeight="1" x14ac:dyDescent="0.25">
      <c r="A8" s="97">
        <v>1</v>
      </c>
      <c r="B8" s="94" t="s">
        <v>90</v>
      </c>
      <c r="C8" s="94" t="s">
        <v>28</v>
      </c>
      <c r="D8" s="27">
        <v>1.1000000000000001</v>
      </c>
      <c r="E8" s="30" t="s">
        <v>10</v>
      </c>
      <c r="F8" s="65" t="s">
        <v>79</v>
      </c>
      <c r="G8" s="66" t="s">
        <v>72</v>
      </c>
      <c r="H8" s="67">
        <f>IF(F8="External",(INDEX(Inputs!$B$10:$B$10,MATCH(G8,Inputs!$A$10:$A$10,0))),IF(F8="Project management",((INDEX(Inputs!$B$13:$B$15,MATCH(G8,Inputs!$A$13:$A$15,0)))/Inputs!$B$26*(1+Inputs!$B$28)),IF(G8="Training team",Inputs!$B$7/Inputs!$B$26*(1+Inputs!$B$28),IF(G8="IT System Admin",Inputs!$B$6/Inputs!$B$26*(1+Inputs!$B$28),INDEX(Inputs!$B$19:$B$22,MATCH(G8,Inputs!$A$19:$A$22,0))))))</f>
        <v>750</v>
      </c>
      <c r="I8" s="38">
        <v>30</v>
      </c>
      <c r="J8" s="44">
        <f>IF(F8="Hardware / software licence",H8,H8*I8)</f>
        <v>22500</v>
      </c>
      <c r="K8" s="35" t="s">
        <v>34</v>
      </c>
      <c r="L8" s="20">
        <f>IF(K8="Yes",J8*Inputs!$B$29,0)</f>
        <v>0</v>
      </c>
      <c r="M8" s="16"/>
    </row>
    <row r="9" spans="1:13" s="19" customFormat="1" ht="24" customHeight="1" x14ac:dyDescent="0.25">
      <c r="A9" s="98"/>
      <c r="B9" s="95"/>
      <c r="C9" s="95"/>
      <c r="D9" s="94">
        <v>1.2000000000000002</v>
      </c>
      <c r="E9" s="127" t="s">
        <v>91</v>
      </c>
      <c r="F9" s="65" t="s">
        <v>79</v>
      </c>
      <c r="G9" s="66" t="s">
        <v>72</v>
      </c>
      <c r="H9" s="67">
        <f>IF(F9="External",(INDEX(Inputs!$B$10:$B$10,MATCH(G9,Inputs!$A$10:$A$10,0))),IF(F9="Project management",((INDEX(Inputs!$B$13:$B$15,MATCH(G9,Inputs!$A$13:$A$15,0)))/Inputs!$B$26*(1+Inputs!$B$28)),IF(G9="Training team",Inputs!$B$7/Inputs!$B$26*(1+Inputs!$B$28),IF(G9="IT System Admin",Inputs!$B$6/Inputs!$B$26*(1+Inputs!$B$28),INDEX(Inputs!$B$19:$B$22,MATCH(G9,Inputs!$A$19:$A$22,0))))))</f>
        <v>750</v>
      </c>
      <c r="I9" s="38">
        <v>50</v>
      </c>
      <c r="J9" s="44">
        <f t="shared" ref="J9:J29" si="0">IF(F9="Hardware / software licence",H9,H9*I9)</f>
        <v>37500</v>
      </c>
      <c r="K9" s="35" t="s">
        <v>39</v>
      </c>
      <c r="L9" s="20">
        <f>IF(K9="Yes",J9*Inputs!$B$29,0)</f>
        <v>7500</v>
      </c>
      <c r="M9" s="16"/>
    </row>
    <row r="10" spans="1:13" s="19" customFormat="1" ht="24" customHeight="1" x14ac:dyDescent="0.25">
      <c r="A10" s="98"/>
      <c r="B10" s="95"/>
      <c r="C10" s="95"/>
      <c r="D10" s="96"/>
      <c r="E10" s="128"/>
      <c r="F10" s="26" t="s">
        <v>45</v>
      </c>
      <c r="G10" s="34" t="s">
        <v>42</v>
      </c>
      <c r="H10" s="67">
        <f>IF(F10="External",(INDEX(Inputs!$B$10:$B$10,MATCH(G10,Inputs!$A$10:$A$10,0))),IF(F10="Project management",((INDEX(Inputs!$B$13:$B$15,MATCH(G10,Inputs!$A$13:$A$15,0)))/Inputs!$B$26*(1+Inputs!$B$28)),IF(G10="Training team",Inputs!$B$7/Inputs!$B$26*(1+Inputs!$B$28),IF(G10="IT System Admin",Inputs!$B$6/Inputs!$B$26*(1+Inputs!$B$28),INDEX(Inputs!$B$19:$B$22,MATCH(G10,Inputs!$A$19:$A$22,0))))))</f>
        <v>526.31578947368428</v>
      </c>
      <c r="I10" s="38">
        <v>10</v>
      </c>
      <c r="J10" s="44">
        <f t="shared" si="0"/>
        <v>5263.1578947368425</v>
      </c>
      <c r="K10" s="35" t="s">
        <v>34</v>
      </c>
      <c r="L10" s="20">
        <f>IF(K10="Yes",J10*Inputs!$B$29,0)</f>
        <v>0</v>
      </c>
      <c r="M10" s="16"/>
    </row>
    <row r="11" spans="1:13" s="19" customFormat="1" ht="24" customHeight="1" x14ac:dyDescent="0.25">
      <c r="A11" s="98"/>
      <c r="B11" s="95"/>
      <c r="C11" s="95"/>
      <c r="D11" s="94">
        <v>1.3000000000000003</v>
      </c>
      <c r="E11" s="122" t="s">
        <v>92</v>
      </c>
      <c r="F11" s="65" t="s">
        <v>79</v>
      </c>
      <c r="G11" s="66" t="s">
        <v>72</v>
      </c>
      <c r="H11" s="67">
        <f>IF(F11="External",(INDEX(Inputs!$B$10:$B$10,MATCH(G11,Inputs!$A$10:$A$10,0))),IF(F11="Project management",((INDEX(Inputs!$B$13:$B$15,MATCH(G11,Inputs!$A$13:$A$15,0)))/Inputs!$B$26*(1+Inputs!$B$28)),IF(G11="Training team",Inputs!$B$7/Inputs!$B$26*(1+Inputs!$B$28),IF(G11="IT System Admin",Inputs!$B$6/Inputs!$B$26*(1+Inputs!$B$28),INDEX(Inputs!$B$19:$B$22,MATCH(G11,Inputs!$A$19:$A$22,0))))))</f>
        <v>750</v>
      </c>
      <c r="I11" s="38">
        <v>150</v>
      </c>
      <c r="J11" s="44">
        <f t="shared" si="0"/>
        <v>112500</v>
      </c>
      <c r="K11" s="35" t="s">
        <v>39</v>
      </c>
      <c r="L11" s="20">
        <f>IF(K11="Yes",J11*Inputs!$B$29,0)</f>
        <v>22500</v>
      </c>
      <c r="M11" s="16"/>
    </row>
    <row r="12" spans="1:13" s="19" customFormat="1" ht="24" customHeight="1" x14ac:dyDescent="0.25">
      <c r="A12" s="98"/>
      <c r="B12" s="95"/>
      <c r="C12" s="95"/>
      <c r="D12" s="95"/>
      <c r="E12" s="123"/>
      <c r="F12" s="26" t="s">
        <v>14</v>
      </c>
      <c r="G12" s="34" t="s">
        <v>16</v>
      </c>
      <c r="H12" s="67">
        <f>IF(F12="External",(INDEX(Inputs!$B$10:$B$10,MATCH(G12,Inputs!$A$10:$A$10,0))),IF(F12="Project management",((INDEX(Inputs!$B$13:$B$15,MATCH(G12,Inputs!$A$13:$A$15,0)))/Inputs!$B$26*(1+Inputs!$B$28)),IF(G12="Training team",Inputs!$B$7/Inputs!$B$26*(1+Inputs!$B$28),IF(G12="IT System Admin",Inputs!$B$6/Inputs!$B$26*(1+Inputs!$B$28),INDEX(Inputs!$B$19:$B$22,MATCH(G12,Inputs!$A$19:$A$22,0))))))</f>
        <v>50000</v>
      </c>
      <c r="I12" s="38">
        <v>150</v>
      </c>
      <c r="J12" s="44">
        <f t="shared" si="0"/>
        <v>50000</v>
      </c>
      <c r="K12" s="35" t="s">
        <v>39</v>
      </c>
      <c r="L12" s="20">
        <f>IF(K12="Yes",J12*Inputs!$B$29,0)</f>
        <v>10000</v>
      </c>
      <c r="M12" s="16"/>
    </row>
    <row r="13" spans="1:13" s="19" customFormat="1" ht="24" customHeight="1" x14ac:dyDescent="0.25">
      <c r="A13" s="98"/>
      <c r="B13" s="95"/>
      <c r="C13" s="95"/>
      <c r="D13" s="96"/>
      <c r="E13" s="124"/>
      <c r="F13" s="26" t="s">
        <v>45</v>
      </c>
      <c r="G13" s="34" t="s">
        <v>43</v>
      </c>
      <c r="H13" s="67">
        <f>IF(F13="External",(INDEX(Inputs!$B$10:$B$10,MATCH(G13,Inputs!$A$10:$A$10,0))),IF(F13="Project management",((INDEX(Inputs!$B$13:$B$15,MATCH(G13,Inputs!$A$13:$A$15,0)))/Inputs!$B$26*(1+Inputs!$B$28)),IF(G13="Training team",Inputs!$B$7/Inputs!$B$26*(1+Inputs!$B$28),IF(G13="IT System Admin",Inputs!$B$6/Inputs!$B$26*(1+Inputs!$B$28),INDEX(Inputs!$B$19:$B$22,MATCH(G13,Inputs!$A$19:$A$22,0))))))</f>
        <v>596.49122807017545</v>
      </c>
      <c r="I13" s="38">
        <v>20</v>
      </c>
      <c r="J13" s="44">
        <f t="shared" si="0"/>
        <v>11929.82456140351</v>
      </c>
      <c r="K13" s="35" t="s">
        <v>34</v>
      </c>
      <c r="L13" s="20">
        <f>IF(K13="Yes",J13*Inputs!$B$29,0)</f>
        <v>0</v>
      </c>
      <c r="M13" s="16"/>
    </row>
    <row r="14" spans="1:13" s="19" customFormat="1" ht="24" customHeight="1" x14ac:dyDescent="0.25">
      <c r="A14" s="98"/>
      <c r="B14" s="95"/>
      <c r="C14" s="95"/>
      <c r="D14" s="94">
        <v>1.4000000000000004</v>
      </c>
      <c r="E14" s="122" t="s">
        <v>111</v>
      </c>
      <c r="F14" s="65" t="s">
        <v>79</v>
      </c>
      <c r="G14" s="66" t="s">
        <v>72</v>
      </c>
      <c r="H14" s="67">
        <f>IF(F14="External",(INDEX(Inputs!$B$10:$B$10,MATCH(G14,Inputs!$A$10:$A$10,0))),IF(F14="Project management",((INDEX(Inputs!$B$13:$B$15,MATCH(G14,Inputs!$A$13:$A$15,0)))/Inputs!$B$26*(1+Inputs!$B$28)),IF(G14="Training team",Inputs!$B$7/Inputs!$B$26*(1+Inputs!$B$28),IF(G14="IT System Admin",Inputs!$B$6/Inputs!$B$26*(1+Inputs!$B$28),INDEX(Inputs!$B$19:$B$22,MATCH(G14,Inputs!$A$19:$A$22,0))))))</f>
        <v>750</v>
      </c>
      <c r="I14" s="38">
        <v>60</v>
      </c>
      <c r="J14" s="44">
        <f t="shared" si="0"/>
        <v>45000</v>
      </c>
      <c r="K14" s="35" t="s">
        <v>39</v>
      </c>
      <c r="L14" s="20">
        <f>IF(K14="Yes",J14*Inputs!$B$29,0)</f>
        <v>9000</v>
      </c>
      <c r="M14" s="16"/>
    </row>
    <row r="15" spans="1:13" s="19" customFormat="1" ht="24" customHeight="1" x14ac:dyDescent="0.25">
      <c r="A15" s="98"/>
      <c r="B15" s="95"/>
      <c r="C15" s="95"/>
      <c r="D15" s="96"/>
      <c r="E15" s="124"/>
      <c r="F15" s="26" t="s">
        <v>45</v>
      </c>
      <c r="G15" s="34" t="s">
        <v>43</v>
      </c>
      <c r="H15" s="67">
        <f>IF(F15="External",(INDEX(Inputs!$B$10:$B$10,MATCH(G15,Inputs!$A$10:$A$10,0))),IF(F15="Project management",((INDEX(Inputs!$B$13:$B$15,MATCH(G15,Inputs!$A$13:$A$15,0)))/Inputs!$B$26*(1+Inputs!$B$28)),IF(G15="Training team",Inputs!$B$7/Inputs!$B$26*(1+Inputs!$B$28),IF(G15="IT System Admin",Inputs!$B$6/Inputs!$B$26*(1+Inputs!$B$28),INDEX(Inputs!$B$19:$B$22,MATCH(G15,Inputs!$A$19:$A$22,0))))))</f>
        <v>596.49122807017545</v>
      </c>
      <c r="I15" s="38">
        <v>10</v>
      </c>
      <c r="J15" s="44">
        <f t="shared" si="0"/>
        <v>5964.9122807017548</v>
      </c>
      <c r="K15" s="35" t="s">
        <v>34</v>
      </c>
      <c r="L15" s="20">
        <f>IF(K15="Yes",J15*Inputs!$B$29,0)</f>
        <v>0</v>
      </c>
      <c r="M15" s="16"/>
    </row>
    <row r="16" spans="1:13" s="19" customFormat="1" ht="24" customHeight="1" x14ac:dyDescent="0.25">
      <c r="A16" s="98"/>
      <c r="B16" s="95"/>
      <c r="C16" s="95"/>
      <c r="D16" s="94">
        <v>1.5000000000000004</v>
      </c>
      <c r="E16" s="122" t="s">
        <v>87</v>
      </c>
      <c r="F16" s="65" t="s">
        <v>79</v>
      </c>
      <c r="G16" s="66" t="s">
        <v>72</v>
      </c>
      <c r="H16" s="67">
        <f>IF(F16="External",(INDEX(Inputs!$B$10:$B$10,MATCH(G16,Inputs!$A$10:$A$10,0))),IF(F16="Project management",((INDEX(Inputs!$B$13:$B$15,MATCH(G16,Inputs!$A$13:$A$15,0)))/Inputs!$B$26*(1+Inputs!$B$28)),IF(G16="Training team",Inputs!$B$7/Inputs!$B$26*(1+Inputs!$B$28),IF(G16="IT System Admin",Inputs!$B$6/Inputs!$B$26*(1+Inputs!$B$28),INDEX(Inputs!$B$19:$B$22,MATCH(G16,Inputs!$A$19:$A$22,0))))))</f>
        <v>750</v>
      </c>
      <c r="I16" s="61">
        <v>0</v>
      </c>
      <c r="J16" s="44">
        <f t="shared" si="0"/>
        <v>0</v>
      </c>
      <c r="K16" s="35" t="s">
        <v>39</v>
      </c>
      <c r="L16" s="20">
        <f>IF(K16="Yes",J16*Inputs!$B$29,0)</f>
        <v>0</v>
      </c>
      <c r="M16" s="86" t="s">
        <v>108</v>
      </c>
    </row>
    <row r="17" spans="1:14" s="19" customFormat="1" ht="24" customHeight="1" x14ac:dyDescent="0.25">
      <c r="A17" s="98"/>
      <c r="B17" s="95"/>
      <c r="C17" s="95"/>
      <c r="D17" s="96"/>
      <c r="E17" s="124"/>
      <c r="F17" s="26" t="s">
        <v>45</v>
      </c>
      <c r="G17" s="34" t="s">
        <v>43</v>
      </c>
      <c r="H17" s="67">
        <f>IF(F17="External",(INDEX(Inputs!$B$10:$B$10,MATCH(G17,Inputs!$A$10:$A$10,0))),IF(F17="Project management",((INDEX(Inputs!$B$13:$B$15,MATCH(G17,Inputs!$A$13:$A$15,0)))/Inputs!$B$26*(1+Inputs!$B$28)),IF(G17="Training team",Inputs!$B$7/Inputs!$B$26*(1+Inputs!$B$28),IF(G17="IT System Admin",Inputs!$B$6/Inputs!$B$26*(1+Inputs!$B$28),INDEX(Inputs!$B$19:$B$22,MATCH(G17,Inputs!$A$19:$A$22,0))))))</f>
        <v>596.49122807017545</v>
      </c>
      <c r="I17" s="61">
        <v>0</v>
      </c>
      <c r="J17" s="44">
        <f t="shared" si="0"/>
        <v>0</v>
      </c>
      <c r="K17" s="35" t="s">
        <v>34</v>
      </c>
      <c r="L17" s="20">
        <f>IF(K17="Yes",J17*Inputs!$B$29,0)</f>
        <v>0</v>
      </c>
      <c r="M17" s="86" t="s">
        <v>108</v>
      </c>
    </row>
    <row r="18" spans="1:14" s="19" customFormat="1" ht="24" customHeight="1" x14ac:dyDescent="0.25">
      <c r="A18" s="98"/>
      <c r="B18" s="95"/>
      <c r="C18" s="95"/>
      <c r="D18" s="94">
        <v>1.6000000000000005</v>
      </c>
      <c r="E18" s="122" t="s">
        <v>94</v>
      </c>
      <c r="F18" s="65" t="s">
        <v>79</v>
      </c>
      <c r="G18" s="66" t="s">
        <v>72</v>
      </c>
      <c r="H18" s="67">
        <f>IF(F18="External",(INDEX(Inputs!$B$10:$B$10,MATCH(G18,Inputs!$A$10:$A$10,0))),IF(F18="Project management",((INDEX(Inputs!$B$13:$B$15,MATCH(G18,Inputs!$A$13:$A$15,0)))/Inputs!$B$26*(1+Inputs!$B$28)),IF(G18="Training team",Inputs!$B$7/Inputs!$B$26*(1+Inputs!$B$28),IF(G18="IT System Admin",Inputs!$B$6/Inputs!$B$26*(1+Inputs!$B$28),INDEX(Inputs!$B$19:$B$22,MATCH(G18,Inputs!$A$19:$A$22,0))))))</f>
        <v>750</v>
      </c>
      <c r="I18" s="61">
        <v>0</v>
      </c>
      <c r="J18" s="44">
        <f t="shared" si="0"/>
        <v>0</v>
      </c>
      <c r="K18" s="35" t="s">
        <v>39</v>
      </c>
      <c r="L18" s="20">
        <f>IF(K18="Yes",J18*Inputs!$B$29,0)</f>
        <v>0</v>
      </c>
      <c r="M18" s="86" t="s">
        <v>108</v>
      </c>
    </row>
    <row r="19" spans="1:14" s="19" customFormat="1" ht="24" customHeight="1" x14ac:dyDescent="0.25">
      <c r="A19" s="98"/>
      <c r="B19" s="95"/>
      <c r="C19" s="95"/>
      <c r="D19" s="96"/>
      <c r="E19" s="124"/>
      <c r="F19" s="26" t="s">
        <v>45</v>
      </c>
      <c r="G19" s="34" t="s">
        <v>43</v>
      </c>
      <c r="H19" s="67">
        <f>IF(F19="External",(INDEX(Inputs!$B$10:$B$10,MATCH(G19,Inputs!$A$10:$A$10,0))),IF(F19="Project management",((INDEX(Inputs!$B$13:$B$15,MATCH(G19,Inputs!$A$13:$A$15,0)))/Inputs!$B$26*(1+Inputs!$B$28)),IF(G19="Training team",Inputs!$B$7/Inputs!$B$26*(1+Inputs!$B$28),IF(G19="IT System Admin",Inputs!$B$6/Inputs!$B$26*(1+Inputs!$B$28),INDEX(Inputs!$B$19:$B$22,MATCH(G19,Inputs!$A$19:$A$22,0))))))</f>
        <v>596.49122807017545</v>
      </c>
      <c r="I19" s="61">
        <v>0</v>
      </c>
      <c r="J19" s="44">
        <f t="shared" si="0"/>
        <v>0</v>
      </c>
      <c r="K19" s="35" t="s">
        <v>34</v>
      </c>
      <c r="L19" s="20">
        <f>IF(K19="Yes",J19*Inputs!$B$29,0)</f>
        <v>0</v>
      </c>
      <c r="M19" s="86" t="s">
        <v>108</v>
      </c>
    </row>
    <row r="20" spans="1:14" s="19" customFormat="1" ht="24" customHeight="1" x14ac:dyDescent="0.25">
      <c r="A20" s="98"/>
      <c r="B20" s="95"/>
      <c r="C20" s="95"/>
      <c r="D20" s="94">
        <v>1.7000000000000006</v>
      </c>
      <c r="E20" s="122" t="s">
        <v>95</v>
      </c>
      <c r="F20" s="65" t="s">
        <v>79</v>
      </c>
      <c r="G20" s="66" t="s">
        <v>72</v>
      </c>
      <c r="H20" s="67">
        <f>IF(F20="External",(INDEX(Inputs!$B$10:$B$10,MATCH(G20,Inputs!$A$10:$A$10,0))),IF(F20="Project management",((INDEX(Inputs!$B$13:$B$15,MATCH(G20,Inputs!$A$13:$A$15,0)))/Inputs!$B$26*(1+Inputs!$B$28)),IF(G20="Training team",Inputs!$B$7/Inputs!$B$26*(1+Inputs!$B$28),IF(G20="IT System Admin",Inputs!$B$6/Inputs!$B$26*(1+Inputs!$B$28),INDEX(Inputs!$B$19:$B$22,MATCH(G20,Inputs!$A$19:$A$22,0))))))</f>
        <v>750</v>
      </c>
      <c r="I20" s="38">
        <v>100</v>
      </c>
      <c r="J20" s="44">
        <f t="shared" si="0"/>
        <v>75000</v>
      </c>
      <c r="K20" s="35" t="s">
        <v>39</v>
      </c>
      <c r="L20" s="20">
        <f>IF(K20="Yes",J20*Inputs!$B$29,0)</f>
        <v>15000</v>
      </c>
      <c r="M20" s="16"/>
    </row>
    <row r="21" spans="1:14" s="19" customFormat="1" ht="24" customHeight="1" x14ac:dyDescent="0.25">
      <c r="A21" s="98"/>
      <c r="B21" s="95"/>
      <c r="C21" s="95"/>
      <c r="D21" s="96"/>
      <c r="E21" s="124"/>
      <c r="F21" s="26" t="s">
        <v>45</v>
      </c>
      <c r="G21" s="34" t="s">
        <v>42</v>
      </c>
      <c r="H21" s="67">
        <f>IF(F21="External",(INDEX(Inputs!$B$10:$B$10,MATCH(G21,Inputs!$A$10:$A$10,0))),IF(F21="Project management",((INDEX(Inputs!$B$13:$B$15,MATCH(G21,Inputs!$A$13:$A$15,0)))/Inputs!$B$26*(1+Inputs!$B$28)),IF(G21="Training team",Inputs!$B$7/Inputs!$B$26*(1+Inputs!$B$28),IF(G21="IT System Admin",Inputs!$B$6/Inputs!$B$26*(1+Inputs!$B$28),INDEX(Inputs!$B$19:$B$22,MATCH(G21,Inputs!$A$19:$A$22,0))))))</f>
        <v>526.31578947368428</v>
      </c>
      <c r="I21" s="38">
        <v>20</v>
      </c>
      <c r="J21" s="44">
        <f t="shared" si="0"/>
        <v>10526.315789473685</v>
      </c>
      <c r="K21" s="35" t="s">
        <v>34</v>
      </c>
      <c r="L21" s="20">
        <f>IF(K21="Yes",J21*Inputs!$B$29,0)</f>
        <v>0</v>
      </c>
      <c r="M21" s="16"/>
    </row>
    <row r="22" spans="1:14" s="19" customFormat="1" ht="24" customHeight="1" x14ac:dyDescent="0.25">
      <c r="A22" s="98"/>
      <c r="B22" s="95"/>
      <c r="C22" s="95"/>
      <c r="D22" s="94">
        <v>1.8</v>
      </c>
      <c r="E22" s="122" t="s">
        <v>96</v>
      </c>
      <c r="F22" s="65" t="s">
        <v>79</v>
      </c>
      <c r="G22" s="66" t="s">
        <v>72</v>
      </c>
      <c r="H22" s="67">
        <f>IF(F22="External",(INDEX(Inputs!$B$10:$B$10,MATCH(G22,Inputs!$A$10:$A$10,0))),IF(F22="Project management",((INDEX(Inputs!$B$13:$B$15,MATCH(G22,Inputs!$A$13:$A$15,0)))/Inputs!$B$26*(1+Inputs!$B$28)),IF(G22="Training team",Inputs!$B$7/Inputs!$B$26*(1+Inputs!$B$28),IF(G22="IT System Admin",Inputs!$B$6/Inputs!$B$26*(1+Inputs!$B$28),INDEX(Inputs!$B$19:$B$22,MATCH(G22,Inputs!$A$19:$A$22,0))))))</f>
        <v>750</v>
      </c>
      <c r="I22" s="38">
        <v>100</v>
      </c>
      <c r="J22" s="44">
        <f t="shared" si="0"/>
        <v>75000</v>
      </c>
      <c r="K22" s="35" t="s">
        <v>39</v>
      </c>
      <c r="L22" s="20">
        <f>IF(K22="Yes",J22*Inputs!$B$29,0)</f>
        <v>15000</v>
      </c>
      <c r="M22" s="16"/>
    </row>
    <row r="23" spans="1:14" s="19" customFormat="1" ht="24" customHeight="1" x14ac:dyDescent="0.25">
      <c r="A23" s="98"/>
      <c r="B23" s="95"/>
      <c r="C23" s="95"/>
      <c r="D23" s="96"/>
      <c r="E23" s="124"/>
      <c r="F23" s="26" t="s">
        <v>45</v>
      </c>
      <c r="G23" s="34" t="s">
        <v>42</v>
      </c>
      <c r="H23" s="67">
        <f>IF(F23="External",(INDEX(Inputs!$B$10:$B$10,MATCH(G23,Inputs!$A$10:$A$10,0))),IF(F23="Project management",((INDEX(Inputs!$B$13:$B$15,MATCH(G23,Inputs!$A$13:$A$15,0)))/Inputs!$B$26*(1+Inputs!$B$28)),IF(G23="Training team",Inputs!$B$7/Inputs!$B$26*(1+Inputs!$B$28),IF(G23="IT System Admin",Inputs!$B$6/Inputs!$B$26*(1+Inputs!$B$28),INDEX(Inputs!$B$19:$B$22,MATCH(G23,Inputs!$A$19:$A$22,0))))))</f>
        <v>526.31578947368428</v>
      </c>
      <c r="I23" s="38">
        <v>20</v>
      </c>
      <c r="J23" s="44">
        <f t="shared" si="0"/>
        <v>10526.315789473685</v>
      </c>
      <c r="K23" s="35" t="s">
        <v>34</v>
      </c>
      <c r="L23" s="20">
        <f>IF(K23="Yes",J23*Inputs!$B$29,0)</f>
        <v>0</v>
      </c>
      <c r="M23" s="16"/>
    </row>
    <row r="24" spans="1:14" s="19" customFormat="1" ht="24" customHeight="1" x14ac:dyDescent="0.25">
      <c r="A24" s="98"/>
      <c r="B24" s="95"/>
      <c r="C24" s="95"/>
      <c r="D24" s="94">
        <v>1.9</v>
      </c>
      <c r="E24" s="122" t="s">
        <v>80</v>
      </c>
      <c r="F24" s="65" t="s">
        <v>79</v>
      </c>
      <c r="G24" s="66" t="s">
        <v>72</v>
      </c>
      <c r="H24" s="67">
        <f>IF(F24="External",(INDEX(Inputs!$B$10:$B$10,MATCH(G24,Inputs!$A$10:$A$10,0))),IF(F24="Project management",((INDEX(Inputs!$B$13:$B$15,MATCH(G24,Inputs!$A$13:$A$15,0)))/Inputs!$B$26*(1+Inputs!$B$28)),IF(G24="Training team",Inputs!$B$7/Inputs!$B$26*(1+Inputs!$B$28),IF(G24="IT System Admin",Inputs!$B$6/Inputs!$B$26*(1+Inputs!$B$28),INDEX(Inputs!$B$19:$B$22,MATCH(G24,Inputs!$A$19:$A$22,0))))))</f>
        <v>750</v>
      </c>
      <c r="I24" s="38">
        <v>244</v>
      </c>
      <c r="J24" s="44">
        <f t="shared" si="0"/>
        <v>183000</v>
      </c>
      <c r="K24" s="35" t="s">
        <v>39</v>
      </c>
      <c r="L24" s="20">
        <f>IF(K24="Yes",J24*Inputs!$B$29,0)</f>
        <v>36600</v>
      </c>
      <c r="M24" s="16"/>
    </row>
    <row r="25" spans="1:14" s="19" customFormat="1" ht="24" customHeight="1" x14ac:dyDescent="0.25">
      <c r="A25" s="98"/>
      <c r="B25" s="95"/>
      <c r="C25" s="96"/>
      <c r="D25" s="96"/>
      <c r="E25" s="124"/>
      <c r="F25" s="26" t="s">
        <v>45</v>
      </c>
      <c r="G25" s="34" t="s">
        <v>42</v>
      </c>
      <c r="H25" s="67">
        <f>IF(F25="External",(INDEX(Inputs!$B$10:$B$10,MATCH(G25,Inputs!$A$10:$A$10,0))),IF(F25="Project management",((INDEX(Inputs!$B$13:$B$15,MATCH(G25,Inputs!$A$13:$A$15,0)))/Inputs!$B$26*(1+Inputs!$B$28)),IF(G25="Training team",Inputs!$B$7/Inputs!$B$26*(1+Inputs!$B$28),IF(G25="IT System Admin",Inputs!$B$6/Inputs!$B$26*(1+Inputs!$B$28),INDEX(Inputs!$B$19:$B$22,MATCH(G25,Inputs!$A$19:$A$22,0))))))</f>
        <v>526.31578947368428</v>
      </c>
      <c r="I25" s="38">
        <v>50</v>
      </c>
      <c r="J25" s="44">
        <f t="shared" si="0"/>
        <v>26315.789473684214</v>
      </c>
      <c r="K25" s="35" t="s">
        <v>34</v>
      </c>
      <c r="L25" s="20">
        <f>IF(K25="Yes",J25*Inputs!$B$29,0)</f>
        <v>0</v>
      </c>
      <c r="M25" s="16"/>
    </row>
    <row r="26" spans="1:14" s="19" customFormat="1" ht="24" customHeight="1" x14ac:dyDescent="0.25">
      <c r="A26" s="98"/>
      <c r="B26" s="95"/>
      <c r="C26" s="94" t="s">
        <v>29</v>
      </c>
      <c r="D26" s="39" t="s">
        <v>27</v>
      </c>
      <c r="E26" s="31" t="s">
        <v>10</v>
      </c>
      <c r="F26" s="65" t="s">
        <v>79</v>
      </c>
      <c r="G26" s="66" t="s">
        <v>72</v>
      </c>
      <c r="H26" s="67">
        <f>IF(F26="External",(INDEX(Inputs!$B$10:$B$10,MATCH(G26,Inputs!$A$10:$A$10,0))),IF(F26="Project management",((INDEX(Inputs!$B$13:$B$15,MATCH(G26,Inputs!$A$13:$A$15,0)))/Inputs!$B$26*(1+Inputs!$B$28)),IF(G26="Training team",Inputs!$B$7/Inputs!$B$26*(1+Inputs!$B$28),IF(G26="IT System Admin",Inputs!$B$6/Inputs!$B$26*(1+Inputs!$B$28),INDEX(Inputs!$B$19:$B$22,MATCH(G26,Inputs!$A$19:$A$22,0))))))</f>
        <v>750</v>
      </c>
      <c r="I26" s="38">
        <v>5</v>
      </c>
      <c r="J26" s="44">
        <f t="shared" si="0"/>
        <v>3750</v>
      </c>
      <c r="K26" s="35" t="s">
        <v>34</v>
      </c>
      <c r="L26" s="20">
        <f>IF(K26="Yes",J26*Inputs!$B$29,0)</f>
        <v>0</v>
      </c>
      <c r="M26" s="16"/>
    </row>
    <row r="27" spans="1:14" s="19" customFormat="1" ht="24" customHeight="1" x14ac:dyDescent="0.25">
      <c r="A27" s="98"/>
      <c r="B27" s="95"/>
      <c r="C27" s="95"/>
      <c r="D27" s="39">
        <v>1.1100000000000001</v>
      </c>
      <c r="E27" s="31" t="s">
        <v>30</v>
      </c>
      <c r="F27" s="65" t="s">
        <v>79</v>
      </c>
      <c r="G27" s="66" t="s">
        <v>72</v>
      </c>
      <c r="H27" s="67">
        <f>IF(F27="External",(INDEX(Inputs!$B$10:$B$10,MATCH(G27,Inputs!$A$10:$A$10,0))),IF(F27="Project management",((INDEX(Inputs!$B$13:$B$15,MATCH(G27,Inputs!$A$13:$A$15,0)))/Inputs!$B$26*(1+Inputs!$B$28)),IF(G27="Training team",Inputs!$B$7/Inputs!$B$26*(1+Inputs!$B$28),IF(G27="IT System Admin",Inputs!$B$6/Inputs!$B$26*(1+Inputs!$B$28),INDEX(Inputs!$B$19:$B$22,MATCH(G27,Inputs!$A$19:$A$22,0))))))</f>
        <v>750</v>
      </c>
      <c r="I27" s="38">
        <v>10</v>
      </c>
      <c r="J27" s="44">
        <f t="shared" si="0"/>
        <v>7500</v>
      </c>
      <c r="K27" s="35" t="s">
        <v>34</v>
      </c>
      <c r="L27" s="20">
        <f>IF(K27="Yes",J27*Inputs!$B$29,0)</f>
        <v>0</v>
      </c>
      <c r="M27" s="16"/>
    </row>
    <row r="28" spans="1:14" s="19" customFormat="1" ht="24" customHeight="1" x14ac:dyDescent="0.25">
      <c r="A28" s="98"/>
      <c r="B28" s="95"/>
      <c r="C28" s="95"/>
      <c r="D28" s="105" t="s">
        <v>46</v>
      </c>
      <c r="E28" s="129" t="s">
        <v>48</v>
      </c>
      <c r="F28" s="65" t="s">
        <v>24</v>
      </c>
      <c r="G28" s="66" t="s">
        <v>1</v>
      </c>
      <c r="H28" s="67">
        <f>IF(F28="External",(INDEX(Inputs!$B$10:$B$10,MATCH(G28,Inputs!$A$10:$A$10,0))),IF(F28="Project management",((INDEX(Inputs!$B$13:$B$15,MATCH(G28,Inputs!$A$13:$A$15,0)))/Inputs!$B$26*(1+Inputs!$B$28)),IF(G28="Training team",Inputs!$B$7/Inputs!$B$26*(1+Inputs!$B$28),IF(G28="IT System Admin",Inputs!$B$6/Inputs!$B$26*(1+Inputs!$B$28),INDEX(Inputs!$B$19:$B$22,MATCH(G28,Inputs!$A$19:$A$22,0))))))</f>
        <v>315.78947368421058</v>
      </c>
      <c r="I28" s="38">
        <v>2</v>
      </c>
      <c r="J28" s="44">
        <f t="shared" si="0"/>
        <v>631.57894736842115</v>
      </c>
      <c r="K28" s="35" t="s">
        <v>34</v>
      </c>
      <c r="L28" s="20">
        <f>IF(K28="Yes",J28*Inputs!$B$29,0)</f>
        <v>0</v>
      </c>
      <c r="M28" s="16"/>
    </row>
    <row r="29" spans="1:14" s="19" customFormat="1" ht="24" customHeight="1" x14ac:dyDescent="0.25">
      <c r="A29" s="99"/>
      <c r="B29" s="96"/>
      <c r="C29" s="96"/>
      <c r="D29" s="106"/>
      <c r="E29" s="130"/>
      <c r="F29" s="65" t="s">
        <v>24</v>
      </c>
      <c r="G29" s="66" t="s">
        <v>99</v>
      </c>
      <c r="H29" s="67">
        <f>IF(F29="External",(INDEX(Inputs!$B$10:$B$10,MATCH(G29,Inputs!$A$10:$A$10,0))),IF(F29="Project management",((INDEX(Inputs!$B$13:$B$15,MATCH(G29,Inputs!$A$13:$A$15,0)))/Inputs!$B$26*(1+Inputs!$B$28)),IF(G29="Training team",Inputs!$B$7/Inputs!$B$26*(1+Inputs!$B$28),IF(G29="IT System Admin",Inputs!$B$6/Inputs!$B$26*(1+Inputs!$B$28),INDEX(Inputs!$B$19:$B$22,MATCH(G29,Inputs!$A$19:$A$22,0))))))</f>
        <v>385.96491228070181</v>
      </c>
      <c r="I29" s="38">
        <v>10</v>
      </c>
      <c r="J29" s="44">
        <f t="shared" si="0"/>
        <v>3859.6491228070181</v>
      </c>
      <c r="K29" s="35" t="s">
        <v>34</v>
      </c>
      <c r="L29" s="20">
        <f>IF(K29="Yes",J29*Inputs!$B$29,0)</f>
        <v>0</v>
      </c>
      <c r="M29" s="16"/>
      <c r="N29" s="23"/>
    </row>
    <row r="30" spans="1:14" s="19" customFormat="1" ht="21.75" customHeight="1" x14ac:dyDescent="0.25">
      <c r="D30" s="4"/>
      <c r="H30" s="21"/>
      <c r="J30" s="23"/>
      <c r="L30" s="22"/>
    </row>
  </sheetData>
  <mergeCells count="26">
    <mergeCell ref="D18:D19"/>
    <mergeCell ref="E18:E19"/>
    <mergeCell ref="D28:D29"/>
    <mergeCell ref="E28:E29"/>
    <mergeCell ref="D20:D21"/>
    <mergeCell ref="E20:E21"/>
    <mergeCell ref="D22:D23"/>
    <mergeCell ref="E22:E23"/>
    <mergeCell ref="D24:D25"/>
    <mergeCell ref="E24:E25"/>
    <mergeCell ref="F6:J6"/>
    <mergeCell ref="K6:L6"/>
    <mergeCell ref="A7:C7"/>
    <mergeCell ref="D7:E7"/>
    <mergeCell ref="A8:A29"/>
    <mergeCell ref="B8:B29"/>
    <mergeCell ref="C8:C25"/>
    <mergeCell ref="D9:D10"/>
    <mergeCell ref="E9:E10"/>
    <mergeCell ref="D11:D13"/>
    <mergeCell ref="E11:E13"/>
    <mergeCell ref="D14:D15"/>
    <mergeCell ref="E14:E15"/>
    <mergeCell ref="D16:D17"/>
    <mergeCell ref="E16:E17"/>
    <mergeCell ref="C26:C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nformation_x0020_classification xmlns="f5fdd486-9037-4cd7-9dfc-a67a084e1a40" xsi:nil="true"/>
    <ReceivedTime xmlns="341f3a21-500e-418d-b220-102a9842abf4" xsi:nil="true"/>
    <SentOn xmlns="341f3a21-500e-418d-b220-102a9842abf4" xsi:nil="true"/>
    <IconOverlay xmlns="http://schemas.microsoft.com/sharepoint/v4" xsi:nil="true"/>
    <From xmlns="341f3a21-500e-418d-b220-102a9842abf4" xsi:nil="true"/>
    <To xmlns="341f3a21-500e-418d-b220-102a9842abf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688E7D229249384D83FD31465C7B48D500F9669E77B16EE0409FA4C02188F8E120" ma:contentTypeVersion="4" ma:contentTypeDescription="" ma:contentTypeScope="" ma:versionID="eb4eaab60a0c80f1916bc2f7aedac4ab">
  <xsd:schema xmlns:xsd="http://www.w3.org/2001/XMLSchema" xmlns:xs="http://www.w3.org/2001/XMLSchema" xmlns:p="http://schemas.microsoft.com/office/2006/metadata/properties" xmlns:ns2="f5fdd486-9037-4cd7-9dfc-a67a084e1a40" xmlns:ns4="341f3a21-500e-418d-b220-102a9842abf4" xmlns:ns5="http://schemas.microsoft.com/sharepoint/v4" targetNamespace="http://schemas.microsoft.com/office/2006/metadata/properties" ma:root="true" ma:fieldsID="1cb127f72668c8d594779257444f401c" ns2:_="" ns4:_="" ns5:_="">
    <xsd:import namespace="f5fdd486-9037-4cd7-9dfc-a67a084e1a40"/>
    <xsd:import namespace="341f3a21-500e-418d-b220-102a9842abf4"/>
    <xsd:import namespace="http://schemas.microsoft.com/sharepoint/v4"/>
    <xsd:element name="properties">
      <xsd:complexType>
        <xsd:sequence>
          <xsd:element name="documentManagement">
            <xsd:complexType>
              <xsd:all>
                <xsd:element ref="ns2:Information_x0020_classification" minOccurs="0"/>
                <xsd:element ref="ns4:From" minOccurs="0"/>
                <xsd:element ref="ns4:SentOn" minOccurs="0"/>
                <xsd:element ref="ns4:To" minOccurs="0"/>
                <xsd:element ref="ns4:ReceivedTime"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fdd486-9037-4cd7-9dfc-a67a084e1a40" elementFormDefault="qualified">
    <xsd:import namespace="http://schemas.microsoft.com/office/2006/documentManagement/types"/>
    <xsd:import namespace="http://schemas.microsoft.com/office/infopath/2007/PartnerControls"/>
    <xsd:element name="Information_x0020_classification" ma:index="1" nillable="true" ma:displayName="Information classification" ma:format="Dropdown" ma:internalName="Information_x0020_classification">
      <xsd:simpleType>
        <xsd:restriction base="dms:Choice">
          <xsd:enumeration value="Highly sensitive"/>
          <xsd:enumeration value="Confidential"/>
          <xsd:enumeration value="Protected"/>
        </xsd:restriction>
      </xsd:simpleType>
    </xsd:element>
  </xsd:schema>
  <xsd:schema xmlns:xsd="http://www.w3.org/2001/XMLSchema" xmlns:xs="http://www.w3.org/2001/XMLSchema" xmlns:dms="http://schemas.microsoft.com/office/2006/documentManagement/types" xmlns:pc="http://schemas.microsoft.com/office/infopath/2007/PartnerControls" targetNamespace="341f3a21-500e-418d-b220-102a9842abf4" elementFormDefault="qualified">
    <xsd:import namespace="http://schemas.microsoft.com/office/2006/documentManagement/types"/>
    <xsd:import namespace="http://schemas.microsoft.com/office/infopath/2007/PartnerControls"/>
    <xsd:element name="From" ma:index="9" nillable="true" ma:displayName="From" ma:description="Auto-populated by saved email" ma:internalName="From">
      <xsd:simpleType>
        <xsd:restriction base="dms:Text">
          <xsd:maxLength value="255"/>
        </xsd:restriction>
      </xsd:simpleType>
    </xsd:element>
    <xsd:element name="SentOn" ma:index="10" nillable="true" ma:displayName="SentOn" ma:description="Auto-populated by saved email" ma:format="DateTime" ma:internalName="SentOn">
      <xsd:simpleType>
        <xsd:restriction base="dms:DateTime"/>
      </xsd:simpleType>
    </xsd:element>
    <xsd:element name="To" ma:index="11" nillable="true" ma:displayName="To" ma:description="Auto-populated by saved email" ma:internalName="To">
      <xsd:simpleType>
        <xsd:restriction base="dms:Text">
          <xsd:maxLength value="255"/>
        </xsd:restriction>
      </xsd:simpleType>
    </xsd:element>
    <xsd:element name="ReceivedTime" ma:index="12" nillable="true" ma:displayName="ReceivedTime" ma:description="Auto-populated by saved email" ma:format="DateTime" ma:internalName="Received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C980AF-54C3-4DEA-9BFA-CE37A47B5821}">
  <ds:schemaRefs>
    <ds:schemaRef ds:uri="http://schemas.microsoft.com/sharepoint/v3/contenttype/forms"/>
  </ds:schemaRefs>
</ds:datastoreItem>
</file>

<file path=customXml/itemProps2.xml><?xml version="1.0" encoding="utf-8"?>
<ds:datastoreItem xmlns:ds="http://schemas.openxmlformats.org/officeDocument/2006/customXml" ds:itemID="{10858F53-1D20-40FE-83D7-C96BC267B124}">
  <ds:schemaRefs>
    <ds:schemaRef ds:uri="http://schemas.openxmlformats.org/package/2006/metadata/core-properties"/>
    <ds:schemaRef ds:uri="http://schemas.microsoft.com/office/infopath/2007/PartnerControls"/>
    <ds:schemaRef ds:uri="http://schemas.microsoft.com/sharepoint/v4"/>
    <ds:schemaRef ds:uri="341f3a21-500e-418d-b220-102a9842abf4"/>
    <ds:schemaRef ds:uri="f5fdd486-9037-4cd7-9dfc-a67a084e1a40"/>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41EC01B-E767-4ABA-905A-E702075ED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fdd486-9037-4cd7-9dfc-a67a084e1a40"/>
    <ds:schemaRef ds:uri="341f3a21-500e-418d-b220-102a9842abf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Cost Summary</vt:lpstr>
      <vt:lpstr>Inputs</vt:lpstr>
      <vt:lpstr>Auto-PAC CPS variant</vt:lpstr>
      <vt:lpstr>E-2-E Mgmt with Auto-PAC CPS </vt:lpstr>
      <vt:lpstr>GPL</vt:lpstr>
      <vt:lpstr>E-2-E Mgmt with GPL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 Chivers</dc:creator>
  <cp:lastModifiedBy>Will Chivers</cp:lastModifiedBy>
  <dcterms:created xsi:type="dcterms:W3CDTF">2016-09-13T14:39:21Z</dcterms:created>
  <dcterms:modified xsi:type="dcterms:W3CDTF">2017-01-31T13:59:31Z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0x010100688E7D229249384D83FD31465C7B48D500F9669E77B16EE0409FA4C02188F8E120</vt:lpwstr>
  </property>
</Properties>
</file>