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5" yWindow="-15" windowWidth="12120" windowHeight="8235" tabRatio="924" activeTab="1"/>
  </bookViews>
  <sheets>
    <sheet name="Cover sheet" sheetId="75" r:id="rId1"/>
    <sheet name="Contents" sheetId="50" r:id="rId2"/>
    <sheet name="Scenarios" sheetId="54" r:id="rId3"/>
    <sheet name="Control Panel " sheetId="58" r:id="rId4"/>
    <sheet name="Outputs" sheetId="68" r:id="rId5"/>
    <sheet name="INPUTS--&gt;" sheetId="55" r:id="rId6"/>
    <sheet name="Rentals" sheetId="56" r:id="rId7"/>
    <sheet name="Connections" sheetId="57" r:id="rId8"/>
    <sheet name="Backhaul" sheetId="69" r:id="rId9"/>
    <sheet name="SMC costs" sheetId="70" r:id="rId10"/>
    <sheet name="Fault repairs" sheetId="72" r:id="rId11"/>
    <sheet name="Input assumptions--&gt;" sheetId="59" r:id="rId12"/>
    <sheet name="InputRentals" sheetId="60" r:id="rId13"/>
    <sheet name="InputConn" sheetId="61" r:id="rId14"/>
    <sheet name="LRIC Calculation--&gt;" sheetId="62" r:id="rId15"/>
    <sheet name="CalcRental" sheetId="63" r:id="rId16"/>
    <sheet name="CalcConn" sheetId="64" r:id="rId17"/>
    <sheet name="Price differentials--&gt;" sheetId="65" r:id="rId18"/>
    <sheet name="2009-2010" sheetId="66" r:id="rId19"/>
    <sheet name="Prices" sheetId="71" r:id="rId20"/>
    <sheet name="2013-2014" sheetId="73" r:id="rId21"/>
  </sheets>
  <externalReferences>
    <externalReference r:id="rId22"/>
  </externalReferences>
  <definedNames>
    <definedName name="_as2" hidden="1">'[1]#REF'!$C$18:$C$18</definedName>
    <definedName name="_Fill" hidden="1">'[1]#REF'!$A$4:$A$71</definedName>
    <definedName name="_Key1" hidden="1">'[1]#REF'!$C$18:$C$18</definedName>
    <definedName name="_Key2" hidden="1">'[1]#REF'!$D$18:$D$18</definedName>
    <definedName name="_Order1" hidden="1">255</definedName>
    <definedName name="_Order2" hidden="1">255</definedName>
    <definedName name="anscount" hidden="1">1</definedName>
    <definedName name="as" hidden="1">'[1]#REF'!$C$18:$C$18</definedName>
    <definedName name="bb" hidden="1">#REF!</definedName>
    <definedName name="cap" hidden="1">{"'EARLY LIFE SAVINGS - COSTS '!$A$1:$N$56"}</definedName>
    <definedName name="CBWorkbookPriority" hidden="1">-2042846187</definedName>
    <definedName name="crap" hidden="1">{"'EARLY LIFE SAVINGS - COSTS '!$A$1:$N$56"}</definedName>
    <definedName name="cur" hidden="1">{"'EARLY LIFE SAVINGS - COSTS '!$A$1:$N$56"}</definedName>
    <definedName name="Early_life" hidden="1">"G:\USERS\NDJ5J2\CS South QPB 2000-01\BHAG Initiatives\actper.htm"</definedName>
    <definedName name="EV__LASTREFTIME__" hidden="1">38551.6352662037</definedName>
    <definedName name="g" hidden="1">{"'100'!$A$1:$M$83"}</definedName>
    <definedName name="gh" hidden="1">{"'100'!$A$1:$M$83"}</definedName>
    <definedName name="HTM_Control_Old" hidden="1">{"'100'!$A$1:$M$83"}</definedName>
    <definedName name="HTML_CodePage" hidden="1">1252</definedName>
    <definedName name="HTML_Conrtol_Old" hidden="1">{"'100'!$A$1:$M$83"}</definedName>
    <definedName name="HTML_Control"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limcount" hidden="1">1</definedName>
    <definedName name="mm" hidden="1">{0}</definedName>
    <definedName name="opt_2MbitConnHighCap">'Control Panel '!$K$107</definedName>
    <definedName name="opt_2MbitConnLowCap">'Control Panel '!$K$105</definedName>
    <definedName name="opt_AccRepair">'Control Panel '!$K$59</definedName>
    <definedName name="opt_BackhaulModel">'Control Panel '!$K$23</definedName>
    <definedName name="opt_BackOCSCircuit">'Control Panel '!$K$19</definedName>
    <definedName name="opt_CoComputingCo">'Control Panel '!$K$82</definedName>
    <definedName name="opt_CoISDNConnCo">'Control Panel '!$K$73</definedName>
    <definedName name="opt_ConnCost2013_14">'Control Panel '!$K$117</definedName>
    <definedName name="opt_ConnPrice">'Control Panel '!$K$156</definedName>
    <definedName name="opt_ConnSafeguard">'Control Panel '!$K$143</definedName>
    <definedName name="opt_ConnSMC1">'Control Panel '!$K$39</definedName>
    <definedName name="opt_ConnSMC2">'Control Panel '!$K$41</definedName>
    <definedName name="opt_ConnSMC3">'Control Panel '!$K$43</definedName>
    <definedName name="opt_ConnVol2011">'Control Panel '!$K$131</definedName>
    <definedName name="opt_ConnVol2012">'Control Panel '!$K$133</definedName>
    <definedName name="opt_ConnVol2013">'Control Panel '!$K$135</definedName>
    <definedName name="opt_ConnVol2014">'Control Panel '!$K$137</definedName>
    <definedName name="opt_CoProdManCo">'Control Panel '!$K$76</definedName>
    <definedName name="opt_CoRouRecCo">'Control Panel '!$K$70</definedName>
    <definedName name="opt_CoSmcCo">'Control Panel '!$K$79</definedName>
    <definedName name="opt_DistBcCircuit">'Control Panel '!$K$13</definedName>
    <definedName name="opt_excBcCo">'Control Panel '!$K$11</definedName>
    <definedName name="opt_FACConn">'Control Panel '!$K$149</definedName>
    <definedName name="opt_FACRent">'Control Panel '!$K$147</definedName>
    <definedName name="opt_ISDNChUti">'Control Panel '!$K$7</definedName>
    <definedName name="opt_LERentalHighCap">'Control Panel '!$K$89</definedName>
    <definedName name="opt_LERentalLowCap">'Control Panel '!$K$87</definedName>
    <definedName name="opt_LineCard2013_14">'Control Panel '!$K$111</definedName>
    <definedName name="opt_LinkRentalHighCap">'Control Panel '!$K$95</definedName>
    <definedName name="opt_LinkRentalLowCap">'Control Panel '!$K$93</definedName>
    <definedName name="opt_LTECost2013_14">'Control Panel '!$K$114</definedName>
    <definedName name="opt_ReLineTest">'Control Panel '!$K$53</definedName>
    <definedName name="opt_RentPrice">'Control Panel '!$K$154</definedName>
    <definedName name="opt_RentVol2011">'Control Panel '!$K$121</definedName>
    <definedName name="opt_RentVol2012">'Control Panel '!$K$123</definedName>
    <definedName name="opt_RentVol2013">'Control Panel '!$K$125</definedName>
    <definedName name="opt_RentVol2014">'Control Panel '!$K$127</definedName>
    <definedName name="opt_RtBcCo">'Control Panel '!$K$47</definedName>
    <definedName name="opt_RtLineCard">'Control Panel '!$K$56</definedName>
    <definedName name="opt_RtLoAccCo">'Control Panel '!$K$50</definedName>
    <definedName name="opt_RtProdManCo">'Control Panel '!$K$62</definedName>
    <definedName name="opt_RtSmcCo">'Control Panel '!$K$65</definedName>
    <definedName name="opt_TermSegHighCap">'Control Panel '!$K$101</definedName>
    <definedName name="opt_TermSegLowCap">'Control Panel '!$K$99</definedName>
    <definedName name="opt_UpliftAccElect">'Control Panel '!$K$35</definedName>
    <definedName name="opt_UpliftLCard1">'Control Panel '!$K$33</definedName>
    <definedName name="opt_XCombBasket">'Control Panel '!$K$141</definedName>
    <definedName name="qqq" hidden="1">{"'100'!$A$1:$M$83"}</definedName>
    <definedName name="RWT" hidden="1">"ELF_ACT_%"</definedName>
    <definedName name="Scenario_choice">Scenarios!$G$2:$L$2</definedName>
    <definedName name="sencount" hidden="1">1</definedName>
    <definedName name="wireless2" hidden="1">{"'100'!$A$1:$M$83"}</definedName>
    <definedName name="Workbook.Objective">Contents!$B$8</definedName>
    <definedName name="Workbook.Status">Contents!$B$9</definedName>
    <definedName name="Workbook.Title" localSheetId="0">'Cover sheet'!$B$6</definedName>
    <definedName name="Workbook.Title">Contents!$B$6</definedName>
    <definedName name="wrn.Overview." hidden="1">{"Summary",#N/A,FALSE,"(3) Causal Analysis - Year-end"}</definedName>
  </definedNames>
  <calcPr calcId="125725"/>
</workbook>
</file>

<file path=xl/calcChain.xml><?xml version="1.0" encoding="utf-8"?>
<calcChain xmlns="http://schemas.openxmlformats.org/spreadsheetml/2006/main">
  <c r="B13" i="69"/>
  <c r="D12" i="57"/>
  <c r="B12"/>
  <c r="F2" i="75"/>
  <c r="K117" i="58"/>
  <c r="D57" i="68"/>
  <c r="D58"/>
  <c r="D59"/>
  <c r="C60"/>
  <c r="B49"/>
  <c r="D41"/>
  <c r="D42"/>
  <c r="D43"/>
  <c r="C44"/>
  <c r="B45"/>
  <c r="B46"/>
  <c r="B47"/>
  <c r="B48"/>
  <c r="B40"/>
  <c r="K114" i="58"/>
  <c r="K111"/>
  <c r="B34" i="73"/>
  <c r="B61" i="68" s="1"/>
  <c r="B35" i="73"/>
  <c r="B62" i="68" s="1"/>
  <c r="B36" i="73"/>
  <c r="B63" i="68" s="1"/>
  <c r="B37" i="73"/>
  <c r="B64" i="68" s="1"/>
  <c r="B38" i="73"/>
  <c r="B65" i="68" s="1"/>
  <c r="B29" i="73"/>
  <c r="B56" i="68" s="1"/>
  <c r="K107" i="58"/>
  <c r="K105"/>
  <c r="K101"/>
  <c r="K99"/>
  <c r="K95"/>
  <c r="K93"/>
  <c r="K89"/>
  <c r="K87"/>
  <c r="H69" i="54"/>
  <c r="H68"/>
  <c r="H64"/>
  <c r="H63"/>
  <c r="H59"/>
  <c r="H58"/>
  <c r="H54"/>
  <c r="H53"/>
  <c r="K35" i="58"/>
  <c r="D13" i="60"/>
  <c r="D11" i="57"/>
  <c r="G11"/>
  <c r="D9"/>
  <c r="D7"/>
  <c r="D14" i="56"/>
  <c r="D15"/>
  <c r="B33" i="68"/>
  <c r="B32"/>
  <c r="B31"/>
  <c r="B30"/>
  <c r="B29"/>
  <c r="C28"/>
  <c r="B28"/>
  <c r="D27"/>
  <c r="B27"/>
  <c r="D26"/>
  <c r="B26"/>
  <c r="D25"/>
  <c r="B25"/>
  <c r="B24"/>
  <c r="C9" i="66"/>
  <c r="E9"/>
  <c r="C17" i="71" s="1"/>
  <c r="E25" i="68"/>
  <c r="C25"/>
  <c r="G12" i="72"/>
  <c r="G13"/>
  <c r="G11"/>
  <c r="G10"/>
  <c r="G9"/>
  <c r="H105" i="54"/>
  <c r="H104"/>
  <c r="H97"/>
  <c r="K135" i="58"/>
  <c r="E55" i="71" s="1"/>
  <c r="K131" i="58"/>
  <c r="C55" i="71" s="1"/>
  <c r="K127" i="58"/>
  <c r="F54" i="71" s="1"/>
  <c r="K143" i="58"/>
  <c r="K156"/>
  <c r="C46" i="71"/>
  <c r="K154" i="58"/>
  <c r="C45" i="71"/>
  <c r="K141" i="58"/>
  <c r="K137"/>
  <c r="F55" i="71" s="1"/>
  <c r="K133" i="58"/>
  <c r="D55" i="71" s="1"/>
  <c r="K125" i="58"/>
  <c r="E54" i="71" s="1"/>
  <c r="I6" i="61"/>
  <c r="I7"/>
  <c r="I8"/>
  <c r="I9"/>
  <c r="I10"/>
  <c r="I11"/>
  <c r="H6"/>
  <c r="H7"/>
  <c r="H8"/>
  <c r="H9"/>
  <c r="H10"/>
  <c r="H11"/>
  <c r="D8"/>
  <c r="B8"/>
  <c r="B9"/>
  <c r="B10"/>
  <c r="B11"/>
  <c r="K19" i="58"/>
  <c r="K23"/>
  <c r="D5" i="56" s="1"/>
  <c r="G5" s="1"/>
  <c r="G5" i="60" s="1"/>
  <c r="D5" i="63" s="1"/>
  <c r="K5" s="1"/>
  <c r="H18" i="54"/>
  <c r="I18"/>
  <c r="K18"/>
  <c r="L18"/>
  <c r="G18"/>
  <c r="J18"/>
  <c r="B50" i="56"/>
  <c r="B49"/>
  <c r="B43"/>
  <c r="B42"/>
  <c r="G9" i="57"/>
  <c r="B22"/>
  <c r="B21"/>
  <c r="B20"/>
  <c r="B30" i="56"/>
  <c r="B29"/>
  <c r="G8" i="57"/>
  <c r="G8" i="61"/>
  <c r="G10" i="57"/>
  <c r="E8"/>
  <c r="E8" i="61"/>
  <c r="E9" i="57"/>
  <c r="E9" i="61"/>
  <c r="B8" i="64" s="1"/>
  <c r="I7" s="1"/>
  <c r="H10" i="68" s="1"/>
  <c r="E10" i="57"/>
  <c r="E10" i="61"/>
  <c r="B9" i="64"/>
  <c r="E11" i="57"/>
  <c r="E11" i="61"/>
  <c r="B10" i="64" s="1"/>
  <c r="I9" s="1"/>
  <c r="H12" i="68" s="1"/>
  <c r="K121" i="58"/>
  <c r="C54" i="71" s="1"/>
  <c r="K123" i="58"/>
  <c r="D54" i="71" s="1"/>
  <c r="K33" i="58"/>
  <c r="G30" i="54"/>
  <c r="G31"/>
  <c r="H31" s="1"/>
  <c r="G29"/>
  <c r="H29" s="1"/>
  <c r="B13" i="70"/>
  <c r="B9" i="69"/>
  <c r="G9" i="54"/>
  <c r="G10"/>
  <c r="H10"/>
  <c r="H30"/>
  <c r="K41" i="58"/>
  <c r="H5" i="61"/>
  <c r="H6" i="60"/>
  <c r="I6"/>
  <c r="H7"/>
  <c r="I7"/>
  <c r="H8"/>
  <c r="I8"/>
  <c r="H9"/>
  <c r="I9"/>
  <c r="H10"/>
  <c r="I10"/>
  <c r="H11"/>
  <c r="I11"/>
  <c r="H12"/>
  <c r="I12"/>
  <c r="H13"/>
  <c r="I13"/>
  <c r="H14"/>
  <c r="I14"/>
  <c r="H15"/>
  <c r="I15"/>
  <c r="H16"/>
  <c r="I16"/>
  <c r="H17"/>
  <c r="I17"/>
  <c r="H18"/>
  <c r="I18"/>
  <c r="H19"/>
  <c r="I19"/>
  <c r="H20"/>
  <c r="I20"/>
  <c r="H5"/>
  <c r="E6" i="57"/>
  <c r="E6" i="61"/>
  <c r="B6" i="64" s="1"/>
  <c r="I6" s="1"/>
  <c r="H9" i="68" s="1"/>
  <c r="E7" i="57"/>
  <c r="E7" i="61"/>
  <c r="B7" i="64" s="1"/>
  <c r="I8" s="1"/>
  <c r="H11" i="68" s="1"/>
  <c r="E5" i="57"/>
  <c r="E5" i="61"/>
  <c r="G13" i="56"/>
  <c r="G13" i="60"/>
  <c r="D13" i="63"/>
  <c r="E10" i="56"/>
  <c r="E9"/>
  <c r="E8"/>
  <c r="E8" i="60"/>
  <c r="B8" i="63" s="1"/>
  <c r="E7" i="56"/>
  <c r="E6"/>
  <c r="E6" i="60"/>
  <c r="B6" i="63" s="1"/>
  <c r="I6" s="1"/>
  <c r="B9" i="68" s="1"/>
  <c r="E5" i="56"/>
  <c r="E11"/>
  <c r="E12"/>
  <c r="E12" i="60"/>
  <c r="E13" i="56"/>
  <c r="E14"/>
  <c r="E14" i="60"/>
  <c r="B14" i="63" s="1"/>
  <c r="I11" s="1"/>
  <c r="B14" i="68" s="1"/>
  <c r="E15" i="56"/>
  <c r="E15" i="60"/>
  <c r="B15" i="63"/>
  <c r="I10" s="1"/>
  <c r="B13" i="68" s="1"/>
  <c r="E16" i="56"/>
  <c r="E16" i="60"/>
  <c r="B16" i="63" s="1"/>
  <c r="E17" i="56"/>
  <c r="E18"/>
  <c r="E19"/>
  <c r="E20"/>
  <c r="E20" i="60"/>
  <c r="B20" i="63" s="1"/>
  <c r="G17" i="56"/>
  <c r="G7" i="57"/>
  <c r="G6"/>
  <c r="G5"/>
  <c r="G5" i="61"/>
  <c r="D5" i="64" s="1"/>
  <c r="G6" i="56"/>
  <c r="G6" i="60"/>
  <c r="D6" i="63"/>
  <c r="K6" s="1"/>
  <c r="D9" i="68" s="1"/>
  <c r="G7" i="56"/>
  <c r="G8"/>
  <c r="G8" i="60"/>
  <c r="D8" i="63"/>
  <c r="G9" i="56"/>
  <c r="G9" i="60"/>
  <c r="D9" i="63" s="1"/>
  <c r="G10" i="56"/>
  <c r="G10" i="60"/>
  <c r="D10" i="63"/>
  <c r="K7" s="1"/>
  <c r="D10" i="68" s="1"/>
  <c r="G11" i="56"/>
  <c r="G11" i="60"/>
  <c r="D11" i="63" s="1"/>
  <c r="K8" s="1"/>
  <c r="D11" i="68" s="1"/>
  <c r="G14" i="56"/>
  <c r="G15"/>
  <c r="G15" i="60"/>
  <c r="D15" i="63" s="1"/>
  <c r="K10" s="1"/>
  <c r="D13" i="68" s="1"/>
  <c r="G16" i="56"/>
  <c r="G18"/>
  <c r="G18" i="60"/>
  <c r="D18" i="63" s="1"/>
  <c r="G19" i="56"/>
  <c r="G20"/>
  <c r="K82" i="58"/>
  <c r="K79"/>
  <c r="K76"/>
  <c r="K73"/>
  <c r="K70"/>
  <c r="K65"/>
  <c r="K62"/>
  <c r="K59"/>
  <c r="K56"/>
  <c r="K53"/>
  <c r="K50"/>
  <c r="K47"/>
  <c r="K39"/>
  <c r="G6" i="61" s="1"/>
  <c r="D6" i="64" s="1"/>
  <c r="K6" s="1"/>
  <c r="J9" i="68" s="1"/>
  <c r="K13" i="58"/>
  <c r="K7"/>
  <c r="C19" i="73" s="1"/>
  <c r="E19" s="1"/>
  <c r="E12" i="57"/>
  <c r="B6" i="61"/>
  <c r="B7"/>
  <c r="B12" s="1"/>
  <c r="D9"/>
  <c r="G9"/>
  <c r="D8" i="64" s="1"/>
  <c r="K7" s="1"/>
  <c r="J10" i="68" s="1"/>
  <c r="D10" i="61"/>
  <c r="G10"/>
  <c r="D9" i="64"/>
  <c r="D5" i="61"/>
  <c r="I5"/>
  <c r="B5"/>
  <c r="B6" i="60"/>
  <c r="D6"/>
  <c r="B7"/>
  <c r="D7"/>
  <c r="E7"/>
  <c r="B7" i="63" s="1"/>
  <c r="G7" i="60"/>
  <c r="D7" i="63" s="1"/>
  <c r="B8" i="60"/>
  <c r="D8"/>
  <c r="B9"/>
  <c r="D9"/>
  <c r="E9"/>
  <c r="B9" i="63" s="1"/>
  <c r="B10" i="60"/>
  <c r="C10" s="1"/>
  <c r="D10"/>
  <c r="E10"/>
  <c r="B10" i="63" s="1"/>
  <c r="I7" s="1"/>
  <c r="B10" i="68" s="1"/>
  <c r="B11" i="60"/>
  <c r="C11" s="1"/>
  <c r="D11"/>
  <c r="E11"/>
  <c r="B11" i="63" s="1"/>
  <c r="I8" s="1"/>
  <c r="B11" i="68" s="1"/>
  <c r="B12" i="60"/>
  <c r="C12" s="1"/>
  <c r="B13"/>
  <c r="E13"/>
  <c r="B13" i="63" s="1"/>
  <c r="B14" i="60"/>
  <c r="C14" s="1"/>
  <c r="B15"/>
  <c r="D15"/>
  <c r="B16"/>
  <c r="D16"/>
  <c r="G16"/>
  <c r="D16" i="63"/>
  <c r="B17" i="60"/>
  <c r="D17"/>
  <c r="E17"/>
  <c r="B17" i="63"/>
  <c r="I9" s="1"/>
  <c r="B12" i="68" s="1"/>
  <c r="G17" i="60"/>
  <c r="D17" i="63"/>
  <c r="K9" s="1"/>
  <c r="D12" i="68" s="1"/>
  <c r="B18" i="60"/>
  <c r="D18"/>
  <c r="E18"/>
  <c r="B18" i="63"/>
  <c r="B19" i="60"/>
  <c r="D19"/>
  <c r="E19"/>
  <c r="B19" i="63"/>
  <c r="G19" i="60"/>
  <c r="D19" i="63"/>
  <c r="B20" i="60"/>
  <c r="D20"/>
  <c r="G20"/>
  <c r="D20" i="63"/>
  <c r="E5" i="60"/>
  <c r="B5" i="63"/>
  <c r="I5" s="1"/>
  <c r="I5" i="60"/>
  <c r="B5"/>
  <c r="H3" i="58"/>
  <c r="E21" i="56"/>
  <c r="B21"/>
  <c r="F2" i="50"/>
  <c r="E21" i="60"/>
  <c r="G16" i="72"/>
  <c r="G24"/>
  <c r="G21" i="54"/>
  <c r="H21" s="1"/>
  <c r="G18" i="72"/>
  <c r="G17"/>
  <c r="G25"/>
  <c r="G22" i="54"/>
  <c r="K43" i="58"/>
  <c r="D6" i="61" s="1"/>
  <c r="G13" i="54"/>
  <c r="K11" i="58"/>
  <c r="C10" i="66" s="1"/>
  <c r="H9" i="54"/>
  <c r="H13"/>
  <c r="K17" i="58"/>
  <c r="G12" i="57"/>
  <c r="B5" i="64"/>
  <c r="E12" i="61"/>
  <c r="B12" i="63"/>
  <c r="B21" i="60"/>
  <c r="D12" i="56"/>
  <c r="G12"/>
  <c r="G20" i="72"/>
  <c r="I5" i="64"/>
  <c r="I10" s="1"/>
  <c r="H13" i="68" s="1"/>
  <c r="B11" i="64"/>
  <c r="G12" i="61"/>
  <c r="H8" i="68"/>
  <c r="G19" i="72"/>
  <c r="D11" i="61"/>
  <c r="G7"/>
  <c r="D7" i="64" s="1"/>
  <c r="K8" s="1"/>
  <c r="J11" i="68" s="1"/>
  <c r="C7" i="57"/>
  <c r="C20" s="1"/>
  <c r="F9" i="61"/>
  <c r="C8" i="64" s="1"/>
  <c r="E8" s="1"/>
  <c r="D12" i="66"/>
  <c r="D28" i="68" s="1"/>
  <c r="C35" i="73"/>
  <c r="E35" s="1"/>
  <c r="E62" i="68" s="1"/>
  <c r="C9" i="61"/>
  <c r="F8" i="56"/>
  <c r="F8" i="61"/>
  <c r="C11" i="57"/>
  <c r="C22" s="1"/>
  <c r="F16" i="56"/>
  <c r="C20"/>
  <c r="F10" i="57"/>
  <c r="F17" i="56"/>
  <c r="C12"/>
  <c r="C43" s="1"/>
  <c r="F15"/>
  <c r="C5" i="61"/>
  <c r="C12" s="1"/>
  <c r="G101" i="54" s="1"/>
  <c r="F19" i="56"/>
  <c r="G12" i="60"/>
  <c r="D12" i="63" s="1"/>
  <c r="C16" i="56"/>
  <c r="F20"/>
  <c r="C17"/>
  <c r="F6" i="57"/>
  <c r="F7" i="61"/>
  <c r="C7" i="64" s="1"/>
  <c r="J8" s="1"/>
  <c r="E7"/>
  <c r="M8" s="1"/>
  <c r="F11" i="61"/>
  <c r="C10" i="64" s="1"/>
  <c r="J9" s="1"/>
  <c r="I12" i="68" s="1"/>
  <c r="C13" i="60"/>
  <c r="C6" i="61"/>
  <c r="C10"/>
  <c r="C5" i="57"/>
  <c r="C12" s="1"/>
  <c r="F10" i="56"/>
  <c r="F5" i="60"/>
  <c r="C5" i="63" s="1"/>
  <c r="J5" s="1"/>
  <c r="C8" i="68" s="1"/>
  <c r="C8" i="60"/>
  <c r="C14" i="56"/>
  <c r="C29" s="1"/>
  <c r="F18"/>
  <c r="C7" i="61"/>
  <c r="C5" i="60"/>
  <c r="C21" s="1"/>
  <c r="G100" i="54" s="1"/>
  <c r="C16" i="60"/>
  <c r="C10" i="56"/>
  <c r="C9" i="60"/>
  <c r="F18"/>
  <c r="C18" i="63" s="1"/>
  <c r="E18"/>
  <c r="C20" i="60"/>
  <c r="C19"/>
  <c r="C10" i="57"/>
  <c r="F14" i="56"/>
  <c r="F10" i="61"/>
  <c r="C9" i="64" s="1"/>
  <c r="E9" s="1"/>
  <c r="F17" i="60"/>
  <c r="C17" i="63" s="1"/>
  <c r="J9" s="1"/>
  <c r="C46" i="68"/>
  <c r="E46"/>
  <c r="C50" i="56"/>
  <c r="G26" i="72"/>
  <c r="C5" i="56"/>
  <c r="F5" i="57"/>
  <c r="F12"/>
  <c r="F14" i="60"/>
  <c r="C14" i="63"/>
  <c r="C7" i="56"/>
  <c r="F13"/>
  <c r="C18" i="60"/>
  <c r="C17"/>
  <c r="F5" i="61"/>
  <c r="C7" i="60"/>
  <c r="F6"/>
  <c r="C6" i="63" s="1"/>
  <c r="E6"/>
  <c r="C6" i="60"/>
  <c r="D45" i="71"/>
  <c r="E45" s="1"/>
  <c r="F45"/>
  <c r="C13" i="73" s="1"/>
  <c r="C40" i="68" s="1"/>
  <c r="K27" i="58"/>
  <c r="H22" i="54"/>
  <c r="K29" i="58"/>
  <c r="E10" i="66"/>
  <c r="C18" i="71" s="1"/>
  <c r="C26" s="1"/>
  <c r="C35" s="1"/>
  <c r="D12" i="61"/>
  <c r="D46" i="71"/>
  <c r="E46"/>
  <c r="F46" s="1"/>
  <c r="D13" i="73"/>
  <c r="D40" i="68" s="1"/>
  <c r="J7" i="64"/>
  <c r="I10" i="68" s="1"/>
  <c r="E17" i="63"/>
  <c r="L9" s="1"/>
  <c r="C12" i="68"/>
  <c r="I11"/>
  <c r="D5" i="60"/>
  <c r="D21" s="1"/>
  <c r="D21" i="56"/>
  <c r="D14" i="60"/>
  <c r="D13" i="66"/>
  <c r="D15" s="1"/>
  <c r="G14" i="60"/>
  <c r="D14" i="63"/>
  <c r="K11" s="1"/>
  <c r="D14" i="68"/>
  <c r="G11" i="61"/>
  <c r="D10" i="64" s="1"/>
  <c r="K9" s="1"/>
  <c r="J6" i="63"/>
  <c r="C9" i="68" s="1"/>
  <c r="D7" i="61"/>
  <c r="C58" i="71"/>
  <c r="C59"/>
  <c r="D59" s="1"/>
  <c r="E59" s="1"/>
  <c r="E13" i="73"/>
  <c r="E40" i="68" s="1"/>
  <c r="F21" i="60"/>
  <c r="C42" i="56"/>
  <c r="C5" i="64"/>
  <c r="F12" i="61"/>
  <c r="E26" i="68"/>
  <c r="M9" i="63"/>
  <c r="E12" i="68" s="1"/>
  <c r="D29"/>
  <c r="D31"/>
  <c r="J12"/>
  <c r="G21" i="56"/>
  <c r="L8" i="64"/>
  <c r="K11" i="68"/>
  <c r="C21" i="63"/>
  <c r="J5" i="64"/>
  <c r="C11"/>
  <c r="D18" i="71"/>
  <c r="E18" s="1"/>
  <c r="F18" s="1"/>
  <c r="F35" s="1"/>
  <c r="B15" i="73" s="1"/>
  <c r="G21" i="60"/>
  <c r="J12" i="63"/>
  <c r="C15" i="68" s="1"/>
  <c r="J10" i="64"/>
  <c r="I13" i="68" s="1"/>
  <c r="I8"/>
  <c r="D26" i="71"/>
  <c r="E26" s="1"/>
  <c r="F26" s="1"/>
  <c r="D21" i="63"/>
  <c r="E5"/>
  <c r="M5" s="1"/>
  <c r="E35" i="71"/>
  <c r="E21" i="63"/>
  <c r="L5"/>
  <c r="L12" s="1"/>
  <c r="K12"/>
  <c r="D15" i="68" s="1"/>
  <c r="D8"/>
  <c r="E8"/>
  <c r="M12" i="63"/>
  <c r="E15" i="68"/>
  <c r="C14" i="66"/>
  <c r="C30" i="68"/>
  <c r="E14" i="66"/>
  <c r="E30" i="68"/>
  <c r="F59" i="71" l="1"/>
  <c r="D29" i="73" s="1"/>
  <c r="B31"/>
  <c r="B42" i="68"/>
  <c r="C15" i="73"/>
  <c r="K147" i="58"/>
  <c r="C8" i="66" s="1"/>
  <c r="H100" i="54"/>
  <c r="H101"/>
  <c r="K149" i="58"/>
  <c r="D8" i="66" s="1"/>
  <c r="J11" i="63"/>
  <c r="C14" i="68" s="1"/>
  <c r="E14" i="63"/>
  <c r="C49" i="56"/>
  <c r="C21"/>
  <c r="M7" i="64"/>
  <c r="K10" i="68" s="1"/>
  <c r="L7" i="64"/>
  <c r="C13" i="66"/>
  <c r="C26" i="68"/>
  <c r="E5" i="64"/>
  <c r="K5"/>
  <c r="D11"/>
  <c r="D17" i="71"/>
  <c r="C25"/>
  <c r="D35"/>
  <c r="D56"/>
  <c r="D57"/>
  <c r="D58" s="1"/>
  <c r="M6" i="63"/>
  <c r="E9" i="68" s="1"/>
  <c r="L6" i="63"/>
  <c r="B8" i="68"/>
  <c r="I12" i="63"/>
  <c r="B15" i="68" s="1"/>
  <c r="E10" i="64"/>
  <c r="E56" i="71"/>
  <c r="E12" i="66"/>
  <c r="C11"/>
  <c r="F20" i="60"/>
  <c r="C20" i="63" s="1"/>
  <c r="E20" s="1"/>
  <c r="F16" i="60"/>
  <c r="C16" i="63" s="1"/>
  <c r="E16" s="1"/>
  <c r="F9" i="57"/>
  <c r="F12" i="60"/>
  <c r="C12" i="63" s="1"/>
  <c r="E12" s="1"/>
  <c r="F6" i="56"/>
  <c r="F15" i="60"/>
  <c r="C15" i="63" s="1"/>
  <c r="F19" i="60"/>
  <c r="C19" i="63" s="1"/>
  <c r="E19" s="1"/>
  <c r="D12" i="60"/>
  <c r="C15" i="56"/>
  <c r="C30" s="1"/>
  <c r="C15" i="60"/>
  <c r="F8"/>
  <c r="C8" i="63" s="1"/>
  <c r="E8" s="1"/>
  <c r="F13" i="60"/>
  <c r="C13" i="63" s="1"/>
  <c r="E13" s="1"/>
  <c r="C11" i="56"/>
  <c r="F7" i="57"/>
  <c r="F9" i="60"/>
  <c r="C9" i="63" s="1"/>
  <c r="E9" s="1"/>
  <c r="F9" i="56"/>
  <c r="F11" i="57"/>
  <c r="C62" i="68"/>
  <c r="F7" i="60"/>
  <c r="C7" i="63" s="1"/>
  <c r="E7" s="1"/>
  <c r="C6" i="56"/>
  <c r="C9" i="57"/>
  <c r="C21" s="1"/>
  <c r="F5" i="56"/>
  <c r="F21" s="1"/>
  <c r="C9"/>
  <c r="F11"/>
  <c r="C8"/>
  <c r="F10" i="60"/>
  <c r="C10" i="63" s="1"/>
  <c r="C13" i="56"/>
  <c r="F12"/>
  <c r="C6" i="57"/>
  <c r="C18" i="56"/>
  <c r="C19"/>
  <c r="F8" i="57"/>
  <c r="F6" i="61"/>
  <c r="C6" i="64" s="1"/>
  <c r="C11" i="61"/>
  <c r="C8" i="57"/>
  <c r="F11" i="60"/>
  <c r="C11" i="63" s="1"/>
  <c r="F7" i="56"/>
  <c r="C8" i="61"/>
  <c r="B21" i="63"/>
  <c r="E11" l="1"/>
  <c r="J8"/>
  <c r="C11" i="68" s="1"/>
  <c r="E10" i="63"/>
  <c r="J7"/>
  <c r="C10" i="68" s="1"/>
  <c r="E15" i="63"/>
  <c r="J10"/>
  <c r="C13" i="68" s="1"/>
  <c r="E11" i="66"/>
  <c r="C27" i="68"/>
  <c r="E17" i="71"/>
  <c r="J8" i="68"/>
  <c r="K10" i="64"/>
  <c r="J13" i="68" s="1"/>
  <c r="M11" i="63"/>
  <c r="E14" i="68" s="1"/>
  <c r="L11" i="63"/>
  <c r="D24" i="68"/>
  <c r="D16" i="66"/>
  <c r="C42" i="68"/>
  <c r="E15" i="73"/>
  <c r="E42" i="68" s="1"/>
  <c r="B58"/>
  <c r="C31" i="73"/>
  <c r="D56" i="68"/>
  <c r="J6" i="64"/>
  <c r="I9" i="68" s="1"/>
  <c r="E6" i="64"/>
  <c r="C20" i="71"/>
  <c r="E28" i="68"/>
  <c r="M9" i="64"/>
  <c r="K12" i="68" s="1"/>
  <c r="L9" i="64"/>
  <c r="C34" i="71"/>
  <c r="D25"/>
  <c r="E25" s="1"/>
  <c r="F25" s="1"/>
  <c r="M5" i="64"/>
  <c r="L5"/>
  <c r="L10" s="1"/>
  <c r="E11"/>
  <c r="C15" i="66"/>
  <c r="C29" i="68"/>
  <c r="E13" i="66"/>
  <c r="E29" i="68" s="1"/>
  <c r="E8" i="66"/>
  <c r="E24" i="68" s="1"/>
  <c r="C24"/>
  <c r="E57" i="71"/>
  <c r="E58" s="1"/>
  <c r="F57" l="1"/>
  <c r="F56"/>
  <c r="F58" s="1"/>
  <c r="C29" i="73" s="1"/>
  <c r="E15" i="66"/>
  <c r="E31" i="68" s="1"/>
  <c r="C31"/>
  <c r="M6" i="64"/>
  <c r="L6"/>
  <c r="F17" i="71"/>
  <c r="F34" s="1"/>
  <c r="B14" i="73" s="1"/>
  <c r="E34" i="71"/>
  <c r="C19"/>
  <c r="E27" i="68"/>
  <c r="L10" i="63"/>
  <c r="M10"/>
  <c r="E13" i="68" s="1"/>
  <c r="L7" i="63"/>
  <c r="M7"/>
  <c r="E10" i="68" s="1"/>
  <c r="L8" i="63"/>
  <c r="M8"/>
  <c r="E11" i="68" s="1"/>
  <c r="K8"/>
  <c r="M10" i="64"/>
  <c r="C28" i="71"/>
  <c r="D20"/>
  <c r="C58" i="68"/>
  <c r="E31" i="73"/>
  <c r="E58" i="68" s="1"/>
  <c r="D32"/>
  <c r="D17" i="66"/>
  <c r="D33" i="68" s="1"/>
  <c r="C16" i="66"/>
  <c r="D34" i="71"/>
  <c r="C56" i="68" l="1"/>
  <c r="E29" i="73"/>
  <c r="E56" i="68" s="1"/>
  <c r="D37" i="71"/>
  <c r="E20"/>
  <c r="D14" i="66"/>
  <c r="D30" i="68" s="1"/>
  <c r="K13"/>
  <c r="C32"/>
  <c r="E16" i="66"/>
  <c r="C17"/>
  <c r="C33" i="68" s="1"/>
  <c r="C37" i="71"/>
  <c r="D28"/>
  <c r="E28" s="1"/>
  <c r="F28" s="1"/>
  <c r="C27"/>
  <c r="D19"/>
  <c r="B30" i="73"/>
  <c r="B41" i="68"/>
  <c r="C14" i="73"/>
  <c r="K9" i="68"/>
  <c r="D19" i="73"/>
  <c r="D46" i="68" s="1"/>
  <c r="D35" i="73"/>
  <c r="D62" i="68" s="1"/>
  <c r="C41" l="1"/>
  <c r="E14" i="73"/>
  <c r="E41" i="68" s="1"/>
  <c r="C18" i="73"/>
  <c r="B57" i="68"/>
  <c r="C30" i="73"/>
  <c r="D27" i="71"/>
  <c r="E27" s="1"/>
  <c r="F27" s="1"/>
  <c r="C36"/>
  <c r="E32" i="68"/>
  <c r="E17" i="66"/>
  <c r="E33" i="68" s="1"/>
  <c r="E37" i="71"/>
  <c r="F20"/>
  <c r="F37" s="1"/>
  <c r="B17" i="73" s="1"/>
  <c r="E19" i="71"/>
  <c r="D36"/>
  <c r="B33" i="73" l="1"/>
  <c r="D17"/>
  <c r="B44" i="68"/>
  <c r="E30" i="73"/>
  <c r="E57" i="68" s="1"/>
  <c r="C57"/>
  <c r="C34" i="73"/>
  <c r="C45" i="68"/>
  <c r="C20" i="73"/>
  <c r="E18"/>
  <c r="E45" i="68" s="1"/>
  <c r="E36" i="71"/>
  <c r="F19"/>
  <c r="F36" s="1"/>
  <c r="B16" i="73" s="1"/>
  <c r="B32" l="1"/>
  <c r="B43" i="68"/>
  <c r="C16" i="73"/>
  <c r="D33"/>
  <c r="B60" i="68"/>
  <c r="C47"/>
  <c r="E20" i="73"/>
  <c r="E47" i="68" s="1"/>
  <c r="C21" i="73"/>
  <c r="C61" i="68"/>
  <c r="C36" i="73"/>
  <c r="E34"/>
  <c r="E61" i="68" s="1"/>
  <c r="D44"/>
  <c r="E17" i="73"/>
  <c r="E44" i="68" s="1"/>
  <c r="D18" i="73"/>
  <c r="C43" i="68" l="1"/>
  <c r="E16" i="73"/>
  <c r="E43" i="68" s="1"/>
  <c r="B59"/>
  <c r="C32" i="73"/>
  <c r="D20"/>
  <c r="D45" i="68"/>
  <c r="C63"/>
  <c r="E36" i="73"/>
  <c r="E63" i="68" s="1"/>
  <c r="C37" i="73"/>
  <c r="C22"/>
  <c r="C49" i="68" s="1"/>
  <c r="C48"/>
  <c r="E21" i="73"/>
  <c r="D34"/>
  <c r="E33"/>
  <c r="E60" i="68" s="1"/>
  <c r="D60"/>
  <c r="D61" l="1"/>
  <c r="D36" i="73"/>
  <c r="E37"/>
  <c r="C38"/>
  <c r="C65" i="68" s="1"/>
  <c r="C64"/>
  <c r="D47"/>
  <c r="D21" i="73"/>
  <c r="E48" i="68"/>
  <c r="E22" i="73"/>
  <c r="E49" i="68" s="1"/>
  <c r="E32" i="73"/>
  <c r="E59" i="68" s="1"/>
  <c r="C59"/>
  <c r="D22" i="73" l="1"/>
  <c r="D49" i="68" s="1"/>
  <c r="D48"/>
  <c r="E38" i="73"/>
  <c r="E65" i="68" s="1"/>
  <c r="E64"/>
  <c r="D63"/>
  <c r="D37" i="73"/>
  <c r="D38" l="1"/>
  <c r="D65" i="68" s="1"/>
  <c r="D64"/>
</calcChain>
</file>

<file path=xl/sharedStrings.xml><?xml version="1.0" encoding="utf-8"?>
<sst xmlns="http://schemas.openxmlformats.org/spreadsheetml/2006/main" count="1348" uniqueCount="450">
  <si>
    <t>Sheet</t>
  </si>
  <si>
    <t>Description</t>
  </si>
  <si>
    <t>Status</t>
  </si>
  <si>
    <t>Notes</t>
  </si>
  <si>
    <t>Version</t>
  </si>
  <si>
    <t xml:space="preserve">Title </t>
  </si>
  <si>
    <t>Information</t>
  </si>
  <si>
    <t>Contents</t>
  </si>
  <si>
    <t>This contents sheet</t>
  </si>
  <si>
    <t xml:space="preserve"> </t>
  </si>
  <si>
    <t>Confidentiality status</t>
  </si>
  <si>
    <t>Project case code</t>
  </si>
  <si>
    <t>Use of Backhaul Fibre and Duct</t>
  </si>
  <si>
    <t>Different</t>
  </si>
  <si>
    <t>Use of Access Fibre and Duct</t>
  </si>
  <si>
    <t>Same</t>
  </si>
  <si>
    <t>Use of Exchange-side Copper and Duct</t>
  </si>
  <si>
    <t>Use of Distribution Copper and Duct</t>
  </si>
  <si>
    <t>Use of Main Distribution Frame</t>
  </si>
  <si>
    <t>Line Test Equipment</t>
  </si>
  <si>
    <t>Rental of BTW Line Cards (ISDN30)</t>
  </si>
  <si>
    <t>Rental of BTW Electronics (Backhaul)</t>
  </si>
  <si>
    <t>Rental of BTW Electronics (Access)</t>
  </si>
  <si>
    <t>OR Service Centre - Assurance ISDN30</t>
  </si>
  <si>
    <t>Sales &amp; product management (ISDN30)</t>
  </si>
  <si>
    <t>Sales &amp; product management (General)</t>
  </si>
  <si>
    <t>Computing - wlr pstn/isdn</t>
  </si>
  <si>
    <t>Repair of Access Fibre</t>
  </si>
  <si>
    <t>Repair of Exchange-side Copper</t>
  </si>
  <si>
    <t>Repair of Distribution-side Copper</t>
  </si>
  <si>
    <t>Repairs on Main Distribution Frame</t>
  </si>
  <si>
    <t>Total</t>
  </si>
  <si>
    <t>ISDN30</t>
  </si>
  <si>
    <t>Cost component</t>
  </si>
  <si>
    <t>£/channel</t>
  </si>
  <si>
    <t>circuit</t>
  </si>
  <si>
    <t>ePPC</t>
  </si>
  <si>
    <t>CCA FAC</t>
  </si>
  <si>
    <t>LRIC</t>
  </si>
  <si>
    <t>Routing and Records</t>
  </si>
  <si>
    <t>ISDN30 Connections</t>
  </si>
  <si>
    <t>Service Centres - Provision for ISDN 30</t>
  </si>
  <si>
    <t>Total Unit Cost</t>
  </si>
  <si>
    <t>&lt;Enter scenario 3&gt;</t>
  </si>
  <si>
    <t>Test 3</t>
  </si>
  <si>
    <t>Base case</t>
  </si>
  <si>
    <t>Scenarios</t>
  </si>
  <si>
    <t>Base</t>
  </si>
  <si>
    <t>&lt;Enter scenario 2&gt;</t>
  </si>
  <si>
    <t>&lt;Enter scenario 4&gt;</t>
  </si>
  <si>
    <t>&lt;Enter scenario 5&gt;</t>
  </si>
  <si>
    <t>&lt;Enter scenario 6&gt;</t>
  </si>
  <si>
    <t>&lt;use below&gt;</t>
  </si>
  <si>
    <t>Test 2</t>
  </si>
  <si>
    <t>Test 4</t>
  </si>
  <si>
    <t>Test 5</t>
  </si>
  <si>
    <t>Test 6</t>
  </si>
  <si>
    <t>ISDN30 channel utilisation</t>
  </si>
  <si>
    <t>What number of channels in the ISDN30 bearer?</t>
  </si>
  <si>
    <t>Include number</t>
  </si>
  <si>
    <t>Select percentage of ISDN30 exchanges with backhaul costs</t>
  </si>
  <si>
    <t>Include percentage</t>
  </si>
  <si>
    <t>Select distance of ISDN30 backhaul circuits</t>
  </si>
  <si>
    <t>Backhaul costs</t>
  </si>
  <si>
    <t>Local access network costs</t>
  </si>
  <si>
    <t>Product management</t>
  </si>
  <si>
    <t>Service Management Centre (SMC) costs</t>
  </si>
  <si>
    <t>Adjustments to rental costs based on 'same end user assumption'</t>
  </si>
  <si>
    <t>Adjustments to connection costs based on 'same end user assumption'</t>
  </si>
  <si>
    <t>Routing &amp; Records</t>
  </si>
  <si>
    <t>Computing</t>
  </si>
  <si>
    <t>opt_ISDNChUti</t>
  </si>
  <si>
    <t>opt_DistBcCircuit</t>
  </si>
  <si>
    <t>opt_RtBcCo</t>
  </si>
  <si>
    <t>opt_RtLoAccCo</t>
  </si>
  <si>
    <t>opt_RtSmcCo</t>
  </si>
  <si>
    <t>opt_RtProdManCo</t>
  </si>
  <si>
    <t>opt_CoRouRecCo</t>
  </si>
  <si>
    <t>opt_CoISDNConnCo</t>
  </si>
  <si>
    <t>opt_CoProdManCo</t>
  </si>
  <si>
    <t>opt_CoSmcCo</t>
  </si>
  <si>
    <t>opt_CoComputingCo</t>
  </si>
  <si>
    <t>Include distance (Km)</t>
  </si>
  <si>
    <t>Control Panel</t>
  </si>
  <si>
    <t xml:space="preserve">Select Scenario </t>
  </si>
  <si>
    <t>Input assumptions</t>
  </si>
  <si>
    <t>Adjustments to PPC's connection Service Management Centre (SMC) costs</t>
  </si>
  <si>
    <t>opt_ConnSMC1</t>
  </si>
  <si>
    <t>opt_ConnSMC2</t>
  </si>
  <si>
    <t xml:space="preserve">(0) Same; (1) Different; </t>
  </si>
  <si>
    <t>opt_excBcCo</t>
  </si>
  <si>
    <t>The number of channels in the ISDN30 circuit. This affects the rentals input assumptions ("Input Rentals") and the connections input assumptions ("InputConn")</t>
  </si>
  <si>
    <t>The share of ISDN30 exchanges incurring backhaul costs. This percentage is used to adjust the PPCs "Rental of BTW Electronics (Backhaul)" and "Use of Backhaul Fibre and Duct" costs to make them comparable to ISDN30 costs.</t>
  </si>
  <si>
    <t>Group</t>
  </si>
  <si>
    <t>ISDN30 Line card</t>
  </si>
  <si>
    <t>Access network repair and maintenance costs</t>
  </si>
  <si>
    <t>Service Management Centre costs</t>
  </si>
  <si>
    <t>Differential</t>
  </si>
  <si>
    <t>LRIC differential</t>
  </si>
  <si>
    <t>Connection</t>
  </si>
  <si>
    <t>ISDN30 line card</t>
  </si>
  <si>
    <t>opt_RtLineCard</t>
  </si>
  <si>
    <t>opt_AccRepair</t>
  </si>
  <si>
    <t>opt_ReLineTest</t>
  </si>
  <si>
    <t>In the following spreadsheets we amend the raw inputs provided by Openreach to reflect our input assumptions described in the "Scenarios" sheet. These relate to:</t>
  </si>
  <si>
    <t>Rental</t>
  </si>
  <si>
    <t>1. ISDN30 channel utilisation (the number of channels assumed in the ISDN30 bearer)</t>
  </si>
  <si>
    <t xml:space="preserve">2. Adjustments to PPC rental backhaul costs to make them comparable to the backhaul costs allocated to ISDN30 </t>
  </si>
  <si>
    <t xml:space="preserve">3. Adjustments to PPC rental service management centre costs to make them comparable to the service management centre costs allocated to ISDN30 </t>
  </si>
  <si>
    <t>Inputs</t>
  </si>
  <si>
    <t>LRIC calculation assumptions</t>
  </si>
  <si>
    <t>LRIC Calculation</t>
  </si>
  <si>
    <t>Input assumptions - Rentals</t>
  </si>
  <si>
    <t>Input assumptions - Connections</t>
  </si>
  <si>
    <t>LRIC Calculation - Rentals</t>
  </si>
  <si>
    <t>LRIC Calculation - Connections</t>
  </si>
  <si>
    <t>Local End</t>
  </si>
  <si>
    <t>Main link</t>
  </si>
  <si>
    <t>Terminating segment</t>
  </si>
  <si>
    <t>Input prices</t>
  </si>
  <si>
    <t>Rental + Connection</t>
  </si>
  <si>
    <t>PPC price + differential</t>
  </si>
  <si>
    <t>WLR ISDN30 price</t>
  </si>
  <si>
    <t>Difference</t>
  </si>
  <si>
    <t>% difference</t>
  </si>
  <si>
    <t>Price differentials</t>
  </si>
  <si>
    <t>PPC price</t>
  </si>
  <si>
    <t>N/a</t>
  </si>
  <si>
    <t>Note: Prices correspond to the latest PPC prices in BT's wholesale CP list (01/01/11)</t>
  </si>
  <si>
    <t>PPC connection</t>
  </si>
  <si>
    <t>Price differentials calculation</t>
  </si>
  <si>
    <t>Rental prices</t>
  </si>
  <si>
    <t>Connection prices</t>
  </si>
  <si>
    <t>Outputs</t>
  </si>
  <si>
    <t>channels</t>
  </si>
  <si>
    <t>%</t>
  </si>
  <si>
    <t>Km</t>
  </si>
  <si>
    <t>Include number (8 to 30)</t>
  </si>
  <si>
    <t>Include percentage (%)</t>
  </si>
  <si>
    <t>Select average distance of ISDN30 backhaul circuits</t>
  </si>
  <si>
    <t>Include average distance (Km)</t>
  </si>
  <si>
    <t>Note: This sheet allows to enter scenarios with different assumptions relating to the inputs and calculations. The 
scenario can then be selected in the "Control Panel". A description of each assumption can be found in the "Control Panel" sheet</t>
  </si>
  <si>
    <t>Price per channel (£/channel)</t>
  </si>
  <si>
    <t>Costs allocated to the Rentals' cost components</t>
  </si>
  <si>
    <t>These Service Management Centre costs sit within BT Wholesale in the case of PPCs</t>
  </si>
  <si>
    <t>These Sales &amp; Product Management costs sit within BT Wholesale in the case of PPCs</t>
  </si>
  <si>
    <t>These computing costs sit within BT Wholesale in the case of PPCs</t>
  </si>
  <si>
    <t>Costs allocated to the Connections' cost components</t>
  </si>
  <si>
    <t>2. Adjustments to the PPC Connection costs, which reflect the costs of connecting the entire PPC (local end, main link and PoH), to make it comparable to the connection of an ISDN30 bearer (which only includes local end costs and backhaul costs in some cases)</t>
  </si>
  <si>
    <t xml:space="preserve">3. Adjustments to PPC connection service management centre costs to make them comparable to the service management centre costs allocated to ISDN30 </t>
  </si>
  <si>
    <t xml:space="preserve">= Values affected by our input assumptions </t>
  </si>
  <si>
    <t xml:space="preserve">= Values affected by our calculation assumptions </t>
  </si>
  <si>
    <t>PPC total price</t>
  </si>
  <si>
    <t>The PPC local end fixed charge as per 01/01/11</t>
  </si>
  <si>
    <t xml:space="preserve">The PPC terminating segment charge per km as per 01/01/11 adjusted using the same approach as for PPC's rental "Backhaul Fibre and Duct" </t>
  </si>
  <si>
    <t xml:space="preserve">The PPC main link fixed charge as per 01/01/11 adjusted using the same approach as for PPC's rental "Backhaul Electronics" </t>
  </si>
  <si>
    <t>The PPC fixed connection charge as per 01/01/11 adjusted using the same approach as for PPC's Connection cost in the Connection cost stack</t>
  </si>
  <si>
    <t xml:space="preserve">The total PPC price </t>
  </si>
  <si>
    <t>The LRIC differentials calculated in CalcRental and CalcConn</t>
  </si>
  <si>
    <t>LRIC differentials - RENTALS (from sheet "CalcRental")</t>
  </si>
  <si>
    <t>LRIC differentials - CONNECTIONS (from sheet "CalcConn")</t>
  </si>
  <si>
    <t>Summary LRIC differential</t>
  </si>
  <si>
    <t>Calculated LRIC differential</t>
  </si>
  <si>
    <t>ISDN30 LRIC:FAC ratio</t>
  </si>
  <si>
    <t>ePPC LRIC:FAC ratio</t>
  </si>
  <si>
    <t>Input for PPC rental backhaul costs assumptions</t>
  </si>
  <si>
    <t>Total number of ISDN30 circuits</t>
  </si>
  <si>
    <t>Number of ISDN30 circuits incurring backhaul costs</t>
  </si>
  <si>
    <t>Select percentage of ISDN30 circuits with backhaul costs</t>
  </si>
  <si>
    <t>% of ISDN30 circuits with backhaul costs</t>
  </si>
  <si>
    <t>Cumulative length of ISDN30 backhaul circuits (radial Km)</t>
  </si>
  <si>
    <t>Average distance of ISDN30 backhaul circuits</t>
  </si>
  <si>
    <t>Average distance of ISDN30 backhaul circuits (radial Km)</t>
  </si>
  <si>
    <t>Share of ISDN30 circuits incurring backhaul costs</t>
  </si>
  <si>
    <t xml:space="preserve">The following information provided by Openreach is used to derive the two numbers (share of ISDN30 circuits incurring backhaul costs and the average distance of ISDN30 backhaul circuits) that we use </t>
  </si>
  <si>
    <t>Input for PPCs' rental and connection Service Management Centre costs</t>
  </si>
  <si>
    <t>Main link equipment</t>
  </si>
  <si>
    <t>Local end</t>
  </si>
  <si>
    <t>Main link distribution</t>
  </si>
  <si>
    <t>Main link trunk</t>
  </si>
  <si>
    <t>Point of handover</t>
  </si>
  <si>
    <t>Costs relating to the main link trunk are not accounted for as they have no equivalent in ISDN30</t>
  </si>
  <si>
    <t>Costs relating to the point of handover are not accounted for as they are not included in PPCs SMC costs</t>
  </si>
  <si>
    <t xml:space="preserve">Select the percentage of PPC SMC costs relating to local ends </t>
  </si>
  <si>
    <t>Select the percentage of PPC SMC costs relating to main link equipment</t>
  </si>
  <si>
    <t>Select the percentage of PPC SMC costs relating to main link distribution</t>
  </si>
  <si>
    <t>The share of PPC SMC costs relating to equipment located in the local end segment of the network</t>
  </si>
  <si>
    <t>The share of PPC SMC costs relating to equipment located in the main link segment of the network</t>
  </si>
  <si>
    <t>The share of PPC SMC costs relating to distribution activities located in the main link segment of the network</t>
  </si>
  <si>
    <t>opt_ConnSMC3</t>
  </si>
  <si>
    <t>The average distance of backhaul circuits used in ISDN30 exchanges incurring backhaul costs. This distance in km is used to adjust the PPCs "Use of Backhaul Fibre and Duct" costs to make them comparable to ISDN30 costs. It is also used to adjust the PPCs SMC main link costs (both relating to equipment and distribution) to make them comparable to ISDN30 SMC costs.</t>
  </si>
  <si>
    <t>In this table we first aggregate the cost components in the table on the left into network/activity segments and then we apply the calculation assumptions selected in the "Control Panel" sheet for rentals</t>
  </si>
  <si>
    <t>In this table we first aggregate the cost components in the table on the left into network/activity segments and then we apply the calculation assumptions selected in the "Control Panel" sheet for connections</t>
  </si>
  <si>
    <t>These Service Management Centre costs sit within BT Wholesale in the case of PPCs and they account for the costs of managing the connection/testing of the entire PPC (local end and main link). The adjustment made here is to account for the PPC costs that are equivalent to the ISDN30 SMC costs, which only include local end connection/testing and only in certain cases, where the exchange requires a backhaul circuit, connection/testing of backhaul circuits.</t>
  </si>
  <si>
    <t>opt_UpliftLCard1</t>
  </si>
  <si>
    <t>ISDN SGA</t>
  </si>
  <si>
    <t>LRIC:FAC ratio of 20CN line cards</t>
  </si>
  <si>
    <t>BT Wholesale Service Centre - PPC</t>
  </si>
  <si>
    <t>BT Wholesale Product management - PPC</t>
  </si>
  <si>
    <t>BT Wholesale Computing - PPC</t>
  </si>
  <si>
    <t>The computing costs for ISDN30 are included within the 'OR Service Centre - Assurance ISDN30' cost component. For this reason the Computing costs for PPCs are included under this category above.</t>
  </si>
  <si>
    <t>BT Wholesale Service Centres - Provision for PPC</t>
  </si>
  <si>
    <t>BT Wholesale Sales &amp; Product management - PPC</t>
  </si>
  <si>
    <t>OCS MODEL</t>
  </si>
  <si>
    <t>Rental of BTW Electronics (Backhaul) - PPC</t>
  </si>
  <si>
    <t>RFS</t>
  </si>
  <si>
    <t>In the OCS Model the costs are allocated to "Backhaul Fibre" and to "Electronics", these costs are adjusted to calculate the LRIC differentials using the information in sheet "Backhaul"</t>
  </si>
  <si>
    <t>In the RFS the costs are not exactly allocated to "Backhaul Fibre" and to "Electronics" but, instead, on a "Distribution" (with costs on £/Km) and "Main link" (with costs on £/circuit) basis.  The electronics costs are allocated to both the Distribution and Main link element. However, we maintain here the cost component distribution used for ISDN30 (i.e. "Backhaul Fibre and Duct" and "Rental of BTW Electronics") because it does not make a difference for the calculation of the differentials (given that these two backhaul costs are aggregated under the category "Backhaul costs" when calculating the differentials in sheet "CalcRental"). These costs are adjusted to calculate the LRIC differentials using the information in sheet "Backhaul".</t>
  </si>
  <si>
    <t>Selection of source for PPC rental backhaul costs</t>
  </si>
  <si>
    <t xml:space="preserve">Select the OCS Model (high cost) or the RFS (low cost)  as source for PPC backhaul costs </t>
  </si>
  <si>
    <t xml:space="preserve">(1) OCS Model; (2) RFS </t>
  </si>
  <si>
    <t>--- Check ---</t>
  </si>
  <si>
    <t>Checks selection is OK</t>
  </si>
  <si>
    <t>opt_BackhaulModel</t>
  </si>
  <si>
    <t>(1) OCS Model (2) RFS</t>
  </si>
  <si>
    <t>Adjustments to PPC rental backhaul costs - RFS</t>
  </si>
  <si>
    <t>Adjustments to PPC rental backhaul costs - RFS source</t>
  </si>
  <si>
    <t>Adjustments to PPC rental backhaul costs - OCS Model</t>
  </si>
  <si>
    <t>opt_BackOCSCircuit</t>
  </si>
  <si>
    <t>Under the "Equi proportional decrease" scenario, the value of the combined basket's X is applied to both charges (connections and rentals).</t>
  </si>
  <si>
    <t>Equi-proportional decrease scenario</t>
  </si>
  <si>
    <t>10/11</t>
  </si>
  <si>
    <t>11/12</t>
  </si>
  <si>
    <t>12/13</t>
  </si>
  <si>
    <t>13/14</t>
  </si>
  <si>
    <t>Rental price</t>
  </si>
  <si>
    <t>Connection price</t>
  </si>
  <si>
    <t>Safeguard constraint scenario</t>
  </si>
  <si>
    <t>Prior year rental weight</t>
  </si>
  <si>
    <t>Prior year connection weight</t>
  </si>
  <si>
    <t>Initial WLR ISDN30 prices</t>
  </si>
  <si>
    <t>opt_RentPrice</t>
  </si>
  <si>
    <t>opt_ConnPrice</t>
  </si>
  <si>
    <t>2010/11</t>
  </si>
  <si>
    <t>Channels</t>
  </si>
  <si>
    <t>opt_RentVol2011</t>
  </si>
  <si>
    <t>2011/12</t>
  </si>
  <si>
    <t>2012/13</t>
  </si>
  <si>
    <t>2013/14</t>
  </si>
  <si>
    <t>opt_RentVol2012</t>
  </si>
  <si>
    <t>opt_RentVol2013</t>
  </si>
  <si>
    <t>opt_RentVol2014</t>
  </si>
  <si>
    <t>Connection volumes under our "Base case" scenario</t>
  </si>
  <si>
    <t>Rental volumes under our "Base case" scenario</t>
  </si>
  <si>
    <t>opt_ConnVol2011</t>
  </si>
  <si>
    <t>opt_ConnVol2012</t>
  </si>
  <si>
    <t>opt_ConnVol2013</t>
  </si>
  <si>
    <t>opt_ConnVol2014</t>
  </si>
  <si>
    <t>X on combined basket</t>
  </si>
  <si>
    <t>-/+ X</t>
  </si>
  <si>
    <t>opt_XCombBasket</t>
  </si>
  <si>
    <t>Volumes</t>
  </si>
  <si>
    <t>value of X</t>
  </si>
  <si>
    <t>Safeguard cap connections</t>
  </si>
  <si>
    <t>Final combined basket X under our "Base case" scenario and safeguard cap</t>
  </si>
  <si>
    <t>opt_ConnSafeguard</t>
  </si>
  <si>
    <t>Safeguard cap on connections</t>
  </si>
  <si>
    <t xml:space="preserve">Rental volumes in Stage 2 of the "Volumes forecast model" </t>
  </si>
  <si>
    <t>Connection volumes in Stage 2 of the  "Volumes forecast model"</t>
  </si>
  <si>
    <t>We assume the Stage 2 base case to derive the prices of rentals in the combined basket</t>
  </si>
  <si>
    <t>We assume the Stage 2 base case scenario to derive the prices of connections in the combined basket</t>
  </si>
  <si>
    <t>+X%</t>
  </si>
  <si>
    <t>+%</t>
  </si>
  <si>
    <t xml:space="preserve">Access network repair </t>
  </si>
  <si>
    <t>Fault repairs</t>
  </si>
  <si>
    <t>Distribution of SMC costs by network segment</t>
  </si>
  <si>
    <t>Reason for fault</t>
  </si>
  <si>
    <t>Share of total</t>
  </si>
  <si>
    <t>Customer</t>
  </si>
  <si>
    <t>Access</t>
  </si>
  <si>
    <t>Other</t>
  </si>
  <si>
    <t>Backhaul and core</t>
  </si>
  <si>
    <t>Select the percentage of PPC fault repairs relating to backhaul or core</t>
  </si>
  <si>
    <t>opt_AssuranceNonBack</t>
  </si>
  <si>
    <t>opt_AssuranceBackhaul</t>
  </si>
  <si>
    <t>Network segment used</t>
  </si>
  <si>
    <t>Non - backhaul or core</t>
  </si>
  <si>
    <t>Backhaul or core</t>
  </si>
  <si>
    <t>These Service Centre costs relating to asssurance (repair) activities sit within BT Wholesale in the case of PPCs</t>
  </si>
  <si>
    <t xml:space="preserve">Select the percentage of PPC fault repairs relating to network segments other than backhaul or core </t>
  </si>
  <si>
    <t>The share of PPC fault repairs that relate to backhaul and core. We used this to adjust the Service Centre costs - Assurance for PPCs</t>
  </si>
  <si>
    <t xml:space="preserve">In the case of ISDN30, assurance costs relate to the local end and, in those cases where backhaul is required, to these backhaul elements of the network. </t>
  </si>
  <si>
    <t>In the case of PPCs, assurance costs relate to the access network, backhaul and core, the customer, errors on faults/right when tested and to other elements of the network.</t>
  </si>
  <si>
    <t>Adjustments to PPC's rental Service Centre - Assurance costs</t>
  </si>
  <si>
    <t>Option 1: Adjustments to PPC's rental Service Centre - Assurance costs</t>
  </si>
  <si>
    <t>Segment</t>
  </si>
  <si>
    <t>Fault Not Found / Right When Tested (FNF/RWT)</t>
  </si>
  <si>
    <t>Type of fault</t>
  </si>
  <si>
    <t>Network segments - share of total</t>
  </si>
  <si>
    <t>We assume that the FNF/RWT are allocated to each network segment according to the faults reported in those segments.</t>
  </si>
  <si>
    <t>Service Centre costs</t>
  </si>
  <si>
    <t>Initial 2009/10 FAC costs</t>
  </si>
  <si>
    <t>opt_FACRent</t>
  </si>
  <si>
    <t>opt_FACConn</t>
  </si>
  <si>
    <t>Rentals</t>
  </si>
  <si>
    <t>The 2009/10 FACs for WLR ISDN30  included in our "Scenarios"</t>
  </si>
  <si>
    <t>Differentials using 2009/10 FACs</t>
  </si>
  <si>
    <t>FAC per circuit</t>
  </si>
  <si>
    <t>Adjustment for relative usage factors</t>
  </si>
  <si>
    <t xml:space="preserve">In the case of the OCS Model "BTW Electronics (Backhaul)" costs are on a £per circuit basis. </t>
  </si>
  <si>
    <t xml:space="preserve">In the case of the OCS Model "Backhaul Fibre and Duct" costs are on a £per circuit basis. </t>
  </si>
  <si>
    <t xml:space="preserve">In the case of the RFSs the "Backhaul Fibre and Duct" costs are on a £per circuit and per Km basis. </t>
  </si>
  <si>
    <t xml:space="preserve">In the case of the RFSs "BTW Electronics (Backhaul)" costs are on a £per circuit basis. </t>
  </si>
  <si>
    <t>Uplift of heavily depreciated assets</t>
  </si>
  <si>
    <t>Line cards % change in base year costs</t>
  </si>
  <si>
    <t>Access electronics % change in base year costs</t>
  </si>
  <si>
    <t>opt_UpliftAccElect</t>
  </si>
  <si>
    <t>Line cards % change in base year costs after uplift</t>
  </si>
  <si>
    <t>Access electronics % change in base year costs after uplift</t>
  </si>
  <si>
    <t>we model two scenarios, equivalent to the ones developed in the "Volumes forecast model".</t>
  </si>
  <si>
    <t>Low cost PPC inputs</t>
  </si>
  <si>
    <t>High cost PPC inputs</t>
  </si>
  <si>
    <t>Average cost PPC inputs</t>
  </si>
  <si>
    <t>Under the "Safeguard constraint" scenario, we assume that Openreach will increase connection prices up to the sub cap and rental prices will be derived as a residual,</t>
  </si>
  <si>
    <t xml:space="preserve"> taking into account prior year revenue weight.</t>
  </si>
  <si>
    <t>PPC prices</t>
  </si>
  <si>
    <t xml:space="preserve">Consistent with our approach in the "Switching model", for PPC prices we model two scenarios in line with the current regulation of leased lines charges. </t>
  </si>
  <si>
    <t xml:space="preserve">The second ('High cost PPC inputs') considers that BT will decrease PPC prices by the safeguard cap on each charge. </t>
  </si>
  <si>
    <t>We finally estimate an average of the two prices as our base case scenario of the likely PPC prices in year 2013/14.</t>
  </si>
  <si>
    <t>Local End rental cap</t>
  </si>
  <si>
    <t>Low cost (basket cap)</t>
  </si>
  <si>
    <t>-/+X%</t>
  </si>
  <si>
    <t>opt_LERentalLowCap</t>
  </si>
  <si>
    <t>High cost (sub cap)</t>
  </si>
  <si>
    <t>opt_LERentalHighCap</t>
  </si>
  <si>
    <t>Main Link Rental cap</t>
  </si>
  <si>
    <t>opt_LinkRentalLowCap</t>
  </si>
  <si>
    <t>opt_LinkRentalHighCap</t>
  </si>
  <si>
    <t>Terminating segment charge cap</t>
  </si>
  <si>
    <t>opt_TermSegLowCap</t>
  </si>
  <si>
    <t>opt_TermSegHighCap</t>
  </si>
  <si>
    <t>2Mbit/s circuit connection caps</t>
  </si>
  <si>
    <t>opt_2MbitConnLowCap</t>
  </si>
  <si>
    <t>opt_2MbitConnHighCap</t>
  </si>
  <si>
    <t>-/+ X%</t>
  </si>
  <si>
    <t>From LLCC Statement and LLCC Appeal</t>
  </si>
  <si>
    <t>Notes: We estimate the final prices as the average between the 'Low cost PPC inputs' and the 'High cost PPC inputs' scenarios.</t>
  </si>
  <si>
    <t>Price differentials analysis in 2009/10</t>
  </si>
  <si>
    <t>Test price differentials in 2013/14</t>
  </si>
  <si>
    <t>Line card costs in 2013/14</t>
  </si>
  <si>
    <t>Line Test Equipment costs in 2013/14</t>
  </si>
  <si>
    <t>opt_LTECost2013_14</t>
  </si>
  <si>
    <t>opt_LineCard2013_14</t>
  </si>
  <si>
    <t>The expected PPC local end fixed charge in 2013/14 as calculated in sheet "Prices"</t>
  </si>
  <si>
    <t xml:space="preserve">The expected PPC main link fixed charge in 2013/14 as calculated in sheet "Prices" and adjusted using the same approach as for PPC's rental "Backhaul Electronics" </t>
  </si>
  <si>
    <t xml:space="preserve">The expected PPC terminating segment charge per km in 2013/14 as calculated in sheet "Prices" and adjusted using the same approach as for PPC's rental "Backhaul Fibre and Duct" </t>
  </si>
  <si>
    <t>The expected PPC fixed connection charge in 2013/14 as calculated in sheet "Prices" and adjusted using the same approach as for PPC's Connection cost in the Connection cost stack</t>
  </si>
  <si>
    <t xml:space="preserve">The expected total PPC price </t>
  </si>
  <si>
    <t xml:space="preserve">In this spreadsheet we test the price differentials in the year 2013/14. As discussed in our consultation document, we are unable to estimate the costs of </t>
  </si>
  <si>
    <t xml:space="preserve">PPCs in the year 2013/14 and, therefore, we conduct most of our analysis in the base year (2009/10). However, here we test the likely evolution of the </t>
  </si>
  <si>
    <t>incremental costs and prices of both services in 2013/14 to ensure that the differences in prices will be at least as large as the difference in their incremental costs.</t>
  </si>
  <si>
    <t>This includes the line card costs and line test equipment in the case of rentals and the SMC, Connection and Computing costs in the case of connections.</t>
  </si>
  <si>
    <t>Price calculations</t>
  </si>
  <si>
    <t>2013/14 differentials using Equi-proportional decrease scenario</t>
  </si>
  <si>
    <t>2013/14 differentials using Safeguard cap constraint</t>
  </si>
  <si>
    <t>Change in ISDN30 connection costs by 2013/14</t>
  </si>
  <si>
    <t>ISDN30 connection costs change by 2013/14</t>
  </si>
  <si>
    <t>opt_ConnCost2013_14</t>
  </si>
  <si>
    <t>% change 2009/10 - 2013/14</t>
  </si>
  <si>
    <t>% change</t>
  </si>
  <si>
    <t>Approved for release</t>
  </si>
  <si>
    <t>Terms and conditions</t>
  </si>
  <si>
    <t xml:space="preserve">The terms and conditions on which OFCOM is making available the model are set out below.  </t>
  </si>
  <si>
    <t xml:space="preserve">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t>
  </si>
  <si>
    <t xml:space="preserve">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t>
  </si>
  <si>
    <t xml:space="preserve">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 </t>
  </si>
  <si>
    <t>ISDN30 Incremental Cost Model For Release</t>
  </si>
  <si>
    <t>Price controls for wholesale ISDN30 services</t>
  </si>
  <si>
    <t>Publicly available</t>
  </si>
  <si>
    <t>Shows the assumptions used in each scenario. Contains the Ofcom base and other scenarios used in the sensitivity analysis.</t>
  </si>
  <si>
    <t xml:space="preserve">Allows the selection of the scenario in the Scenarios sheet. </t>
  </si>
  <si>
    <t>Connections</t>
  </si>
  <si>
    <t>Backhaul</t>
  </si>
  <si>
    <t>SMC costs</t>
  </si>
  <si>
    <t>InputRentals</t>
  </si>
  <si>
    <t>InputConn</t>
  </si>
  <si>
    <t>CalcRental</t>
  </si>
  <si>
    <t>CalcConn</t>
  </si>
  <si>
    <t>2009-2010</t>
  </si>
  <si>
    <t>Prices</t>
  </si>
  <si>
    <t>2013-2014</t>
  </si>
  <si>
    <t>This sheet shows the costs allocated to each of the connection service's cost components for both ISDN30 and PPCs.</t>
  </si>
  <si>
    <t>This sheet shows the costs allocated to each of the rental service's cost components for both ISDN30 and PPCs.</t>
  </si>
  <si>
    <t>Contains the information used to adjust the PPC backhaul costs to make them comparable to ISDN30 backhaul costs.</t>
  </si>
  <si>
    <t>Contains fault repair information by PPC segmment. This information is used to adjust PPC assurance costs to make them comparable to ISDN30 assurance costs.</t>
  </si>
  <si>
    <t>Shows the share of service management centre (SMC) costs by PPC segment. This information is used to adjust the PPC SMC costs to make them comparable to ISDN30 SMC costs.</t>
  </si>
  <si>
    <t>Shows all the adjustments applied to the cost components of ISDN30 and PPC connections to make them comparable.</t>
  </si>
  <si>
    <t>Shows all the adjustments applied to the cost components of ISDN30 and PPC rentals to make them comparable.</t>
  </si>
  <si>
    <t xml:space="preserve">This sheet allows to select the cost components that contribute to the LRIC differentials (under the assumption of the 'same end user', as explained in our consultation document). It then aggregates the ISDN30 and PPC rental cost components into higher level cost groups. </t>
  </si>
  <si>
    <t xml:space="preserve">This sheet allows to select the cost components that contribute to the LRIC differentials (under the assumption of the 'same end user', as explained in our consultation document). It then aggregates the ISDN30 and PPC connection cost components into higher level cost groups. </t>
  </si>
  <si>
    <t>Shows how we estimate the LRIC and price differentials between wholesale ISDN30 and PPC connection and rental services in the base year (2009/10).</t>
  </si>
  <si>
    <t>Displays the main outputs of the model.</t>
  </si>
  <si>
    <t>This sheet estimates the likely prices of PPCs and ISDN30 connection and rental services in 2013/14.</t>
  </si>
  <si>
    <t>Contains the high level test on the LRIC and price differentials between wholesale ISDN30 and PPC connection and rental services in the end year of the charge control (2013/14).</t>
  </si>
  <si>
    <t>Removed</t>
  </si>
  <si>
    <t>Backhaul Fibre and Duct relate to backhaul costs incurred by some ISDN30 circuits when there is a requirement to link to exchange concentrators located in remote exchanges. These costs are equivalent to the main link costs of a PPC, which sit within BT Wholesale.</t>
  </si>
  <si>
    <t>BTW Electronics (Backhaul) relate to backhaul electronics equipment costs incurred by some ISDN30 circuits when there is a requirement to link to exchange concentrators located in remote exchanges. These costs are equivalent to the main link costs of a PPC, which sit within BT Wholesale.</t>
  </si>
  <si>
    <t xml:space="preserve">The following cost components relate to activities that sit with BT Wholesale. Openreach has provided to us the BT Wholesale costs that are equivalent to the ISDN30 costs that sit within Openreach </t>
  </si>
  <si>
    <t xml:space="preserve">The following cost components relate to activities that sit within BT Wholesale. Openreach has provided to us the BT Wholesale costs that are equivalent to the ISDN30 costs that sit within Openreach </t>
  </si>
  <si>
    <t xml:space="preserve">Openreach has provided to us two different cost stacks for these cost components shown below. One follows their internal OCS model and the other follows the cost allocation in the RFS. In "Scenarios" </t>
  </si>
  <si>
    <t>sheet it can be selected which of the two sources of information is used for the calculation of the LRIC differentials. Our base case scenario uses the RFS, which result in the largest differential.</t>
  </si>
  <si>
    <t>Inputs --&gt;</t>
  </si>
  <si>
    <t>to adjust the PPC rental backhaul costs so that they are on a comparable basis to the ISDN30 backhaul costs. The two outputs below are used as inputs in the 'Scenarios' spreadsheet.</t>
  </si>
  <si>
    <t xml:space="preserve">In the case of ISDN30, SMC costs only reflect service management costs relating to equipment in the local end segment of the network and, only where the exchange requires a link to a concentrator </t>
  </si>
  <si>
    <t xml:space="preserve">in a parent exchange, to equipment located in the backhaul segment of the network. Instead, PPCs require a backhaul main link in all cases and this would be reflected in higher SMC costs in the case of PPCs. </t>
  </si>
  <si>
    <t xml:space="preserve">The following information provided by Openreach is used to derive the numbers that we use to adjust the PPC SMC costs so that they are on a comparable basis to the ISDN30 SMC costs. </t>
  </si>
  <si>
    <t xml:space="preserve">In order to compare like with like, Openreach has submitted to us a disaggregation of the share of the total faults that relate to each of the network segments. </t>
  </si>
  <si>
    <t>We use this to adjust the PPC Service Centre costs Assurance.</t>
  </si>
  <si>
    <t>Input assumptions --&gt;</t>
  </si>
  <si>
    <t xml:space="preserve">4. Adjustments to PPC rental assurance costs to make them comparable to the ISDN30 assurance costs </t>
  </si>
  <si>
    <t>Backhaul Fibre and Duct relate to backhaul costs incurred by some ISDN30 exchanges where there is a requirement to link to a remote concentrator. To make these costs comparable to PPCs, we adjust the PPC costs to account for the share of exchanges that incur these costs in the case of ISDN30 and by the average distance of backhaul circuits</t>
  </si>
  <si>
    <t>BTW Electronics (Backhaul) relate to backhaul electronics equipment costs incurred by some ISDN30 exchanges where there is a requirement to link to a remote concentrator. To make these costs comparable to PPCs, we adjust the PPC costs to account for the share of exchanges that incur these costs in the case of ISDN30</t>
  </si>
  <si>
    <t>Access Electronics are adjusted using the same asset adjustment done in our Cost Forecast model (to account for heavily depreciated assets)</t>
  </si>
  <si>
    <t>ISDN30 Line cards are adjusted using the same asset adjustment done in our Cost Forecast model (to account for heavily depreciated assets)</t>
  </si>
  <si>
    <t>These Service Management Centre costs relate to assurance (repair) activities that sit within BT Wholesale in the case of PPCs. They account for the costs of fault handling of the entire PPC (local end and main link). The adjustment made here is to account for the PPC costs that are equivalent to the ISDN30 assurance costs, which only include customer, local end fault handling and only in certain cases, where the exchange requires a backhaul circuit, backhaul fault handling.</t>
  </si>
  <si>
    <t>Openreach has been unable to provide a disaggregation of the PPC Connection costs by network segment. We therefore use the SMC cost disaggregation to adjust PPC costs to a basis comparable to ISDN30 connection costs</t>
  </si>
  <si>
    <t>These Computing costs sit within BT Wholesale in the case of PPCs and they account for the computing costs of the entire PPC (local end and main link). The adjustment made here is to account for the PPC costs that are equivalent to the ISDN30 costs, which only include local end connection/testing and only in certain cases, where the exchange requires a backhaul circuit, connection/testing of backhaul circuits.</t>
  </si>
  <si>
    <t>LRIC Calculation --&gt;</t>
  </si>
  <si>
    <t xml:space="preserve">Price differentials --&gt; </t>
  </si>
  <si>
    <t>The total PPC price plus the LRIC differentials (i.e. These are the wholesale ISDN30 prices that would be exactly reflecting the LRIC differentials)</t>
  </si>
  <si>
    <t>The absolute difference between our wholesale ISDN30 proposed prices and the wholesale ISDN30 that would be exactly reflecting the LRIC differentials</t>
  </si>
  <si>
    <t>The percentage difference between our proposed charges for wholesale ISDN30 and the wholesale ISDN30 charges that would be exactly reflecting the LRIC differentials</t>
  </si>
  <si>
    <t xml:space="preserve">In this spreadsheet we estimate the expected PPC and wholesale ISDN30 connection and rental prices in the final year of the charge control (2013/14). In the case of PPCs, </t>
  </si>
  <si>
    <t xml:space="preserve">we take into account the current regulation of leased lines (in place until September 2012) and assume prices in 2013/14 will remain at the level of 2012. In the case of wholesale ISDN30,   </t>
  </si>
  <si>
    <t xml:space="preserve">The first ('Low cost PPC inputs') considers that BT will decrease PPC prices by the basket X (which imposes higher decreases in prices than the safeguard cap). </t>
  </si>
  <si>
    <t>Notes: The current leased lines charge control will be in place until September 2012. Therefore, we apply the price regulation in the LLCC until the year 2012/13. We assume that prices in 2013/14 will remain at the level of 2012/13</t>
  </si>
  <si>
    <t xml:space="preserve">Notes: </t>
  </si>
  <si>
    <t>When testing the differentials in 2013/14, we only account for those cost components where we believe there are differences in the incremental costs of provision between the two services.</t>
  </si>
  <si>
    <t>The wholesale ISDN30 prices proposed by our charge control under the "Equi proportional decrease" scenario calculated in sheet "Prices"</t>
  </si>
  <si>
    <t>The LRIC differential includes, in the case of Rentals, the Line Card and Line Test Equipment costs in 2013/14 estimated using our Cost Forecast model. In the case of Connections, it includes the differentials for Connection, Service Management Centre and Computing costs as calculated in our base year 2009/10 and increased by the percentage change in those cost components between 20089/10 and 2013/14 for ISDN30.</t>
  </si>
  <si>
    <t>The wholesale ISDN30 prices proposed by our charge control under the "Safeguard cap constraint" scenario calculated in sheet "Prices"</t>
  </si>
  <si>
    <t xml:space="preserve">In the OCS model, "Backhaul Fibre and Duct" costs are on a per circuit basis (i.e. They are not distance related as in the case of the RFSs costs). Here we apply an adjustment based on the usage factors of ISDN30 relative to PPCs in OCS model. </t>
  </si>
  <si>
    <t>Openreach has provided to us two different sources that estimate the BT Wholesale PPC Backhaul costs equivalent to the ISDN30 costs that sit with Openreach. This option allows to select one of the two sources. Both scenarios use the most conservative assumption (i.e. the one resulting in the larger differential).</t>
  </si>
  <si>
    <t>The share of PPC fault repairs that relate to network segments that are not equivalent to ISDN30. We used this to adjust the Service Centre costs - Assurance for PPCs</t>
  </si>
  <si>
    <t>This is the percentage increase in ISDN30 line cards' base year costs after the uplift applied in our Cost Forecast model</t>
  </si>
  <si>
    <t>This is the percentage increase in access electronics' base year costs after the uplift applied in our Cost Forecast model. We apply this uplift to both ISDN30 and PPCs</t>
  </si>
  <si>
    <t xml:space="preserve">Under the assumption of the two wholesale inputs being used to supply the same end user, differences in their costs relating to factors such as them being used for different retail purposes may disappear. Therefore, below the costs allocated to each cost component can be assumed to be the "same" or "different". If assumed to be the "same", any difference shown by the model would disappear if the costs allocated to each wholseale input reflected the costs of supplying the same end user. Therefore, in this case the differences in costs would not contribute to the LRIC differentials. If assumed to be "different", we assume that any difference in costs shown by the model would not disappear even if assuming that the two wholesale inputs were used to supply the same end user. In this case, the differences in costs contribute to the LRIC differential. These assumptions are taken into account in the calculation of the rental differentials ("CalcRental") </t>
  </si>
  <si>
    <t xml:space="preserve">Under the assumption of the two wholesale inputs being used to supply the same end user, differences in their costs relating to factors such as them being used for different retail purposes may disappear. Therefore, below the costs allocated to each cost component can be assumed to be the "same" or "different". If assumed to be the "same", any difference shown by the model would disappear if the costs allocated to each wholseale input reflected the costs of supplying the same end user. Therefore, in this case the differences in costs would not contribute to the LRIC differentials. If assumed to be "different", we assume that any difference in costs shown by the model would not disappear even if assuming that the two wholesale inputs were used to supply the same end user. In this case, the differences in costs contribute to the LRIC differential. These assumptions are taken into account in the calculation of the rental differentials ("CalcConn") </t>
  </si>
  <si>
    <t>These are the line card costs included in our Cost Forecast model for the year 2013/14. This information is used in our incremental cost differential test for the year 2013/14 (sheet "2013-2014").</t>
  </si>
  <si>
    <t>These are the Line Test Equipment costs included in our Cost Forecast model in the year 2013/14. This information is used in our incremental cost differential test for the year 2013/14 (sheet "2013-2014").</t>
  </si>
  <si>
    <t>We use our Cost Forecast model to calculate the % change (from 2009/10 to 2013/14) in the ISDN30 connection cost components that contribute to the differential between ISDN30 and PPCs (i.e. Connection, Service Management Centre costs and Computing). We use this % change to project the 2009/10 differential to 2013/14 (by multiplying the 2009/10 by this % change - see sheet '2013_2014')</t>
  </si>
  <si>
    <t>These are the stage 2 volumes estimated in our volumes forecast model</t>
  </si>
  <si>
    <t>Final combined basket X under each scenario and safeguard cap on connections</t>
  </si>
  <si>
    <t>Final value of X in the selected scenario</t>
  </si>
  <si>
    <t>Initial wholesale ISDN30 prices</t>
  </si>
  <si>
    <t>Connection volumes under the selected scenario</t>
  </si>
  <si>
    <t>Rental volumes under the selected scenario</t>
  </si>
  <si>
    <t>The ISDN30 Incremental Cost Model For Release (the 'Model') provided has been developed to help understand how we have estimated the long run incremental cost (LRIC) differences between the 2Mbit/s PPC and wholesale ISDN30 connection and rental services, as well as the differences between their prices. As set out in our consultation document, we have carried out this analysis to assure ourselves that the difference in the prices of these two wholesale inputs is not less than the difference between their incremental costs.</t>
  </si>
  <si>
    <t>Although the scope and flexibility of the Model is such that it includes data sets other than that specifically related to the proposed charge controlled services (for example PPC cost stacks that are not covered by the ISDN30 charge control are included), the aim has been to extend the scope only to the extent necessary to ensure that our charge control proposals give the right incentives for cost minimisation.</t>
  </si>
  <si>
    <t>All right, title and interest in the provided model constructed in Excel to understand the LRIC and price differentials between ISDN30 and PPCs are owned by OFCOM. Such title and interest is protected by United Kingdom intellectual property laws and international treaty provisions. While you may freely use the Model for the purposes for which it is provided, as set out in the introductory sections of the accompanying model documentation, it is not to be modified in any way or used for commercial gain or otherwise without the prior written permission of OFCOM. It should be read in conjuction with the information provided at Annex 10 of the Price Controls for Wholesale ISDN30 consultation document.</t>
  </si>
</sst>
</file>

<file path=xl/styles.xml><?xml version="1.0" encoding="utf-8"?>
<styleSheet xmlns="http://schemas.openxmlformats.org/spreadsheetml/2006/main">
  <numFmts count="62">
    <numFmt numFmtId="41" formatCode="_-* #,##0_-;\-* #,##0_-;_-* &quot;-&quot;_-;_-@_-"/>
    <numFmt numFmtId="44" formatCode="_-&quot;£&quot;* #,##0.00_-;\-&quot;£&quot;* #,##0.00_-;_-&quot;£&quot;* &quot;-&quot;??_-;_-@_-"/>
    <numFmt numFmtId="43" formatCode="_-* #,##0.00_-;\-* #,##0.00_-;_-* &quot;-&quot;??_-;_-@_-"/>
    <numFmt numFmtId="164" formatCode="#,##0_);[Red]\-#,##0_);0_);@_)"/>
    <numFmt numFmtId="165" formatCode="#,##0.00_);[Red]\-#,##0.00_);0.00_);@_)"/>
    <numFmt numFmtId="166" formatCode="#,##0%;[Red]\-#,##0%;0%;@_)"/>
    <numFmt numFmtId="167" formatCode="#,##0.0;[Red]\-#,##0.0;\-"/>
    <numFmt numFmtId="168" formatCode="#,##0.000;[Red]\(#,##0.000\);\-"/>
    <numFmt numFmtId="169" formatCode="0.0%"/>
    <numFmt numFmtId="170" formatCode="#,##0;[Red]\-#,##0;\-"/>
    <numFmt numFmtId="171" formatCode="#,##0;[Red]\(#,##0\);\-"/>
    <numFmt numFmtId="172" formatCode="#,##0.0%;[Red]\-#,##0.0%;\-"/>
    <numFmt numFmtId="173" formatCode="#,##0;\-#,##0;\-"/>
    <numFmt numFmtId="174" formatCode="0.0"/>
    <numFmt numFmtId="175" formatCode="&quot;£&quot;#,##0.00"/>
    <numFmt numFmtId="176" formatCode="0.000"/>
    <numFmt numFmtId="177" formatCode="_-[$€-2]* #,##0.00_-;\-[$€-2]* #,##0.00_-;_-[$€-2]* &quot;-&quot;??_-"/>
    <numFmt numFmtId="178" formatCode="_(* #,##0_);_(* \(#,##0\);_(* &quot;-&quot;_);_(@_)"/>
    <numFmt numFmtId="179" formatCode="_(* #,##0.00_);_(* \(#,##0.00\);_(* &quot;-&quot;??_);_(@_)"/>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0\)"/>
    <numFmt numFmtId="185" formatCode="#,##0_);[Red]\(#,##0\);&quot;-&quot;_);[Blue]&quot;Error-&quot;@"/>
    <numFmt numFmtId="186" formatCode="#,##0_ ;\(#,##0\);\-\ "/>
    <numFmt numFmtId="187" formatCode="#,##0.0_);[Red]\(#,##0.0\);&quot;-&quot;_);[Blue]&quot;Error-&quot;@"/>
    <numFmt numFmtId="188" formatCode="#,##0.00_);[Red]\(#,##0.00\);&quot;-&quot;_);[Blue]&quot;Error-&quot;@"/>
    <numFmt numFmtId="189" formatCode="&quot;£&quot;* #,##0_);[Red]&quot;£&quot;* \(#,##0\);&quot;£&quot;* &quot;-&quot;_);[Blue]&quot;Error-&quot;@"/>
    <numFmt numFmtId="190" formatCode="&quot;£&quot;* #,##0.0_);[Red]&quot;£&quot;* \(#,##0.0\);&quot;£&quot;* &quot;-&quot;_);[Blue]&quot;Error-&quot;@"/>
    <numFmt numFmtId="191" formatCode="&quot;£&quot;* #,##0.00_);[Red]&quot;£&quot;* \(#,##0.00\);&quot;£&quot;* &quot;-&quot;_);[Blue]&quot;Error-&quot;@"/>
    <numFmt numFmtId="192" formatCode="dd\ mmm\ yyyy_)"/>
    <numFmt numFmtId="193" formatCode="dd/mm/yy_)"/>
    <numFmt numFmtId="194" formatCode="0%_);[Red]\-0%_);0%_);[Blue]&quot;Error-&quot;@"/>
    <numFmt numFmtId="195" formatCode="0.0%_);[Red]\-0.0%_);0.0%_);[Blue]&quot;Error-&quot;@"/>
    <numFmt numFmtId="196" formatCode="0.00%_);[Red]\-0.00%_);0.00%_);[Blue]&quot;Error-&quot;@"/>
    <numFmt numFmtId="197" formatCode="_ * #,##0.00_)&quot;L&quot;_ ;_ * \(#,##0.00\)&quot;L&quot;_ ;_ * &quot;-&quot;??_)&quot;L&quot;_ ;_ @_ "/>
    <numFmt numFmtId="198" formatCode="#,##0.0_);\(#,##0.0\)"/>
    <numFmt numFmtId="199" formatCode="#,##0_%_);\(#,##0\)_%;#,##0_%_);@_%_)"/>
    <numFmt numFmtId="200" formatCode="#,##0_%_);\(#,##0\)_%;**;@_%_)"/>
    <numFmt numFmtId="201" formatCode="&quot;$&quot;#,##0_%_);\(&quot;$&quot;#,##0\)_%;&quot;$&quot;#,##0_%_);@_%_)"/>
    <numFmt numFmtId="202" formatCode="_-* #,##0.0_-;\-* #,##0.0_-;_-* &quot;-&quot;?_-;_-@_-"/>
    <numFmt numFmtId="203" formatCode="_(&quot;$&quot;* #,##0_);_(&quot;$&quot;* \(#,##0\);_(&quot;$&quot;* &quot;-&quot;_);_(@_)"/>
    <numFmt numFmtId="204" formatCode="_(&quot;$&quot;* #,##0.00_);_(&quot;$&quot;* \(#,##0.00\);_(&quot;$&quot;* &quot;-&quot;??_);_(@_)"/>
    <numFmt numFmtId="205" formatCode="#,##0_ ;[Red]\(#,##0\)"/>
    <numFmt numFmtId="206" formatCode="000"/>
    <numFmt numFmtId="207" formatCode="m/d/yy_%_)"/>
    <numFmt numFmtId="208" formatCode="0_%_);\(0\)_%;0_%_);@_%_)"/>
    <numFmt numFmtId="209" formatCode="#,##0_ ;[Red]\(#,##0\);\-\ "/>
    <numFmt numFmtId="210" formatCode="0.0\%_);\(0.0\%\);0.0\%_);@_%_)"/>
    <numFmt numFmtId="211" formatCode="_-* #,##0_ _F_-;\-* #,##0_ _F_-;_-* &quot;-&quot;_ _F_-;_-@_-"/>
    <numFmt numFmtId="212" formatCode="_-* #,##0.00_ _F_-;\-* #,##0.00_ _F_-;_-* &quot;-&quot;??_ _F_-;_-@_-"/>
    <numFmt numFmtId="213" formatCode="_-* #,##0&quot; F&quot;_-;\-* #,##0&quot; F&quot;_-;_-* &quot;-&quot;&quot; F&quot;_-;_-@_-"/>
    <numFmt numFmtId="214" formatCode="_-* #,##0.00&quot; F&quot;_-;\-* #,##0.00&quot; F&quot;_-;_-* &quot;-&quot;??&quot; F&quot;_-;_-@_-"/>
    <numFmt numFmtId="215" formatCode="0.0\x_)_);&quot;NM&quot;_x_)_);0.0\x_)_);@_%_)"/>
    <numFmt numFmtId="216" formatCode="_(* #,##0.0_);_(* \(#,##0.0\);_(* &quot;-&quot;?_);_(@_)"/>
    <numFmt numFmtId="217" formatCode="General_)"/>
    <numFmt numFmtId="218" formatCode="0.0\x"/>
    <numFmt numFmtId="219" formatCode="0\ \ ;\(0\)\ \ \ "/>
    <numFmt numFmtId="220" formatCode="0.00000000000%"/>
    <numFmt numFmtId="221" formatCode="0.0000000000000%"/>
    <numFmt numFmtId="222" formatCode="0.000%"/>
  </numFmts>
  <fonts count="115">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16"/>
      <name val="Arial"/>
      <family val="2"/>
    </font>
    <font>
      <sz val="9"/>
      <name val="Verdana"/>
      <family val="2"/>
    </font>
    <font>
      <sz val="8"/>
      <color indexed="10"/>
      <name val="Arial"/>
      <family val="2"/>
    </font>
    <font>
      <sz val="10"/>
      <name val="Arial"/>
      <family val="2"/>
    </font>
    <font>
      <b/>
      <sz val="11"/>
      <name val="Arial"/>
      <family val="2"/>
    </font>
    <font>
      <sz val="11"/>
      <name val="Arial"/>
      <family val="2"/>
    </font>
    <font>
      <b/>
      <sz val="8"/>
      <name val="Arial"/>
      <family val="2"/>
    </font>
    <font>
      <sz val="9"/>
      <color indexed="8"/>
      <name val="Arial"/>
      <family val="2"/>
    </font>
    <font>
      <sz val="9"/>
      <color indexed="12"/>
      <name val="Arial"/>
      <family val="2"/>
    </font>
    <font>
      <sz val="9"/>
      <color indexed="16"/>
      <name val="Arial"/>
      <family val="2"/>
    </font>
    <font>
      <b/>
      <sz val="10"/>
      <name val="Arial"/>
      <family val="2"/>
    </font>
    <font>
      <sz val="9"/>
      <color indexed="18"/>
      <name val="Arial"/>
      <family val="2"/>
    </font>
    <font>
      <b/>
      <sz val="9"/>
      <color indexed="12"/>
      <name val="Arial"/>
      <family val="2"/>
    </font>
    <font>
      <sz val="10"/>
      <color indexed="60"/>
      <name val="Arial"/>
      <family val="2"/>
    </font>
    <font>
      <sz val="8"/>
      <color indexed="54"/>
      <name val="Arial"/>
      <family val="2"/>
    </font>
    <font>
      <b/>
      <i/>
      <sz val="9"/>
      <color indexed="23"/>
      <name val="Arial"/>
      <family val="2"/>
    </font>
    <font>
      <sz val="12"/>
      <name val="Times New Roman"/>
      <family val="1"/>
    </font>
    <font>
      <sz val="10"/>
      <color indexed="24"/>
      <name val="Arial"/>
      <family val="2"/>
    </font>
    <font>
      <sz val="9"/>
      <color indexed="54"/>
      <name val="Arial"/>
      <family val="2"/>
    </font>
    <font>
      <sz val="8"/>
      <color indexed="60"/>
      <name val="Arial"/>
      <family val="2"/>
    </font>
    <font>
      <u/>
      <sz val="8"/>
      <color indexed="60"/>
      <name val="Arial"/>
      <family val="2"/>
    </font>
    <font>
      <sz val="9"/>
      <name val="Calibri"/>
      <family val="2"/>
    </font>
    <font>
      <b/>
      <u/>
      <sz val="8"/>
      <name val="Arial"/>
      <family val="2"/>
    </font>
    <font>
      <sz val="12"/>
      <name val="??"/>
      <charset val="134"/>
    </font>
    <font>
      <sz val="11"/>
      <color indexed="8"/>
      <name val="Calibri"/>
      <family val="2"/>
    </font>
    <font>
      <sz val="10"/>
      <color indexed="8"/>
      <name val="MS Sans Serif"/>
      <family val="2"/>
    </font>
    <font>
      <sz val="10"/>
      <name val="Helv"/>
      <charset val="204"/>
    </font>
    <font>
      <sz val="10"/>
      <name val="MS Sans Serif"/>
      <family val="2"/>
    </font>
    <font>
      <sz val="10"/>
      <name val="Helv"/>
      <family val="2"/>
    </font>
    <font>
      <sz val="10"/>
      <name val="Geneva"/>
      <family val="2"/>
    </font>
    <font>
      <sz val="11"/>
      <name val="µ¸¿ò"/>
      <family val="3"/>
    </font>
    <font>
      <sz val="12"/>
      <name val="Tms Rmn"/>
      <family val="1"/>
    </font>
    <font>
      <b/>
      <i/>
      <sz val="14"/>
      <name val="Times New Roman"/>
      <family val="1"/>
    </font>
    <font>
      <sz val="12"/>
      <name val="¹ÙÅÁÃ¼"/>
      <family val="1"/>
    </font>
    <font>
      <sz val="7"/>
      <color indexed="10"/>
      <name val="Helvetica"/>
      <family val="2"/>
    </font>
    <font>
      <sz val="12"/>
      <name val="宋体"/>
      <charset val="134"/>
    </font>
    <font>
      <sz val="8"/>
      <name val="Times New Roman"/>
      <family val="1"/>
    </font>
    <font>
      <sz val="8"/>
      <name val="Palatino"/>
      <family val="1"/>
    </font>
    <font>
      <sz val="10"/>
      <name val="MS Serif"/>
      <family val="1"/>
    </font>
    <font>
      <sz val="10"/>
      <name val="Times New Roman"/>
      <family val="1"/>
    </font>
    <font>
      <b/>
      <sz val="14"/>
      <name val="Comic Sans MS"/>
      <family val="4"/>
    </font>
    <font>
      <sz val="7"/>
      <name val="Palatino"/>
      <family val="1"/>
    </font>
    <font>
      <sz val="10"/>
      <color indexed="23"/>
      <name val="Arial"/>
      <family val="2"/>
    </font>
    <font>
      <sz val="11"/>
      <color indexed="23"/>
      <name val="Arial"/>
      <family val="2"/>
    </font>
    <font>
      <sz val="6"/>
      <color indexed="16"/>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i/>
      <sz val="8"/>
      <color indexed="62"/>
      <name val="Arial"/>
      <family val="2"/>
    </font>
    <font>
      <sz val="8"/>
      <color indexed="20"/>
      <name val="Arial"/>
      <family val="2"/>
    </font>
    <font>
      <sz val="10"/>
      <name val="Helv"/>
    </font>
    <font>
      <sz val="10"/>
      <color indexed="25"/>
      <name val="Helvetica"/>
      <family val="2"/>
    </font>
    <font>
      <b/>
      <sz val="18"/>
      <name val="Times New Roman"/>
      <family val="1"/>
    </font>
    <font>
      <sz val="10"/>
      <name val="Geneva"/>
    </font>
    <font>
      <sz val="11"/>
      <color indexed="24"/>
      <name val="Arial"/>
      <family val="2"/>
    </font>
    <font>
      <sz val="7"/>
      <name val="Small Fonts"/>
      <family val="2"/>
    </font>
    <font>
      <b/>
      <i/>
      <sz val="16"/>
      <name val="Helv"/>
    </font>
    <font>
      <sz val="10"/>
      <color indexed="16"/>
      <name val="Helvetica-Black"/>
    </font>
    <font>
      <b/>
      <sz val="8"/>
      <name val="Arial Narrow"/>
      <family val="2"/>
    </font>
    <font>
      <b/>
      <sz val="9"/>
      <name val="Palatino"/>
      <family val="1"/>
    </font>
    <font>
      <sz val="9"/>
      <color indexed="21"/>
      <name val="Helvetica-Black"/>
    </font>
    <font>
      <sz val="9"/>
      <name val="Helvetica-Black"/>
    </font>
    <font>
      <sz val="7"/>
      <name val="Arial"/>
      <family val="2"/>
    </font>
    <font>
      <b/>
      <sz val="16"/>
      <color indexed="9"/>
      <name val="Arial"/>
      <family val="2"/>
    </font>
    <font>
      <b/>
      <sz val="16"/>
      <color indexed="24"/>
      <name val="Univers 45 Light"/>
      <family val="2"/>
    </font>
    <font>
      <b/>
      <i/>
      <sz val="8"/>
      <name val="Helv"/>
    </font>
    <font>
      <sz val="10"/>
      <name val="Arial"/>
      <family val="2"/>
    </font>
    <font>
      <sz val="11"/>
      <name val="Calibri"/>
      <family val="2"/>
    </font>
    <font>
      <u/>
      <sz val="8"/>
      <color indexed="10"/>
      <name val="Arial"/>
      <family val="2"/>
    </font>
    <font>
      <sz val="11"/>
      <color theme="1"/>
      <name val="Calibri"/>
      <family val="2"/>
      <scheme val="minor"/>
    </font>
    <font>
      <i/>
      <sz val="9"/>
      <color rgb="FF969696"/>
      <name val="Arial"/>
      <family val="2"/>
    </font>
    <font>
      <sz val="9"/>
      <color rgb="FF969696"/>
      <name val="Arial"/>
      <family val="2"/>
    </font>
    <font>
      <sz val="10"/>
      <color rgb="FF7F7F7F"/>
      <name val="Arial"/>
      <family val="2"/>
    </font>
    <font>
      <b/>
      <sz val="15"/>
      <color theme="3"/>
      <name val="Calibri"/>
      <family val="2"/>
      <scheme val="minor"/>
    </font>
    <font>
      <b/>
      <sz val="20"/>
      <color theme="3"/>
      <name val="Arial"/>
      <family val="2"/>
    </font>
    <font>
      <b/>
      <sz val="12"/>
      <color theme="3"/>
      <name val="Arial"/>
      <family val="2"/>
    </font>
    <font>
      <b/>
      <sz val="10"/>
      <color theme="3"/>
      <name val="Arial"/>
      <family val="2"/>
    </font>
    <font>
      <sz val="8"/>
      <color theme="5" tint="-0.24994659260841701"/>
      <name val="Arial"/>
      <family val="2"/>
    </font>
    <font>
      <sz val="8"/>
      <color theme="1"/>
      <name val="Calibri"/>
      <family val="2"/>
      <scheme val="minor"/>
    </font>
    <font>
      <sz val="9"/>
      <name val="Calibri"/>
      <family val="2"/>
      <scheme val="minor"/>
    </font>
    <font>
      <sz val="10"/>
      <color rgb="FF3333FF"/>
      <name val="Arial"/>
      <family val="2"/>
    </font>
    <font>
      <b/>
      <i/>
      <sz val="18"/>
      <color rgb="FF7030A0"/>
      <name val="Arial"/>
      <family val="2"/>
    </font>
    <font>
      <b/>
      <i/>
      <sz val="11"/>
      <color rgb="FF7030A0"/>
      <name val="Arial"/>
      <family val="2"/>
    </font>
    <font>
      <sz val="9"/>
      <color rgb="FF3333FF"/>
      <name val="Arial"/>
      <family val="2"/>
    </font>
    <font>
      <sz val="8"/>
      <color rgb="FF804000"/>
      <name val="Arial"/>
      <family val="2"/>
    </font>
    <font>
      <b/>
      <sz val="9"/>
      <name val="Calibri"/>
      <family val="2"/>
      <scheme val="minor"/>
    </font>
    <font>
      <sz val="10"/>
      <color theme="3"/>
      <name val="Arial"/>
      <family val="2"/>
    </font>
    <font>
      <sz val="10"/>
      <color rgb="FFFF0000"/>
      <name val="Arial"/>
      <family val="2"/>
    </font>
    <font>
      <sz val="9"/>
      <color rgb="FFFF0000"/>
      <name val="Arial"/>
      <family val="2"/>
    </font>
    <font>
      <b/>
      <sz val="9"/>
      <color rgb="FFFF0000"/>
      <name val="Arial"/>
      <family val="2"/>
    </font>
    <font>
      <sz val="9"/>
      <color rgb="FF000000"/>
      <name val="Arial"/>
      <family val="2"/>
    </font>
    <font>
      <sz val="11"/>
      <color theme="1"/>
      <name val="Arial"/>
      <family val="2"/>
    </font>
    <font>
      <sz val="9"/>
      <color rgb="FF0000FF"/>
      <name val="Arial"/>
      <family val="2"/>
    </font>
    <font>
      <u/>
      <sz val="10"/>
      <color theme="3"/>
      <name val="Arial"/>
      <family val="2"/>
    </font>
    <font>
      <sz val="9"/>
      <color theme="1"/>
      <name val="Arial"/>
      <family val="2"/>
    </font>
    <font>
      <sz val="8"/>
      <color rgb="FF996633"/>
      <name val="Arial"/>
      <family val="2"/>
    </font>
    <font>
      <b/>
      <sz val="18"/>
      <color theme="3"/>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s>
  <fills count="40">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8"/>
        <bgColor indexed="64"/>
      </patternFill>
    </fill>
    <fill>
      <patternFill patternType="solid">
        <fgColor indexed="11"/>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15"/>
        <bgColor indexed="64"/>
      </patternFill>
    </fill>
    <fill>
      <patternFill patternType="solid">
        <fgColor indexed="23"/>
        <bgColor indexed="64"/>
      </patternFill>
    </fill>
    <fill>
      <patternFill patternType="solid">
        <fgColor indexed="41"/>
        <bgColor indexed="64"/>
      </patternFill>
    </fill>
    <fill>
      <patternFill patternType="solid">
        <fgColor indexed="30"/>
        <bgColor indexed="64"/>
      </patternFill>
    </fill>
    <fill>
      <patternFill patternType="solid">
        <fgColor indexed="13"/>
        <bgColor indexed="15"/>
      </patternFill>
    </fill>
    <fill>
      <patternFill patternType="solid">
        <fgColor indexed="9"/>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rgb="FFE0E0E0"/>
        <bgColor indexed="64"/>
      </patternFill>
    </fill>
    <fill>
      <patternFill patternType="solid">
        <fgColor rgb="FFCCFFFF"/>
        <bgColor indexed="64"/>
      </patternFill>
    </fill>
    <fill>
      <patternFill patternType="solid">
        <fgColor theme="7" tint="0.79998168889431442"/>
        <bgColor indexed="64"/>
      </patternFill>
    </fill>
    <fill>
      <patternFill patternType="solid">
        <fgColor theme="6" tint="0.79998168889431442"/>
        <bgColor indexed="26"/>
      </patternFill>
    </fill>
    <fill>
      <patternFill patternType="solid">
        <fgColor rgb="FFE8D9E8"/>
        <bgColor indexed="64"/>
      </patternFill>
    </fill>
    <fill>
      <gradientFill degree="45">
        <stop position="0">
          <color rgb="FFF7941D"/>
        </stop>
        <stop position="0.5">
          <color rgb="FFFFF200"/>
        </stop>
        <stop position="1">
          <color rgb="FFF7941D"/>
        </stop>
      </gradientFill>
    </fill>
    <fill>
      <patternFill patternType="solid">
        <fgColor theme="0" tint="-4.9989318521683403E-2"/>
        <bgColor indexed="26"/>
      </patternFill>
    </fill>
    <fill>
      <patternFill patternType="solid">
        <fgColor rgb="FF00FFFF"/>
        <bgColor indexed="64"/>
      </patternFill>
    </fill>
    <fill>
      <patternFill patternType="solid">
        <fgColor theme="2" tint="-0.49998474074526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s>
  <borders count="76">
    <border>
      <left/>
      <right/>
      <top/>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57"/>
      </left>
      <right style="hair">
        <color indexed="57"/>
      </right>
      <top style="hair">
        <color indexed="57"/>
      </top>
      <bottom style="hair">
        <color indexed="57"/>
      </bottom>
      <diagonal/>
    </border>
    <border>
      <left style="thin">
        <color indexed="57"/>
      </left>
      <right style="thin">
        <color indexed="57"/>
      </right>
      <top style="dotted">
        <color indexed="57"/>
      </top>
      <bottom style="dotted">
        <color indexed="57"/>
      </bottom>
      <diagonal/>
    </border>
    <border>
      <left style="dotted">
        <color indexed="59"/>
      </left>
      <right style="dotted">
        <color indexed="59"/>
      </right>
      <top style="dotted">
        <color indexed="59"/>
      </top>
      <bottom style="dotted">
        <color indexed="59"/>
      </bottom>
      <diagonal/>
    </border>
    <border>
      <left style="dotted">
        <color indexed="57"/>
      </left>
      <right style="dotted">
        <color indexed="57"/>
      </right>
      <top style="thin">
        <color indexed="57"/>
      </top>
      <bottom style="thin">
        <color indexed="57"/>
      </bottom>
      <diagonal/>
    </border>
    <border>
      <left style="dotted">
        <color indexed="57"/>
      </left>
      <right style="dotted">
        <color indexed="57"/>
      </right>
      <top style="dotted">
        <color indexed="57"/>
      </top>
      <bottom style="dotted">
        <color indexed="57"/>
      </bottom>
      <diagonal/>
    </border>
    <border>
      <left style="hair">
        <color indexed="55"/>
      </left>
      <right style="hair">
        <color indexed="55"/>
      </right>
      <top style="hair">
        <color indexed="55"/>
      </top>
      <bottom style="hair">
        <color indexed="55"/>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style="thin">
        <color indexed="63"/>
      </left>
      <right style="thin">
        <color indexed="63"/>
      </right>
      <top style="thin">
        <color indexed="63"/>
      </top>
      <bottom style="thin">
        <color indexed="63"/>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right/>
      <top style="medium">
        <color indexed="64"/>
      </top>
      <bottom style="medium">
        <color indexed="64"/>
      </bottom>
      <diagonal/>
    </border>
    <border>
      <left/>
      <right/>
      <top style="thin">
        <color indexed="64"/>
      </top>
      <bottom style="thin">
        <color indexed="64"/>
      </bottom>
      <diagonal/>
    </border>
    <border>
      <left style="dashed">
        <color indexed="28"/>
      </left>
      <right style="dashed">
        <color indexed="28"/>
      </right>
      <top style="dashed">
        <color indexed="28"/>
      </top>
      <bottom style="dashed">
        <color indexed="28"/>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tted">
        <color indexed="23"/>
      </left>
      <right style="dotted">
        <color indexed="23"/>
      </right>
      <top style="dotted">
        <color indexed="23"/>
      </top>
      <bottom style="dotted">
        <color indexed="23"/>
      </bottom>
      <diagonal/>
    </border>
    <border>
      <left style="dotted">
        <color indexed="23"/>
      </left>
      <right style="dotted">
        <color indexed="23"/>
      </right>
      <top style="thin">
        <color indexed="23"/>
      </top>
      <bottom style="thin">
        <color indexed="23"/>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bottom style="thin">
        <color indexed="64"/>
      </bottom>
      <diagonal/>
    </border>
    <border>
      <left style="thin">
        <color indexed="64"/>
      </left>
      <right/>
      <top/>
      <bottom/>
      <diagonal/>
    </border>
    <border>
      <left/>
      <right/>
      <top style="medium">
        <color indexed="63"/>
      </top>
      <bottom style="double">
        <color indexed="63"/>
      </bottom>
      <diagonal/>
    </border>
    <border>
      <left style="hair">
        <color indexed="55"/>
      </left>
      <right style="hair">
        <color indexed="55"/>
      </right>
      <top style="hair">
        <color indexed="55"/>
      </top>
      <bottom/>
      <diagonal/>
    </border>
    <border>
      <left/>
      <right/>
      <top style="hair">
        <color indexed="55"/>
      </top>
      <bottom/>
      <diagonal/>
    </border>
    <border>
      <left/>
      <right/>
      <top style="dotted">
        <color indexed="59"/>
      </top>
      <bottom/>
      <diagonal/>
    </border>
    <border>
      <left/>
      <right/>
      <top/>
      <bottom style="hair">
        <color indexed="55"/>
      </bottom>
      <diagonal/>
    </border>
    <border>
      <left/>
      <right/>
      <top/>
      <bottom style="dotted">
        <color indexed="59"/>
      </bottom>
      <diagonal/>
    </border>
    <border>
      <left style="hair">
        <color indexed="55"/>
      </left>
      <right/>
      <top style="hair">
        <color indexed="55"/>
      </top>
      <bottom style="hair">
        <color indexed="55"/>
      </bottom>
      <diagonal/>
    </border>
    <border>
      <left style="hair">
        <color theme="9"/>
      </left>
      <right style="hair">
        <color theme="9"/>
      </right>
      <top style="hair">
        <color theme="9"/>
      </top>
      <bottom style="hair">
        <color theme="9"/>
      </bottom>
      <diagonal/>
    </border>
    <border>
      <left style="hair">
        <color theme="9"/>
      </left>
      <right style="hair">
        <color theme="9"/>
      </right>
      <top style="thin">
        <color theme="9"/>
      </top>
      <bottom style="thin">
        <color theme="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tted">
        <color rgb="FF800080"/>
      </left>
      <right style="dotted">
        <color rgb="FF800080"/>
      </right>
      <top style="dotted">
        <color rgb="FF800080"/>
      </top>
      <bottom style="dotted">
        <color rgb="FF800080"/>
      </bottom>
      <diagonal/>
    </border>
    <border>
      <left/>
      <right/>
      <top/>
      <bottom style="thick">
        <color theme="4"/>
      </bottom>
      <diagonal/>
    </border>
    <border>
      <left/>
      <right/>
      <top/>
      <bottom style="thick">
        <color theme="3"/>
      </bottom>
      <diagonal/>
    </border>
    <border>
      <left/>
      <right/>
      <top/>
      <bottom style="thick">
        <color theme="4" tint="0.499984740745262"/>
      </bottom>
      <diagonal/>
    </border>
    <border>
      <left/>
      <right/>
      <top/>
      <bottom style="medium">
        <color theme="4" tint="0.39997558519241921"/>
      </bottom>
      <diagonal/>
    </border>
    <border>
      <left style="thin">
        <color rgb="FF660066"/>
      </left>
      <right style="thin">
        <color rgb="FF660066"/>
      </right>
      <top style="thin">
        <color rgb="FF660066"/>
      </top>
      <bottom style="thin">
        <color rgb="FF660066"/>
      </bottom>
      <diagonal/>
    </border>
    <border>
      <left style="dotted">
        <color rgb="FF660066"/>
      </left>
      <right style="dotted">
        <color rgb="FF660066"/>
      </right>
      <top style="dotted">
        <color rgb="FF660066"/>
      </top>
      <bottom style="dotted">
        <color rgb="FF660066"/>
      </bottom>
      <diagonal/>
    </border>
    <border>
      <left style="hair">
        <color rgb="FF660066"/>
      </left>
      <right style="hair">
        <color rgb="FF660066"/>
      </right>
      <top style="hair">
        <color rgb="FF660066"/>
      </top>
      <bottom style="hair">
        <color rgb="FF660066"/>
      </bottom>
      <diagonal/>
    </border>
    <border>
      <left style="mediumDashed">
        <color rgb="FFC90044"/>
      </left>
      <right style="mediumDashed">
        <color rgb="FFC90044"/>
      </right>
      <top style="mediumDashed">
        <color rgb="FFC90044"/>
      </top>
      <bottom style="mediumDashed">
        <color rgb="FFC90044"/>
      </bottom>
      <diagonal/>
    </border>
    <border>
      <left style="dotted">
        <color rgb="FF660066"/>
      </left>
      <right style="dotted">
        <color rgb="FF660066"/>
      </right>
      <top/>
      <bottom style="dotted">
        <color rgb="FF660066"/>
      </bottom>
      <diagonal/>
    </border>
    <border>
      <left style="thin">
        <color theme="1"/>
      </left>
      <right style="thin">
        <color theme="1"/>
      </right>
      <top style="thin">
        <color theme="1"/>
      </top>
      <bottom style="thin">
        <color theme="1"/>
      </bottom>
      <diagonal/>
    </border>
    <border>
      <left/>
      <right style="dotted">
        <color rgb="FF660066"/>
      </right>
      <top style="dotted">
        <color rgb="FF660066"/>
      </top>
      <bottom style="dotted">
        <color rgb="FF660066"/>
      </bottom>
      <diagonal/>
    </border>
    <border>
      <left style="thick">
        <color theme="2" tint="-0.499984740745262"/>
      </left>
      <right/>
      <top/>
      <bottom/>
      <diagonal/>
    </border>
    <border>
      <left/>
      <right/>
      <top/>
      <bottom style="thick">
        <color theme="2" tint="-0.499984740745262"/>
      </bottom>
      <diagonal/>
    </border>
    <border>
      <left style="medium">
        <color rgb="FF660066"/>
      </left>
      <right style="medium">
        <color rgb="FF660066"/>
      </right>
      <top/>
      <bottom/>
      <diagonal/>
    </border>
    <border>
      <left style="thick">
        <color rgb="FF660066"/>
      </left>
      <right style="thick">
        <color rgb="FF660066"/>
      </right>
      <top style="thick">
        <color rgb="FF660066"/>
      </top>
      <bottom style="thick">
        <color rgb="FF660066"/>
      </bottom>
      <diagonal/>
    </border>
    <border>
      <left style="medium">
        <color rgb="FF660066"/>
      </left>
      <right style="medium">
        <color rgb="FF660066"/>
      </right>
      <top style="dotted">
        <color indexed="59"/>
      </top>
      <bottom style="dotted">
        <color indexed="59"/>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right/>
      <top/>
      <bottom style="medium">
        <color theme="3"/>
      </bottom>
      <diagonal/>
    </border>
    <border>
      <left style="medium">
        <color rgb="FF660066"/>
      </left>
      <right style="medium">
        <color rgb="FF660066"/>
      </right>
      <top style="dotted">
        <color rgb="FF655F39"/>
      </top>
      <bottom style="dotted">
        <color indexed="59"/>
      </bottom>
      <diagonal/>
    </border>
    <border>
      <left style="thin">
        <color rgb="FF660066"/>
      </left>
      <right style="thin">
        <color rgb="FF660066"/>
      </right>
      <top/>
      <bottom style="thin">
        <color rgb="FF660066"/>
      </bottom>
      <diagonal/>
    </border>
    <border>
      <left/>
      <right style="dotted">
        <color rgb="FF660066"/>
      </right>
      <top/>
      <bottom style="dotted">
        <color rgb="FF660066"/>
      </bottom>
      <diagonal/>
    </border>
    <border>
      <left/>
      <right/>
      <top style="thin">
        <color rgb="FF660066"/>
      </top>
      <bottom style="thin">
        <color rgb="FF660066"/>
      </bottom>
      <diagonal/>
    </border>
    <border>
      <left/>
      <right/>
      <top style="thin">
        <color rgb="FF660066"/>
      </top>
      <bottom/>
      <diagonal/>
    </border>
    <border>
      <left style="medium">
        <color rgb="FF660066"/>
      </left>
      <right style="medium">
        <color rgb="FF660066"/>
      </right>
      <top style="dotted">
        <color indexed="59"/>
      </top>
      <bottom style="dotted">
        <color theme="2" tint="-0.499984740745262"/>
      </bottom>
      <diagonal/>
    </border>
    <border>
      <left/>
      <right/>
      <top/>
      <bottom style="dashed">
        <color theme="3"/>
      </bottom>
      <diagonal/>
    </border>
    <border>
      <left style="hair">
        <color indexed="55"/>
      </left>
      <right style="medium">
        <color rgb="FF660066"/>
      </right>
      <top style="hair">
        <color indexed="55"/>
      </top>
      <bottom style="hair">
        <color indexed="55"/>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26">
    <xf numFmtId="0" fontId="0" fillId="0" borderId="0">
      <alignment vertical="center"/>
    </xf>
    <xf numFmtId="0" fontId="24"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xf numFmtId="0" fontId="11" fillId="0" borderId="0"/>
    <xf numFmtId="0" fontId="11" fillId="0" borderId="0"/>
    <xf numFmtId="177"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8" fontId="31" fillId="0" borderId="0" applyFont="0" applyFill="0" applyBorder="0" applyAlignment="0" applyProtection="0"/>
    <xf numFmtId="179" fontId="31" fillId="0" borderId="0" applyFont="0" applyFill="0" applyBorder="0" applyAlignment="0" applyProtection="0"/>
    <xf numFmtId="177" fontId="31" fillId="0" borderId="0"/>
    <xf numFmtId="177" fontId="11" fillId="0" borderId="0"/>
    <xf numFmtId="0" fontId="3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7" fontId="11" fillId="0" borderId="0"/>
    <xf numFmtId="0" fontId="11" fillId="0" borderId="0" applyNumberFormat="0" applyFill="0" applyBorder="0" applyAlignment="0" applyProtection="0"/>
    <xf numFmtId="0" fontId="11" fillId="0" borderId="0" applyNumberFormat="0" applyFill="0" applyBorder="0" applyAlignment="0" applyProtection="0"/>
    <xf numFmtId="0" fontId="24" fillId="0" borderId="0"/>
    <xf numFmtId="0" fontId="11" fillId="0" borderId="0"/>
    <xf numFmtId="0" fontId="11" fillId="0" borderId="0"/>
    <xf numFmtId="0" fontId="11" fillId="0" borderId="0" applyNumberFormat="0" applyFill="0" applyBorder="0" applyAlignment="0" applyProtection="0"/>
    <xf numFmtId="177" fontId="11" fillId="0" borderId="0"/>
    <xf numFmtId="177" fontId="24" fillId="0" borderId="0"/>
    <xf numFmtId="177" fontId="11" fillId="0" borderId="0" applyNumberFormat="0" applyFill="0" applyBorder="0" applyAlignment="0" applyProtection="0"/>
    <xf numFmtId="177" fontId="11" fillId="0" borderId="0" applyNumberFormat="0" applyFill="0" applyBorder="0" applyAlignment="0" applyProtection="0"/>
    <xf numFmtId="177" fontId="11" fillId="0" borderId="0" applyNumberFormat="0" applyFill="0" applyBorder="0" applyAlignment="0" applyProtection="0"/>
    <xf numFmtId="177" fontId="11" fillId="0" borderId="0" applyNumberFormat="0" applyFill="0" applyBorder="0" applyAlignment="0" applyProtection="0"/>
    <xf numFmtId="177" fontId="11" fillId="0" borderId="0" applyNumberFormat="0" applyFill="0" applyBorder="0" applyAlignment="0" applyProtection="0"/>
    <xf numFmtId="177"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7" fontId="11" fillId="0" borderId="0"/>
    <xf numFmtId="0" fontId="11" fillId="0" borderId="0" applyNumberFormat="0" applyFill="0" applyBorder="0" applyAlignment="0" applyProtection="0"/>
    <xf numFmtId="0" fontId="11" fillId="0" borderId="0" applyNumberFormat="0" applyFill="0" applyBorder="0" applyAlignment="0" applyProtection="0"/>
    <xf numFmtId="177" fontId="11" fillId="0" borderId="0" applyNumberFormat="0" applyFill="0" applyBorder="0" applyAlignment="0" applyProtection="0"/>
    <xf numFmtId="177" fontId="11" fillId="0" borderId="0"/>
    <xf numFmtId="177" fontId="11" fillId="0" borderId="0"/>
    <xf numFmtId="177" fontId="11" fillId="0" borderId="0"/>
    <xf numFmtId="0" fontId="11" fillId="0" borderId="0" applyNumberFormat="0" applyFill="0" applyBorder="0" applyAlignment="0" applyProtection="0"/>
    <xf numFmtId="0" fontId="11" fillId="0" borderId="0" applyNumberFormat="0" applyFill="0" applyBorder="0" applyAlignment="0" applyProtection="0"/>
    <xf numFmtId="177" fontId="11" fillId="0" borderId="0" applyFill="0" applyBorder="0" applyAlignment="0" applyProtection="0"/>
    <xf numFmtId="0" fontId="11" fillId="0" borderId="0"/>
    <xf numFmtId="177" fontId="11" fillId="0" borderId="0"/>
    <xf numFmtId="177" fontId="33" fillId="0" borderId="0" applyNumberFormat="0" applyFont="0" applyFill="0" applyBorder="0" applyAlignment="0" applyProtection="0"/>
    <xf numFmtId="177" fontId="11" fillId="0" borderId="0"/>
    <xf numFmtId="177" fontId="34" fillId="0" borderId="0"/>
    <xf numFmtId="38" fontId="35" fillId="0" borderId="0" applyFont="0" applyFill="0" applyBorder="0" applyAlignment="0" applyProtection="0"/>
    <xf numFmtId="177" fontId="11" fillId="0" borderId="0"/>
    <xf numFmtId="0" fontId="11" fillId="0" borderId="0"/>
    <xf numFmtId="0" fontId="11" fillId="0" borderId="0"/>
    <xf numFmtId="177" fontId="33"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applyNumberFormat="0" applyFill="0" applyBorder="0" applyAlignment="0" applyProtection="0"/>
    <xf numFmtId="0" fontId="11" fillId="0" borderId="0" applyNumberFormat="0" applyFill="0" applyBorder="0" applyAlignment="0" applyProtection="0"/>
    <xf numFmtId="177" fontId="1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177"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6" fillId="0" borderId="0"/>
    <xf numFmtId="177" fontId="34" fillId="0" borderId="0"/>
    <xf numFmtId="177" fontId="37" fillId="0" borderId="0"/>
    <xf numFmtId="177" fontId="11" fillId="0" borderId="0"/>
    <xf numFmtId="177" fontId="11" fillId="0" borderId="0" applyNumberFormat="0" applyFill="0" applyBorder="0" applyAlignment="0" applyProtection="0"/>
    <xf numFmtId="177" fontId="11" fillId="0" borderId="0"/>
    <xf numFmtId="177" fontId="11" fillId="0" borderId="0"/>
    <xf numFmtId="177" fontId="11" fillId="0" borderId="0"/>
    <xf numFmtId="0" fontId="11" fillId="0" borderId="0"/>
    <xf numFmtId="0" fontId="2" fillId="0" borderId="0"/>
    <xf numFmtId="0" fontId="2" fillId="0" borderId="0"/>
    <xf numFmtId="177" fontId="24" fillId="0" borderId="0"/>
    <xf numFmtId="0" fontId="24" fillId="0" borderId="0"/>
    <xf numFmtId="16" fontId="35" fillId="0" borderId="0">
      <alignment horizontal="center"/>
    </xf>
    <xf numFmtId="177" fontId="11" fillId="0" borderId="0"/>
    <xf numFmtId="177" fontId="37" fillId="0" borderId="0"/>
    <xf numFmtId="0" fontId="2" fillId="0" borderId="0"/>
    <xf numFmtId="180"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0" fontId="39" fillId="0" borderId="0" applyNumberFormat="0" applyFill="0" applyBorder="0" applyAlignment="0" applyProtection="0"/>
    <xf numFmtId="49" fontId="40" fillId="0" borderId="0" applyBorder="0" applyProtection="0">
      <alignment horizontal="center" wrapText="1"/>
    </xf>
    <xf numFmtId="0" fontId="41" fillId="0" borderId="0"/>
    <xf numFmtId="184" fontId="11" fillId="2" borderId="1" applyNumberFormat="0">
      <alignment vertical="center"/>
    </xf>
    <xf numFmtId="185" fontId="2" fillId="3" borderId="2">
      <protection locked="0"/>
    </xf>
    <xf numFmtId="173" fontId="11" fillId="4" borderId="1" applyNumberFormat="0">
      <alignment vertical="center"/>
    </xf>
    <xf numFmtId="173" fontId="11" fillId="4" borderId="1" applyNumberFormat="0">
      <alignment vertical="center"/>
    </xf>
    <xf numFmtId="1" fontId="11" fillId="5" borderId="1" applyNumberFormat="0">
      <alignment vertical="center"/>
    </xf>
    <xf numFmtId="1" fontId="11" fillId="5" borderId="1" applyNumberFormat="0">
      <alignment vertical="center"/>
    </xf>
    <xf numFmtId="184" fontId="11" fillId="6" borderId="1" applyNumberFormat="0">
      <alignment vertical="center"/>
    </xf>
    <xf numFmtId="184" fontId="11" fillId="6" borderId="1" applyNumberFormat="0">
      <alignment vertical="center"/>
    </xf>
    <xf numFmtId="184" fontId="11" fillId="7" borderId="1" applyNumberFormat="0">
      <alignment vertical="center"/>
    </xf>
    <xf numFmtId="184" fontId="11" fillId="7" borderId="1" applyNumberFormat="0">
      <alignment vertical="center"/>
    </xf>
    <xf numFmtId="186" fontId="13" fillId="8" borderId="0" applyNumberFormat="0">
      <alignment vertical="center"/>
    </xf>
    <xf numFmtId="186" fontId="13" fillId="9" borderId="0" applyNumberFormat="0">
      <alignment vertical="center"/>
    </xf>
    <xf numFmtId="3" fontId="11" fillId="0" borderId="1" applyNumberFormat="0">
      <alignment vertical="center"/>
    </xf>
    <xf numFmtId="3" fontId="11" fillId="0" borderId="1" applyNumberFormat="0">
      <alignment vertical="center"/>
    </xf>
    <xf numFmtId="186" fontId="13" fillId="0" borderId="1">
      <alignment vertical="center"/>
    </xf>
    <xf numFmtId="3" fontId="13" fillId="0" borderId="1" applyNumberFormat="0">
      <alignment vertical="center"/>
    </xf>
    <xf numFmtId="184" fontId="11" fillId="2" borderId="1" applyNumberFormat="0">
      <alignment vertical="center"/>
    </xf>
    <xf numFmtId="185" fontId="2" fillId="0" borderId="0"/>
    <xf numFmtId="187" fontId="2" fillId="0" borderId="0"/>
    <xf numFmtId="188" fontId="2" fillId="0" borderId="0"/>
    <xf numFmtId="185" fontId="2" fillId="0" borderId="3"/>
    <xf numFmtId="187" fontId="2" fillId="0" borderId="3"/>
    <xf numFmtId="188" fontId="2" fillId="0" borderId="3"/>
    <xf numFmtId="189" fontId="2" fillId="0" borderId="0"/>
    <xf numFmtId="0" fontId="11" fillId="0" borderId="0" applyFill="0" applyBorder="0" applyAlignment="0"/>
    <xf numFmtId="190" fontId="2" fillId="0" borderId="0"/>
    <xf numFmtId="191" fontId="2" fillId="0" borderId="0"/>
    <xf numFmtId="189" fontId="2" fillId="0" borderId="3"/>
    <xf numFmtId="190" fontId="2" fillId="0" borderId="3"/>
    <xf numFmtId="191" fontId="2" fillId="0" borderId="3"/>
    <xf numFmtId="192" fontId="2" fillId="0" borderId="0">
      <alignment horizontal="right"/>
      <protection locked="0"/>
    </xf>
    <xf numFmtId="193" fontId="2" fillId="0" borderId="0">
      <alignment horizontal="right"/>
      <protection locked="0"/>
    </xf>
    <xf numFmtId="0" fontId="2" fillId="8" borderId="2">
      <alignment horizontal="left" wrapText="1"/>
      <protection locked="0"/>
    </xf>
    <xf numFmtId="194" fontId="2" fillId="0" borderId="0"/>
    <xf numFmtId="195" fontId="2" fillId="0" borderId="0"/>
    <xf numFmtId="196" fontId="2" fillId="0" borderId="0"/>
    <xf numFmtId="194" fontId="2" fillId="0" borderId="3"/>
    <xf numFmtId="195" fontId="2" fillId="0" borderId="3"/>
    <xf numFmtId="196" fontId="2" fillId="0" borderId="3"/>
    <xf numFmtId="3" fontId="11" fillId="3" borderId="0"/>
    <xf numFmtId="184" fontId="13" fillId="8" borderId="1" applyNumberFormat="0">
      <alignment vertical="center"/>
    </xf>
    <xf numFmtId="167" fontId="2" fillId="0" borderId="4" applyAlignment="0">
      <alignment vertical="center"/>
    </xf>
    <xf numFmtId="167" fontId="2" fillId="0" borderId="5">
      <alignment vertical="center"/>
    </xf>
    <xf numFmtId="167" fontId="2" fillId="0" borderId="36">
      <alignment vertical="center"/>
    </xf>
    <xf numFmtId="171" fontId="5" fillId="0" borderId="37">
      <alignment vertical="center"/>
    </xf>
    <xf numFmtId="167" fontId="2" fillId="0" borderId="6">
      <alignment vertical="center"/>
    </xf>
    <xf numFmtId="167" fontId="5" fillId="0" borderId="7">
      <alignment vertical="center"/>
    </xf>
    <xf numFmtId="170" fontId="16" fillId="0" borderId="4">
      <alignment vertical="top" wrapText="1"/>
    </xf>
    <xf numFmtId="167" fontId="2" fillId="0" borderId="8">
      <alignment vertical="center"/>
    </xf>
    <xf numFmtId="174" fontId="42" fillId="0" borderId="0"/>
    <xf numFmtId="165" fontId="80" fillId="0" borderId="0" applyNumberFormat="0" applyAlignment="0">
      <alignment vertical="center"/>
    </xf>
    <xf numFmtId="165" fontId="81" fillId="0" borderId="0" applyNumberFormat="0" applyAlignment="0">
      <alignment vertical="center"/>
    </xf>
    <xf numFmtId="165" fontId="81" fillId="0" borderId="0" applyNumberFormat="0" applyAlignment="0">
      <alignment vertical="center"/>
    </xf>
    <xf numFmtId="0" fontId="23" fillId="0" borderId="0">
      <alignment horizontal="right" vertical="center"/>
    </xf>
    <xf numFmtId="174" fontId="14" fillId="9" borderId="0">
      <alignment vertical="center"/>
    </xf>
    <xf numFmtId="197" fontId="43" fillId="0" borderId="0"/>
    <xf numFmtId="197" fontId="43" fillId="0" borderId="0"/>
    <xf numFmtId="197" fontId="43" fillId="0" borderId="0"/>
    <xf numFmtId="197" fontId="43" fillId="0" borderId="0"/>
    <xf numFmtId="197" fontId="43" fillId="0" borderId="0"/>
    <xf numFmtId="197" fontId="43" fillId="0" borderId="0"/>
    <xf numFmtId="197" fontId="43" fillId="0" borderId="0"/>
    <xf numFmtId="197" fontId="43" fillId="0" borderId="0"/>
    <xf numFmtId="198" fontId="44" fillId="0" borderId="0"/>
    <xf numFmtId="199" fontId="45" fillId="0" borderId="0" applyFont="0" applyFill="0" applyBorder="0" applyAlignment="0" applyProtection="0">
      <alignment horizontal="right"/>
    </xf>
    <xf numFmtId="200" fontId="45" fillId="0" borderId="0" applyFont="0" applyFill="0" applyBorder="0" applyAlignment="0" applyProtection="0"/>
    <xf numFmtId="177" fontId="45" fillId="0" borderId="0" applyFont="0" applyFill="0" applyBorder="0" applyAlignment="0" applyProtection="0">
      <alignment horizontal="right"/>
    </xf>
    <xf numFmtId="43" fontId="3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9" fillId="0" borderId="0" applyFont="0" applyFill="0" applyBorder="0" applyAlignment="0" applyProtection="0"/>
    <xf numFmtId="43" fontId="11" fillId="0" borderId="0" applyFont="0" applyFill="0" applyBorder="0" applyAlignment="0" applyProtection="0"/>
    <xf numFmtId="0" fontId="46" fillId="0" borderId="0" applyNumberFormat="0" applyAlignment="0">
      <alignment horizontal="left"/>
    </xf>
    <xf numFmtId="201" fontId="45" fillId="0" borderId="0" applyFont="0" applyFill="0" applyBorder="0" applyAlignment="0" applyProtection="0">
      <alignment horizontal="right"/>
    </xf>
    <xf numFmtId="44" fontId="3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202" fontId="11" fillId="0" borderId="0" applyFill="0" applyBorder="0" applyProtection="0">
      <alignment vertical="center"/>
    </xf>
    <xf numFmtId="203" fontId="11" fillId="0" borderId="0" applyFill="0" applyBorder="0" applyProtection="0">
      <alignment vertical="center"/>
    </xf>
    <xf numFmtId="204" fontId="11" fillId="0" borderId="0" applyFill="0" applyBorder="0" applyProtection="0">
      <alignment vertical="center"/>
    </xf>
    <xf numFmtId="205" fontId="7" fillId="0" borderId="0" applyFont="0" applyFill="0" applyBorder="0">
      <alignment horizontal="right" vertical="center"/>
    </xf>
    <xf numFmtId="185" fontId="2" fillId="3" borderId="2">
      <protection locked="0"/>
    </xf>
    <xf numFmtId="187" fontId="2" fillId="3" borderId="2">
      <protection locked="0"/>
    </xf>
    <xf numFmtId="188" fontId="2" fillId="3" borderId="2">
      <protection locked="0"/>
    </xf>
    <xf numFmtId="189" fontId="2" fillId="3" borderId="2">
      <protection locked="0"/>
    </xf>
    <xf numFmtId="190" fontId="2" fillId="3" borderId="2">
      <protection locked="0"/>
    </xf>
    <xf numFmtId="191" fontId="2" fillId="3" borderId="2">
      <protection locked="0"/>
    </xf>
    <xf numFmtId="192" fontId="2" fillId="10" borderId="2">
      <alignment horizontal="right"/>
      <protection locked="0"/>
    </xf>
    <xf numFmtId="193" fontId="2" fillId="10" borderId="2">
      <alignment horizontal="right"/>
      <protection locked="0"/>
    </xf>
    <xf numFmtId="0" fontId="2" fillId="8" borderId="2">
      <alignment horizontal="left"/>
      <protection locked="0"/>
    </xf>
    <xf numFmtId="49" fontId="2" fillId="11" borderId="2">
      <alignment horizontal="left" vertical="top" wrapText="1"/>
      <protection locked="0"/>
    </xf>
    <xf numFmtId="194" fontId="2" fillId="3" borderId="2">
      <protection locked="0"/>
    </xf>
    <xf numFmtId="195" fontId="2" fillId="3" borderId="2">
      <protection locked="0"/>
    </xf>
    <xf numFmtId="196" fontId="2" fillId="3" borderId="2">
      <protection locked="0"/>
    </xf>
    <xf numFmtId="49" fontId="2" fillId="11" borderId="2">
      <alignment horizontal="left"/>
      <protection locked="0"/>
    </xf>
    <xf numFmtId="206" fontId="2" fillId="3" borderId="2">
      <alignment horizontal="left" indent="1"/>
      <protection locked="0"/>
    </xf>
    <xf numFmtId="177" fontId="47" fillId="4" borderId="2" applyBorder="0" applyAlignment="0">
      <alignment horizontal="right"/>
      <protection locked="0"/>
    </xf>
    <xf numFmtId="172" fontId="18" fillId="0" borderId="0" applyFill="0" applyBorder="0" applyAlignment="0" applyProtection="0">
      <alignment vertical="center"/>
    </xf>
    <xf numFmtId="207" fontId="45" fillId="0" borderId="0" applyFont="0" applyFill="0" applyBorder="0" applyAlignment="0" applyProtection="0"/>
    <xf numFmtId="0" fontId="11" fillId="0" borderId="9">
      <alignment wrapText="1"/>
    </xf>
    <xf numFmtId="208" fontId="45" fillId="0" borderId="10" applyNumberFormat="0" applyFont="0" applyFill="0" applyAlignment="0" applyProtection="0"/>
    <xf numFmtId="0" fontId="11" fillId="0" borderId="0" applyNumberFormat="0" applyAlignment="0">
      <alignment horizontal="left"/>
    </xf>
    <xf numFmtId="0" fontId="7" fillId="12" borderId="11"/>
    <xf numFmtId="0" fontId="7" fillId="12" borderId="11"/>
    <xf numFmtId="177" fontId="11" fillId="0" borderId="0" applyFont="0" applyFill="0" applyBorder="0" applyAlignment="0" applyProtection="0"/>
    <xf numFmtId="0" fontId="11" fillId="13" borderId="12" applyNumberFormat="0">
      <alignment vertical="center"/>
    </xf>
    <xf numFmtId="0" fontId="13" fillId="14" borderId="0">
      <alignment vertical="center"/>
    </xf>
    <xf numFmtId="0" fontId="11" fillId="13" borderId="12" applyNumberFormat="0">
      <alignment vertical="center"/>
    </xf>
    <xf numFmtId="0" fontId="13" fillId="14" borderId="13" applyNumberFormat="0">
      <alignment vertical="center"/>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167" fontId="2" fillId="24" borderId="38">
      <alignment vertical="center"/>
    </xf>
    <xf numFmtId="0" fontId="2" fillId="25" borderId="39">
      <alignment vertical="center"/>
    </xf>
    <xf numFmtId="0" fontId="11" fillId="7" borderId="14" applyNumberFormat="0">
      <alignment vertical="center"/>
    </xf>
    <xf numFmtId="186" fontId="13" fillId="7" borderId="0" applyNumberFormat="0">
      <alignment vertical="center"/>
    </xf>
    <xf numFmtId="0" fontId="11" fillId="7" borderId="14" applyNumberFormat="0">
      <alignment vertical="center"/>
    </xf>
    <xf numFmtId="186" fontId="13" fillId="7" borderId="0" applyNumberFormat="0">
      <alignment vertical="center"/>
    </xf>
    <xf numFmtId="0" fontId="13" fillId="7" borderId="14" applyNumberFormat="0">
      <alignment vertical="center"/>
    </xf>
    <xf numFmtId="0" fontId="48" fillId="15" borderId="0" applyNumberFormat="0" applyFill="0" applyBorder="0" applyAlignment="0">
      <alignment horizontal="center" vertical="center"/>
    </xf>
    <xf numFmtId="177" fontId="49" fillId="0" borderId="0" applyFill="0" applyBorder="0" applyProtection="0">
      <alignment horizontal="left"/>
    </xf>
    <xf numFmtId="186" fontId="13" fillId="0" borderId="0">
      <alignment vertical="center"/>
      <protection locked="0"/>
    </xf>
    <xf numFmtId="186" fontId="13" fillId="0" borderId="0">
      <alignment vertical="center"/>
      <protection locked="0"/>
    </xf>
    <xf numFmtId="209" fontId="13" fillId="0" borderId="0">
      <alignment vertical="center"/>
      <protection locked="0"/>
    </xf>
    <xf numFmtId="184" fontId="13" fillId="0" borderId="15">
      <alignment vertical="center"/>
    </xf>
    <xf numFmtId="38" fontId="7" fillId="7" borderId="0" applyNumberFormat="0" applyBorder="0" applyAlignment="0" applyProtection="0"/>
    <xf numFmtId="0" fontId="50" fillId="7" borderId="16" applyNumberFormat="0">
      <alignment vertical="center"/>
    </xf>
    <xf numFmtId="186" fontId="51" fillId="16" borderId="0" applyNumberFormat="0">
      <alignment vertical="center"/>
    </xf>
    <xf numFmtId="0" fontId="51" fillId="16" borderId="16" applyNumberFormat="0">
      <alignment vertical="center"/>
    </xf>
    <xf numFmtId="0" fontId="6" fillId="17" borderId="0" applyNumberFormat="0">
      <alignment vertical="center"/>
    </xf>
    <xf numFmtId="0" fontId="6" fillId="0" borderId="0" applyNumberFormat="0">
      <alignment vertical="center"/>
    </xf>
    <xf numFmtId="0" fontId="6" fillId="17" borderId="0" applyNumberFormat="0">
      <alignment vertical="center"/>
    </xf>
    <xf numFmtId="0" fontId="6" fillId="17" borderId="0" applyNumberFormat="0">
      <alignment vertical="center"/>
    </xf>
    <xf numFmtId="0" fontId="6" fillId="0" borderId="0" applyNumberFormat="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210" fontId="45" fillId="0" borderId="0" applyFont="0" applyFill="0" applyBorder="0" applyAlignment="0" applyProtection="0">
      <alignment horizontal="right"/>
    </xf>
    <xf numFmtId="177" fontId="52" fillId="0" borderId="0" applyProtection="0">
      <alignment horizontal="right"/>
    </xf>
    <xf numFmtId="0" fontId="1" fillId="0" borderId="17" applyNumberFormat="0" applyAlignment="0" applyProtection="0">
      <alignment horizontal="left" vertical="center"/>
    </xf>
    <xf numFmtId="0" fontId="1" fillId="0" borderId="18">
      <alignment horizontal="left" vertical="center"/>
    </xf>
    <xf numFmtId="0" fontId="84" fillId="0" borderId="41" applyNumberFormat="0" applyFill="0" applyAlignment="0" applyProtection="0"/>
    <xf numFmtId="0" fontId="83" fillId="0" borderId="40" applyNumberFormat="0" applyFill="0" applyAlignment="0" applyProtection="0"/>
    <xf numFmtId="0" fontId="83" fillId="0" borderId="40" applyNumberFormat="0" applyFill="0" applyAlignment="0" applyProtection="0"/>
    <xf numFmtId="0" fontId="84" fillId="0" borderId="41" applyNumberFormat="0" applyFill="0" applyAlignment="0" applyProtection="0"/>
    <xf numFmtId="0" fontId="85" fillId="0" borderId="42" applyNumberFormat="0" applyFill="0" applyAlignment="0" applyProtection="0"/>
    <xf numFmtId="0" fontId="85" fillId="0" borderId="42" applyNumberFormat="0" applyFill="0" applyAlignment="0" applyProtection="0"/>
    <xf numFmtId="0" fontId="86" fillId="0" borderId="43" applyNumberFormat="0" applyFill="0" applyAlignment="0" applyProtection="0"/>
    <xf numFmtId="0" fontId="86" fillId="0" borderId="43"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2" fillId="12" borderId="0" applyNumberFormat="0" applyFont="0" applyBorder="0" applyAlignment="0" applyProtection="0">
      <alignment vertical="center"/>
    </xf>
    <xf numFmtId="167" fontId="2" fillId="0" borderId="44" applyAlignment="0">
      <alignment vertical="center"/>
    </xf>
    <xf numFmtId="10" fontId="7" fillId="4" borderId="11" applyNumberFormat="0" applyBorder="0" applyAlignment="0" applyProtection="0"/>
    <xf numFmtId="10" fontId="7" fillId="4" borderId="11" applyNumberFormat="0" applyBorder="0" applyAlignment="0" applyProtection="0"/>
    <xf numFmtId="184" fontId="25" fillId="3" borderId="19" applyNumberFormat="0">
      <alignment vertical="center"/>
      <protection locked="0"/>
    </xf>
    <xf numFmtId="43" fontId="13" fillId="12" borderId="0" applyNumberFormat="0">
      <alignment vertical="center"/>
      <protection locked="0"/>
    </xf>
    <xf numFmtId="184" fontId="13" fillId="12" borderId="19" applyNumberFormat="0">
      <alignment vertical="center"/>
      <protection locked="0"/>
    </xf>
    <xf numFmtId="0" fontId="25" fillId="18" borderId="19" applyNumberFormat="0">
      <alignment vertical="center"/>
      <protection locked="0"/>
    </xf>
    <xf numFmtId="0" fontId="13" fillId="2" borderId="0" applyNumberFormat="0">
      <alignment vertical="center"/>
      <protection locked="0"/>
    </xf>
    <xf numFmtId="0" fontId="13" fillId="2" borderId="19" applyNumberFormat="0">
      <alignment vertical="center"/>
      <protection locked="0"/>
    </xf>
    <xf numFmtId="0" fontId="2" fillId="0" borderId="20" applyNumberFormat="0" applyAlignment="0">
      <alignment vertical="center"/>
    </xf>
    <xf numFmtId="0" fontId="2" fillId="0" borderId="45" applyNumberFormat="0" applyAlignment="0">
      <alignment vertical="center"/>
      <protection locked="0"/>
    </xf>
    <xf numFmtId="167" fontId="2" fillId="26" borderId="44" applyAlignment="0">
      <alignment vertical="center"/>
      <protection locked="0"/>
    </xf>
    <xf numFmtId="167" fontId="2" fillId="26" borderId="44" applyAlignment="0">
      <alignment vertical="center"/>
      <protection locked="0"/>
    </xf>
    <xf numFmtId="170" fontId="17" fillId="0" borderId="6" applyAlignment="0">
      <alignment vertical="center"/>
      <protection locked="0"/>
    </xf>
    <xf numFmtId="167" fontId="2" fillId="19" borderId="20" applyAlignment="0">
      <alignment vertical="center"/>
      <protection locked="0"/>
    </xf>
    <xf numFmtId="170" fontId="16" fillId="0" borderId="6">
      <alignment horizontal="left" vertical="center" indent="1"/>
    </xf>
    <xf numFmtId="0" fontId="2" fillId="0" borderId="44" applyNumberFormat="0" applyAlignment="0">
      <alignment vertical="center"/>
      <protection locked="0"/>
    </xf>
    <xf numFmtId="0" fontId="2" fillId="0" borderId="21" applyNumberFormat="0" applyAlignment="0">
      <alignment vertical="center"/>
      <protection locked="0"/>
    </xf>
    <xf numFmtId="0" fontId="2" fillId="0" borderId="21" applyNumberFormat="0" applyAlignment="0">
      <alignment vertical="center"/>
      <protection locked="0"/>
    </xf>
    <xf numFmtId="167" fontId="20" fillId="0" borderId="8" applyAlignment="0">
      <alignment vertical="center"/>
      <protection locked="0"/>
    </xf>
    <xf numFmtId="167" fontId="2" fillId="26" borderId="46">
      <alignment vertical="center"/>
    </xf>
    <xf numFmtId="168" fontId="2" fillId="0" borderId="20">
      <alignment vertical="center"/>
    </xf>
    <xf numFmtId="1" fontId="11" fillId="0" borderId="0"/>
    <xf numFmtId="0" fontId="11" fillId="0" borderId="0" applyFont="0" applyFill="0" applyBorder="0" applyAlignment="0" applyProtection="0"/>
    <xf numFmtId="43" fontId="7" fillId="0" borderId="0" applyFont="0" applyFill="0" applyBorder="0" applyAlignment="0" applyProtection="0"/>
    <xf numFmtId="38" fontId="53" fillId="0" borderId="0"/>
    <xf numFmtId="38" fontId="54" fillId="0" borderId="0"/>
    <xf numFmtId="38" fontId="55" fillId="0" borderId="0"/>
    <xf numFmtId="38" fontId="56" fillId="0" borderId="0"/>
    <xf numFmtId="0" fontId="57" fillId="0" borderId="0"/>
    <xf numFmtId="0" fontId="57" fillId="0" borderId="0"/>
    <xf numFmtId="173" fontId="2" fillId="0" borderId="8">
      <alignment horizontal="left" vertical="center" indent="1"/>
    </xf>
    <xf numFmtId="0" fontId="5" fillId="0" borderId="7" applyNumberFormat="0">
      <alignment horizontal="left" vertical="center"/>
    </xf>
    <xf numFmtId="0" fontId="2" fillId="0" borderId="0"/>
    <xf numFmtId="0" fontId="58" fillId="0" borderId="0"/>
    <xf numFmtId="0" fontId="59" fillId="0" borderId="0">
      <alignment horizontal="center"/>
    </xf>
    <xf numFmtId="0" fontId="47" fillId="0" borderId="0" applyNumberFormat="0" applyFont="0" applyFill="0" applyBorder="0" applyProtection="0">
      <alignment horizontal="left" vertical="center"/>
    </xf>
    <xf numFmtId="177" fontId="60" fillId="0" borderId="0"/>
    <xf numFmtId="3" fontId="61" fillId="0" borderId="0"/>
    <xf numFmtId="184" fontId="11" fillId="0" borderId="0" applyFont="0" applyFill="0" applyBorder="0" applyAlignment="0" applyProtection="0"/>
    <xf numFmtId="177" fontId="47" fillId="0" borderId="0"/>
    <xf numFmtId="0" fontId="62" fillId="0" borderId="0" applyNumberFormat="0" applyFill="0" applyBorder="0" applyProtection="0">
      <alignment horizontal="left" vertical="center"/>
    </xf>
    <xf numFmtId="4" fontId="60" fillId="0" borderId="0" applyFont="0" applyFill="0" applyBorder="0" applyAlignment="0" applyProtection="0"/>
    <xf numFmtId="211" fontId="63" fillId="0" borderId="0" applyFont="0" applyFill="0" applyBorder="0" applyAlignment="0" applyProtection="0"/>
    <xf numFmtId="212" fontId="63" fillId="0" borderId="0" applyFont="0" applyFill="0" applyBorder="0" applyAlignment="0" applyProtection="0"/>
    <xf numFmtId="167" fontId="2" fillId="27" borderId="22">
      <alignment vertical="center"/>
    </xf>
    <xf numFmtId="170" fontId="2" fillId="0" borderId="23">
      <alignment vertical="center"/>
    </xf>
    <xf numFmtId="167" fontId="5" fillId="0" borderId="24">
      <alignment vertical="center"/>
    </xf>
    <xf numFmtId="213" fontId="63" fillId="0" borderId="0" applyFont="0" applyFill="0" applyBorder="0" applyAlignment="0" applyProtection="0"/>
    <xf numFmtId="214" fontId="63" fillId="0" borderId="0" applyFont="0" applyFill="0" applyBorder="0" applyAlignment="0" applyProtection="0"/>
    <xf numFmtId="215" fontId="45" fillId="0" borderId="0" applyFont="0" applyFill="0" applyBorder="0" applyAlignment="0" applyProtection="0">
      <alignment horizontal="right"/>
    </xf>
    <xf numFmtId="0" fontId="8" fillId="0" borderId="0" applyNumberFormat="0" applyAlignment="0">
      <alignment vertical="center"/>
    </xf>
    <xf numFmtId="0" fontId="25" fillId="2" borderId="25" applyNumberFormat="0" applyFont="0" applyFill="0" applyAlignment="0" applyProtection="0">
      <alignment vertical="center"/>
      <protection locked="0"/>
    </xf>
    <xf numFmtId="0" fontId="10" fillId="0" borderId="0" applyNumberFormat="0" applyBorder="0">
      <alignment horizontal="left" vertical="top"/>
    </xf>
    <xf numFmtId="0" fontId="64" fillId="2" borderId="25" applyNumberFormat="0" applyFill="0" applyAlignment="0" applyProtection="0">
      <alignment vertical="center"/>
      <protection locked="0"/>
    </xf>
    <xf numFmtId="37" fontId="65" fillId="0" borderId="0"/>
    <xf numFmtId="0" fontId="66" fillId="0" borderId="0"/>
    <xf numFmtId="176" fontId="35" fillId="0" borderId="0"/>
    <xf numFmtId="37" fontId="47" fillId="0" borderId="0" applyAlignment="0"/>
    <xf numFmtId="0" fontId="79" fillId="0" borderId="0"/>
    <xf numFmtId="0" fontId="11" fillId="0" borderId="0"/>
    <xf numFmtId="0" fontId="11" fillId="0" borderId="0"/>
    <xf numFmtId="0" fontId="11" fillId="0" borderId="0"/>
    <xf numFmtId="0" fontId="76" fillId="0" borderId="0"/>
    <xf numFmtId="0" fontId="11" fillId="0" borderId="0"/>
    <xf numFmtId="0" fontId="79" fillId="0" borderId="0"/>
    <xf numFmtId="0" fontId="11" fillId="0" borderId="0"/>
    <xf numFmtId="0" fontId="32" fillId="0" borderId="0"/>
    <xf numFmtId="0" fontId="79" fillId="0" borderId="0"/>
    <xf numFmtId="0" fontId="79" fillId="0" borderId="0"/>
    <xf numFmtId="0" fontId="11" fillId="0" borderId="0"/>
    <xf numFmtId="0" fontId="79" fillId="0" borderId="0"/>
    <xf numFmtId="0" fontId="11" fillId="0" borderId="0"/>
    <xf numFmtId="0" fontId="11" fillId="0" borderId="0"/>
    <xf numFmtId="0" fontId="11" fillId="0" borderId="0"/>
    <xf numFmtId="0" fontId="79" fillId="0" borderId="0"/>
    <xf numFmtId="0" fontId="79" fillId="0" borderId="0"/>
    <xf numFmtId="37" fontId="44" fillId="0" borderId="0" applyNumberFormat="0" applyFill="0" applyAlignment="0"/>
    <xf numFmtId="0" fontId="11" fillId="0" borderId="0"/>
    <xf numFmtId="0" fontId="11" fillId="0" borderId="0"/>
    <xf numFmtId="0" fontId="33" fillId="0" borderId="0"/>
    <xf numFmtId="0" fontId="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0" fillId="0" borderId="0" applyNumberFormat="0" applyFill="0" applyBorder="0" applyAlignment="0" applyProtection="0">
      <alignment vertical="top"/>
    </xf>
    <xf numFmtId="164" fontId="2" fillId="0" borderId="0" applyFont="0" applyFill="0" applyBorder="0" applyAlignment="0" applyProtection="0">
      <alignment vertical="center"/>
    </xf>
    <xf numFmtId="216" fontId="11" fillId="0" borderId="0" applyFill="0" applyBorder="0" applyProtection="0">
      <alignment vertical="center"/>
    </xf>
    <xf numFmtId="0" fontId="7" fillId="0" borderId="0" applyFill="0" applyBorder="0" applyAlignment="0" applyProtection="0">
      <alignment vertical="center"/>
    </xf>
    <xf numFmtId="0" fontId="2" fillId="28" borderId="0" applyNumberFormat="0" applyFont="0" applyBorder="0" applyAlignment="0" applyProtection="0">
      <alignment vertical="center"/>
    </xf>
    <xf numFmtId="0" fontId="2" fillId="29" borderId="47" applyNumberFormat="0" applyFont="0" applyAlignment="0" applyProtection="0">
      <alignment vertical="center"/>
    </xf>
    <xf numFmtId="167" fontId="2" fillId="30" borderId="22">
      <alignment vertical="center"/>
    </xf>
    <xf numFmtId="1" fontId="67" fillId="0" borderId="0" applyProtection="0">
      <alignment horizontal="right" vertical="center"/>
    </xf>
    <xf numFmtId="10" fontId="11" fillId="0" borderId="0" applyFont="0" applyFill="0" applyBorder="0" applyAlignment="0" applyProtection="0"/>
    <xf numFmtId="9" fontId="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6" fontId="2" fillId="0" borderId="0" applyFont="0" applyFill="0" applyBorder="0" applyAlignment="0" applyProtection="0">
      <alignment horizontal="right" vertical="center"/>
    </xf>
    <xf numFmtId="0" fontId="7" fillId="7" borderId="11"/>
    <xf numFmtId="0" fontId="7" fillId="7" borderId="11"/>
    <xf numFmtId="0" fontId="35" fillId="0" borderId="0" applyNumberFormat="0" applyFont="0" applyFill="0" applyBorder="0" applyAlignment="0" applyProtection="0">
      <alignment horizontal="left"/>
    </xf>
    <xf numFmtId="0" fontId="2" fillId="31" borderId="0" applyNumberFormat="0" applyFont="0" applyBorder="0" applyAlignment="0" applyProtection="0">
      <alignment vertical="center"/>
    </xf>
    <xf numFmtId="0" fontId="26" fillId="0" borderId="0">
      <alignment horizontal="center" shrinkToFit="1"/>
    </xf>
    <xf numFmtId="0" fontId="11" fillId="0" borderId="0" applyNumberFormat="0" applyFill="0" applyBorder="0" applyAlignment="0" applyProtection="0">
      <alignment horizontal="left"/>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0" fontId="11" fillId="0" borderId="0" applyFill="0" applyBorder="0" applyProtection="0">
      <alignment horizontal="centerContinuous" vertical="top"/>
    </xf>
    <xf numFmtId="217" fontId="68" fillId="0" borderId="0" applyNumberFormat="0" applyFont="0" applyBorder="0">
      <alignment horizontal="left"/>
    </xf>
    <xf numFmtId="0" fontId="10" fillId="0" borderId="0" applyNumberFormat="0" applyFill="0" applyProtection="0">
      <alignment horizontal="left" vertical="center"/>
    </xf>
    <xf numFmtId="177" fontId="11" fillId="0" borderId="0"/>
    <xf numFmtId="177" fontId="11" fillId="0" borderId="0"/>
    <xf numFmtId="198" fontId="47" fillId="20" borderId="0"/>
    <xf numFmtId="0" fontId="11" fillId="0" borderId="0"/>
    <xf numFmtId="3" fontId="14" fillId="0" borderId="0" applyNumberFormat="0" applyFill="0" applyBorder="0" applyAlignment="0" applyProtection="0">
      <alignment vertical="center"/>
    </xf>
    <xf numFmtId="40" fontId="11" fillId="0" borderId="0" applyBorder="0">
      <alignment horizontal="right"/>
    </xf>
    <xf numFmtId="184" fontId="12" fillId="0" borderId="26">
      <alignment vertical="center"/>
    </xf>
    <xf numFmtId="40" fontId="11" fillId="0" borderId="0" applyBorder="0">
      <alignment horizontal="right"/>
    </xf>
    <xf numFmtId="184" fontId="12" fillId="0" borderId="26">
      <alignment vertical="center"/>
    </xf>
    <xf numFmtId="40" fontId="11" fillId="0" borderId="0" applyBorder="0">
      <alignment horizontal="right"/>
    </xf>
    <xf numFmtId="0" fontId="15" fillId="7" borderId="11">
      <protection locked="0"/>
    </xf>
    <xf numFmtId="177" fontId="69" fillId="0" borderId="0" applyBorder="0" applyProtection="0">
      <alignment vertical="center"/>
    </xf>
    <xf numFmtId="208" fontId="69" fillId="0" borderId="27" applyBorder="0" applyProtection="0">
      <alignment horizontal="right" vertical="center"/>
    </xf>
    <xf numFmtId="208" fontId="69" fillId="0" borderId="27" applyBorder="0" applyProtection="0">
      <alignment horizontal="right" vertical="center"/>
    </xf>
    <xf numFmtId="177" fontId="70" fillId="21" borderId="0" applyBorder="0" applyProtection="0">
      <alignment horizontal="centerContinuous" vertical="center"/>
    </xf>
    <xf numFmtId="177" fontId="70" fillId="22" borderId="27" applyBorder="0" applyProtection="0">
      <alignment horizontal="centerContinuous" vertical="center"/>
    </xf>
    <xf numFmtId="177" fontId="70" fillId="22" borderId="27" applyBorder="0" applyProtection="0">
      <alignment horizontal="centerContinuous" vertical="center"/>
    </xf>
    <xf numFmtId="177" fontId="71" fillId="0" borderId="0" applyFill="0" applyBorder="0" applyProtection="0">
      <alignment horizontal="left"/>
    </xf>
    <xf numFmtId="177" fontId="49" fillId="0" borderId="28" applyFill="0" applyBorder="0" applyProtection="0">
      <alignment horizontal="left" vertical="top"/>
    </xf>
    <xf numFmtId="49" fontId="2" fillId="0" borderId="0" applyFont="0" applyFill="0" applyBorder="0" applyAlignment="0" applyProtection="0">
      <alignment horizontal="center" vertical="center"/>
    </xf>
    <xf numFmtId="0" fontId="72" fillId="0" borderId="0">
      <alignment horizontal="center"/>
    </xf>
    <xf numFmtId="15" fontId="72" fillId="0" borderId="0">
      <alignment horizontal="center"/>
    </xf>
    <xf numFmtId="184" fontId="73" fillId="23" borderId="0" applyNumberFormat="0">
      <alignment vertical="center"/>
    </xf>
    <xf numFmtId="184" fontId="74" fillId="2" borderId="0" applyNumberFormat="0">
      <alignment vertical="center"/>
    </xf>
    <xf numFmtId="184" fontId="4" fillId="0" borderId="0" applyNumberFormat="0">
      <alignment vertical="center"/>
    </xf>
    <xf numFmtId="184" fontId="12" fillId="0" borderId="0" applyNumberFormat="0">
      <alignment vertical="center"/>
    </xf>
    <xf numFmtId="184" fontId="12" fillId="0" borderId="29">
      <alignment vertical="center"/>
    </xf>
    <xf numFmtId="184" fontId="12" fillId="0" borderId="26">
      <alignment vertical="center"/>
    </xf>
    <xf numFmtId="0" fontId="2" fillId="0" borderId="0" applyProtection="0">
      <alignment vertical="center"/>
    </xf>
    <xf numFmtId="0" fontId="11" fillId="0" borderId="0">
      <alignment horizontal="center"/>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3" fillId="0" borderId="0" applyNumberFormat="0" applyFont="0" applyFill="0" applyBorder="0" applyProtection="0">
      <alignment horizontal="center" vertical="center" wrapText="1"/>
    </xf>
    <xf numFmtId="218" fontId="47" fillId="0" borderId="0"/>
    <xf numFmtId="219" fontId="75" fillId="0" borderId="27" applyBorder="0" applyProtection="0">
      <alignment horizontal="right"/>
    </xf>
    <xf numFmtId="219" fontId="75" fillId="0" borderId="27" applyBorder="0" applyProtection="0">
      <alignment horizontal="right"/>
    </xf>
    <xf numFmtId="41" fontId="24" fillId="0" borderId="0" applyFont="0" applyFill="0" applyBorder="0" applyAlignment="0" applyProtection="0"/>
    <xf numFmtId="43" fontId="24" fillId="0" borderId="0" applyFont="0" applyFill="0" applyBorder="0" applyAlignment="0" applyProtection="0"/>
    <xf numFmtId="178" fontId="43" fillId="0" borderId="0" applyFont="0" applyFill="0" applyBorder="0" applyAlignment="0" applyProtection="0"/>
    <xf numFmtId="179" fontId="43"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77" fontId="43" fillId="0" borderId="0"/>
    <xf numFmtId="0" fontId="43" fillId="0" borderId="0"/>
    <xf numFmtId="178" fontId="11" fillId="0" borderId="0" applyFont="0" applyFill="0" applyBorder="0" applyAlignment="0" applyProtection="0"/>
    <xf numFmtId="0" fontId="107" fillId="0" borderId="0" applyNumberFormat="0" applyFill="0" applyBorder="0" applyAlignment="0" applyProtection="0"/>
    <xf numFmtId="0" fontId="108" fillId="34" borderId="0" applyNumberFormat="0" applyBorder="0" applyAlignment="0" applyProtection="0"/>
    <xf numFmtId="0" fontId="109" fillId="35" borderId="0" applyNumberFormat="0" applyBorder="0" applyAlignment="0" applyProtection="0"/>
    <xf numFmtId="0" fontId="110" fillId="36" borderId="0" applyNumberFormat="0" applyBorder="0" applyAlignment="0" applyProtection="0"/>
    <xf numFmtId="0" fontId="111" fillId="37" borderId="72" applyNumberFormat="0" applyAlignment="0" applyProtection="0"/>
    <xf numFmtId="0" fontId="112" fillId="38" borderId="73" applyNumberFormat="0" applyAlignment="0" applyProtection="0"/>
    <xf numFmtId="0" fontId="113" fillId="39" borderId="74" applyNumberFormat="0" applyAlignment="0" applyProtection="0"/>
    <xf numFmtId="0" fontId="114" fillId="0" borderId="75" applyNumberFormat="0" applyFill="0" applyAlignment="0" applyProtection="0"/>
  </cellStyleXfs>
  <cellXfs count="354">
    <xf numFmtId="0" fontId="0" fillId="0" borderId="0" xfId="0">
      <alignment vertical="center"/>
    </xf>
    <xf numFmtId="0" fontId="0" fillId="0" borderId="0" xfId="0" applyFill="1">
      <alignment vertical="center"/>
    </xf>
    <xf numFmtId="0" fontId="1" fillId="0" borderId="0" xfId="246" applyAlignment="1"/>
    <xf numFmtId="0" fontId="1" fillId="0" borderId="0" xfId="246" applyAlignment="1">
      <alignment vertical="center"/>
    </xf>
    <xf numFmtId="0" fontId="4" fillId="0" borderId="0" xfId="245" applyFill="1" applyAlignment="1">
      <alignment horizontal="left"/>
    </xf>
    <xf numFmtId="0" fontId="0" fillId="0" borderId="0" xfId="0" applyAlignment="1">
      <alignment horizontal="left" vertical="center" wrapText="1" indent="1"/>
    </xf>
    <xf numFmtId="0" fontId="0" fillId="0" borderId="0" xfId="0" applyFont="1" applyAlignment="1">
      <alignment vertical="center"/>
    </xf>
    <xf numFmtId="0" fontId="2" fillId="0" borderId="0" xfId="0" applyFont="1" applyAlignment="1">
      <alignment vertical="center"/>
    </xf>
    <xf numFmtId="0" fontId="9" fillId="0" borderId="0" xfId="0" applyFont="1">
      <alignment vertical="center"/>
    </xf>
    <xf numFmtId="0" fontId="5" fillId="0" borderId="0" xfId="0" applyFont="1" applyAlignment="1">
      <alignment horizontal="left" vertical="center" wrapText="1" indent="1"/>
    </xf>
    <xf numFmtId="0" fontId="0" fillId="0" borderId="0" xfId="0" applyAlignment="1">
      <alignment vertical="center"/>
    </xf>
    <xf numFmtId="0" fontId="4" fillId="0" borderId="0" xfId="245" applyFont="1" applyFill="1" applyAlignment="1">
      <alignment horizontal="left"/>
    </xf>
    <xf numFmtId="0" fontId="0" fillId="0" borderId="0" xfId="0" applyFill="1" applyBorder="1">
      <alignment vertical="center"/>
    </xf>
    <xf numFmtId="0" fontId="5" fillId="0" borderId="0" xfId="0" applyFont="1" applyAlignment="1">
      <alignment vertical="center"/>
    </xf>
    <xf numFmtId="0" fontId="6" fillId="0" borderId="0" xfId="0" applyFont="1" applyAlignment="1"/>
    <xf numFmtId="0" fontId="6" fillId="0" borderId="0" xfId="0" applyFont="1" applyAlignment="1">
      <alignment horizontal="right"/>
    </xf>
    <xf numFmtId="0" fontId="0" fillId="0" borderId="0" xfId="0" applyBorder="1">
      <alignment vertical="center"/>
    </xf>
    <xf numFmtId="0" fontId="2" fillId="0" borderId="0" xfId="327" applyFont="1"/>
    <xf numFmtId="0" fontId="5" fillId="0" borderId="0" xfId="239" applyFont="1" applyFill="1">
      <alignment vertical="center"/>
    </xf>
    <xf numFmtId="0" fontId="12" fillId="0" borderId="0" xfId="239" applyFont="1" applyFill="1">
      <alignment vertical="center"/>
    </xf>
    <xf numFmtId="0" fontId="13" fillId="0" borderId="0" xfId="327" applyFont="1"/>
    <xf numFmtId="0" fontId="14" fillId="0" borderId="0" xfId="239" applyFont="1" applyFill="1">
      <alignment vertical="center"/>
    </xf>
    <xf numFmtId="0" fontId="7" fillId="0" borderId="0" xfId="327" applyFont="1"/>
    <xf numFmtId="2" fontId="14" fillId="0" borderId="0" xfId="239" applyNumberFormat="1" applyFont="1" applyFill="1">
      <alignment vertical="center"/>
    </xf>
    <xf numFmtId="2" fontId="7" fillId="0" borderId="0" xfId="327" applyNumberFormat="1" applyFont="1"/>
    <xf numFmtId="4" fontId="2" fillId="0" borderId="45" xfId="273" applyNumberFormat="1" applyAlignment="1">
      <alignment horizontal="center" vertical="center"/>
      <protection locked="0"/>
    </xf>
    <xf numFmtId="2" fontId="2" fillId="0" borderId="45" xfId="273" applyNumberFormat="1" applyAlignment="1">
      <alignment horizontal="center" vertical="center"/>
      <protection locked="0"/>
    </xf>
    <xf numFmtId="4" fontId="2" fillId="0" borderId="48" xfId="273" applyNumberFormat="1" applyBorder="1" applyAlignment="1">
      <alignment horizontal="center" vertical="center"/>
      <protection locked="0"/>
    </xf>
    <xf numFmtId="2" fontId="2" fillId="0" borderId="48" xfId="273" applyNumberFormat="1" applyBorder="1" applyAlignment="1">
      <alignment horizontal="center" vertical="center"/>
      <protection locked="0"/>
    </xf>
    <xf numFmtId="0" fontId="14" fillId="0" borderId="49" xfId="332" applyFont="1" applyFill="1" applyBorder="1" applyAlignment="1">
      <alignment horizontal="center" vertical="center" wrapText="1"/>
    </xf>
    <xf numFmtId="0" fontId="14" fillId="0" borderId="49" xfId="327" applyFont="1" applyBorder="1" applyAlignment="1">
      <alignment horizontal="center"/>
    </xf>
    <xf numFmtId="4" fontId="2" fillId="0" borderId="50" xfId="273" applyNumberFormat="1" applyBorder="1" applyAlignment="1">
      <alignment horizontal="center" vertical="center"/>
      <protection locked="0"/>
    </xf>
    <xf numFmtId="0" fontId="88" fillId="0" borderId="49" xfId="332" applyFont="1" applyFill="1" applyBorder="1" applyAlignment="1">
      <alignment horizontal="left" vertical="center" wrapText="1"/>
    </xf>
    <xf numFmtId="0" fontId="88" fillId="0" borderId="49" xfId="332" applyFont="1" applyFill="1" applyBorder="1" applyAlignment="1">
      <alignment horizontal="left" vertical="center"/>
    </xf>
    <xf numFmtId="0" fontId="7" fillId="0" borderId="49" xfId="341" applyFont="1" applyBorder="1" applyAlignment="1" applyProtection="1">
      <alignment horizontal="left" vertical="top" wrapText="1"/>
    </xf>
    <xf numFmtId="0" fontId="88" fillId="0" borderId="49" xfId="334" applyFont="1" applyBorder="1" applyAlignment="1">
      <alignment vertical="top" wrapText="1"/>
    </xf>
    <xf numFmtId="0" fontId="2" fillId="0" borderId="45" xfId="273" applyAlignment="1">
      <alignment vertical="center"/>
      <protection locked="0"/>
    </xf>
    <xf numFmtId="2" fontId="2" fillId="0" borderId="50" xfId="273" applyNumberFormat="1" applyBorder="1" applyAlignment="1">
      <alignment horizontal="center" vertical="center"/>
      <protection locked="0"/>
    </xf>
    <xf numFmtId="2" fontId="2" fillId="0" borderId="45" xfId="273" applyNumberFormat="1" applyFill="1" applyAlignment="1">
      <alignment horizontal="center" vertical="center"/>
      <protection locked="0"/>
    </xf>
    <xf numFmtId="0" fontId="0" fillId="0" borderId="51" xfId="0" applyBorder="1">
      <alignment vertical="center"/>
    </xf>
    <xf numFmtId="0" fontId="89" fillId="0" borderId="0" xfId="0" applyFont="1" applyBorder="1">
      <alignment vertical="center"/>
    </xf>
    <xf numFmtId="0" fontId="0" fillId="0" borderId="52" xfId="0" applyFill="1" applyBorder="1">
      <alignment vertical="center"/>
    </xf>
    <xf numFmtId="0" fontId="2" fillId="0" borderId="0" xfId="327" applyFont="1" applyBorder="1"/>
    <xf numFmtId="169" fontId="16" fillId="0" borderId="0" xfId="0" applyNumberFormat="1" applyFont="1" applyBorder="1" applyAlignment="1">
      <alignment horizontal="center" vertical="center" wrapText="1"/>
    </xf>
    <xf numFmtId="0" fontId="0" fillId="0" borderId="0" xfId="0" applyFont="1" applyBorder="1">
      <alignment vertical="center"/>
    </xf>
    <xf numFmtId="0" fontId="16" fillId="0" borderId="53" xfId="0" applyNumberFormat="1" applyFont="1" applyBorder="1" applyAlignment="1">
      <alignment horizontal="center" vertical="center" wrapText="1"/>
    </xf>
    <xf numFmtId="0" fontId="2" fillId="32" borderId="54" xfId="279" applyFill="1" applyBorder="1" applyAlignment="1">
      <alignment horizontal="center" vertical="center"/>
      <protection locked="0"/>
    </xf>
    <xf numFmtId="169" fontId="16" fillId="0" borderId="55" xfId="0" applyNumberFormat="1" applyFont="1" applyBorder="1" applyAlignment="1">
      <alignment horizontal="center" vertical="center" wrapText="1"/>
    </xf>
    <xf numFmtId="0" fontId="90" fillId="0" borderId="56" xfId="208" applyFont="1" applyBorder="1" applyAlignment="1">
      <alignment vertical="top" wrapText="1"/>
    </xf>
    <xf numFmtId="0" fontId="90" fillId="0" borderId="0" xfId="208" applyFont="1" applyBorder="1" applyAlignment="1">
      <alignment vertical="top" wrapText="1"/>
    </xf>
    <xf numFmtId="0" fontId="16" fillId="0" borderId="0" xfId="0" applyNumberFormat="1" applyFont="1" applyBorder="1" applyAlignment="1">
      <alignment horizontal="right" vertical="center" wrapText="1"/>
    </xf>
    <xf numFmtId="0" fontId="5" fillId="0" borderId="0" xfId="0" applyFont="1" applyBorder="1" applyAlignment="1">
      <alignment horizontal="center" vertical="center" wrapText="1"/>
    </xf>
    <xf numFmtId="0" fontId="0" fillId="0" borderId="0" xfId="0" applyBorder="1" applyAlignment="1">
      <alignment horizontal="right" vertical="center"/>
    </xf>
    <xf numFmtId="0" fontId="11" fillId="0" borderId="0" xfId="208" applyBorder="1" applyAlignment="1">
      <alignment vertical="top"/>
    </xf>
    <xf numFmtId="0" fontId="5" fillId="0" borderId="0" xfId="0" applyFont="1" applyBorder="1" applyAlignment="1">
      <alignment horizontal="right" vertical="center" wrapText="1"/>
    </xf>
    <xf numFmtId="0" fontId="2" fillId="0" borderId="44" xfId="279" applyAlignment="1">
      <alignment horizontal="center" vertical="center"/>
      <protection locked="0"/>
    </xf>
    <xf numFmtId="0" fontId="2" fillId="0" borderId="0" xfId="327" applyFont="1" applyBorder="1" applyAlignment="1">
      <alignment horizontal="right"/>
    </xf>
    <xf numFmtId="0" fontId="16" fillId="0" borderId="0" xfId="0" applyNumberFormat="1" applyFont="1" applyBorder="1" applyAlignment="1">
      <alignment horizontal="center" vertical="center" wrapText="1"/>
    </xf>
    <xf numFmtId="0" fontId="11" fillId="0" borderId="0" xfId="208" applyBorder="1" applyAlignment="1">
      <alignment vertical="top" wrapText="1"/>
    </xf>
    <xf numFmtId="0" fontId="11" fillId="0" borderId="30" xfId="208" applyBorder="1" applyAlignment="1">
      <alignment vertical="top" wrapText="1"/>
    </xf>
    <xf numFmtId="0" fontId="21" fillId="0" borderId="0" xfId="208" applyFont="1" applyBorder="1" applyAlignment="1">
      <alignment vertical="top" wrapText="1"/>
    </xf>
    <xf numFmtId="0" fontId="0" fillId="0" borderId="0" xfId="0" applyFont="1">
      <alignment vertical="center"/>
    </xf>
    <xf numFmtId="0" fontId="0" fillId="0" borderId="0" xfId="0" applyAlignment="1">
      <alignment horizontal="center" vertical="center"/>
    </xf>
    <xf numFmtId="0" fontId="11" fillId="0" borderId="9" xfId="208" applyAlignment="1">
      <alignment vertical="top" wrapText="1"/>
    </xf>
    <xf numFmtId="0" fontId="0" fillId="0" borderId="0" xfId="0" applyBorder="1" applyAlignment="1">
      <alignment horizontal="center" vertical="center"/>
    </xf>
    <xf numFmtId="0" fontId="16" fillId="0" borderId="55" xfId="0" applyNumberFormat="1" applyFont="1" applyBorder="1" applyAlignment="1">
      <alignment horizontal="center" vertical="center" wrapText="1"/>
    </xf>
    <xf numFmtId="0" fontId="0" fillId="0" borderId="53" xfId="0" applyBorder="1">
      <alignment vertical="center"/>
    </xf>
    <xf numFmtId="0" fontId="8" fillId="0" borderId="0" xfId="0" applyFont="1" applyAlignment="1">
      <alignment horizontal="center" vertical="center" wrapText="1"/>
    </xf>
    <xf numFmtId="0" fontId="22" fillId="0" borderId="53" xfId="0" applyFont="1" applyBorder="1">
      <alignment vertical="center"/>
    </xf>
    <xf numFmtId="0" fontId="19"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53" xfId="0" applyFont="1" applyBorder="1" applyAlignment="1">
      <alignment horizontal="center" vertical="center" wrapText="1"/>
    </xf>
    <xf numFmtId="0" fontId="86" fillId="0" borderId="0" xfId="261" applyAlignment="1">
      <alignment vertical="center"/>
    </xf>
    <xf numFmtId="0" fontId="84" fillId="0" borderId="41" xfId="255" applyAlignment="1">
      <alignment vertical="center"/>
    </xf>
    <xf numFmtId="0" fontId="0" fillId="0" borderId="0" xfId="0" applyFont="1" applyAlignment="1">
      <alignment horizontal="right" vertical="center"/>
    </xf>
    <xf numFmtId="0" fontId="21" fillId="0" borderId="0" xfId="208" applyFont="1" applyBorder="1" applyAlignment="1">
      <alignment horizontal="center" vertical="top" wrapText="1"/>
    </xf>
    <xf numFmtId="0" fontId="2" fillId="0" borderId="44" xfId="279" applyAlignment="1">
      <alignment horizontal="center" vertical="top" wrapText="1"/>
      <protection locked="0"/>
    </xf>
    <xf numFmtId="0" fontId="2" fillId="0" borderId="0" xfId="327" applyFont="1" applyBorder="1" applyAlignment="1">
      <alignment horizontal="center"/>
    </xf>
    <xf numFmtId="0" fontId="84" fillId="0" borderId="41" xfId="255" applyBorder="1" applyAlignment="1">
      <alignment vertical="center"/>
    </xf>
    <xf numFmtId="0" fontId="84" fillId="0" borderId="41" xfId="255" applyBorder="1" applyAlignment="1">
      <alignment horizontal="right" vertical="center"/>
    </xf>
    <xf numFmtId="0" fontId="84" fillId="0" borderId="41" xfId="255" applyBorder="1" applyAlignment="1">
      <alignment horizontal="center" vertical="center"/>
    </xf>
    <xf numFmtId="0" fontId="0" fillId="0" borderId="41" xfId="0" applyFill="1" applyBorder="1">
      <alignment vertical="center"/>
    </xf>
    <xf numFmtId="0" fontId="0" fillId="0" borderId="57" xfId="0" applyBorder="1">
      <alignment vertical="center"/>
    </xf>
    <xf numFmtId="0" fontId="0" fillId="0" borderId="57" xfId="0" applyBorder="1" applyAlignment="1">
      <alignment horizontal="center" vertical="center"/>
    </xf>
    <xf numFmtId="0" fontId="22" fillId="0" borderId="57" xfId="0" applyFont="1" applyBorder="1">
      <alignment vertical="center"/>
    </xf>
    <xf numFmtId="0" fontId="22" fillId="0" borderId="57" xfId="0" applyFont="1" applyBorder="1" applyAlignment="1">
      <alignment horizontal="right" vertical="center"/>
    </xf>
    <xf numFmtId="0" fontId="22" fillId="0" borderId="57" xfId="0" applyFont="1" applyBorder="1" applyAlignment="1">
      <alignment horizontal="center" vertical="center"/>
    </xf>
    <xf numFmtId="0" fontId="14" fillId="0" borderId="49" xfId="327" applyFont="1" applyBorder="1" applyAlignment="1">
      <alignment horizontal="center"/>
    </xf>
    <xf numFmtId="0" fontId="91" fillId="0" borderId="0" xfId="244" applyFont="1">
      <alignment vertical="center"/>
    </xf>
    <xf numFmtId="0" fontId="92" fillId="0" borderId="0" xfId="244" applyFont="1">
      <alignment vertical="center"/>
    </xf>
    <xf numFmtId="4" fontId="2" fillId="0" borderId="45" xfId="273" applyNumberFormat="1" applyAlignment="1">
      <alignment horizontal="center"/>
      <protection locked="0"/>
    </xf>
    <xf numFmtId="0" fontId="5" fillId="0" borderId="0" xfId="0" applyFont="1" applyBorder="1" applyAlignment="1">
      <alignment horizontal="center" vertical="center"/>
    </xf>
    <xf numFmtId="0" fontId="16" fillId="0" borderId="0" xfId="0" applyNumberFormat="1" applyFont="1" applyBorder="1" applyAlignment="1">
      <alignment horizontal="center" vertical="center"/>
    </xf>
    <xf numFmtId="0" fontId="22" fillId="0" borderId="57" xfId="0" applyFont="1" applyBorder="1" applyAlignment="1">
      <alignment vertical="center"/>
    </xf>
    <xf numFmtId="0" fontId="0" fillId="0" borderId="0" xfId="0" applyBorder="1" applyAlignment="1">
      <alignment vertical="center"/>
    </xf>
    <xf numFmtId="0" fontId="27" fillId="0" borderId="0" xfId="208" applyFont="1" applyBorder="1" applyAlignment="1">
      <alignment horizontal="left" vertical="top"/>
    </xf>
    <xf numFmtId="0" fontId="2" fillId="0" borderId="0" xfId="327" applyFont="1" applyBorder="1" applyAlignment="1"/>
    <xf numFmtId="0" fontId="0" fillId="0" borderId="0" xfId="327" applyFont="1"/>
    <xf numFmtId="2" fontId="2" fillId="0" borderId="45" xfId="273" applyNumberFormat="1" applyAlignment="1">
      <alignment horizontal="center"/>
      <protection locked="0"/>
    </xf>
    <xf numFmtId="4" fontId="2" fillId="28" borderId="44" xfId="351" applyNumberFormat="1" applyBorder="1" applyAlignment="1" applyProtection="1">
      <alignment horizontal="center"/>
      <protection locked="0"/>
    </xf>
    <xf numFmtId="0" fontId="2" fillId="0" borderId="49" xfId="327" applyFont="1" applyBorder="1"/>
    <xf numFmtId="2" fontId="2" fillId="28" borderId="44" xfId="351" applyNumberFormat="1" applyBorder="1" applyAlignment="1" applyProtection="1">
      <alignment horizontal="center"/>
      <protection locked="0"/>
    </xf>
    <xf numFmtId="0" fontId="7" fillId="0" borderId="49" xfId="327" applyFont="1" applyBorder="1"/>
    <xf numFmtId="0" fontId="7" fillId="0" borderId="49" xfId="332" applyFont="1" applyFill="1" applyBorder="1" applyAlignment="1">
      <alignment horizontal="left" vertical="center" wrapText="1"/>
    </xf>
    <xf numFmtId="4" fontId="2" fillId="28" borderId="44" xfId="351" applyNumberFormat="1" applyBorder="1" applyAlignment="1" applyProtection="1">
      <alignment horizontal="center" vertical="center" wrapText="1"/>
      <protection locked="0"/>
    </xf>
    <xf numFmtId="169" fontId="93" fillId="0" borderId="58" xfId="0" applyNumberFormat="1" applyFont="1" applyBorder="1" applyAlignment="1">
      <alignment horizontal="center" vertical="center"/>
    </xf>
    <xf numFmtId="174" fontId="2" fillId="0" borderId="44" xfId="279" applyNumberFormat="1" applyAlignment="1">
      <alignment horizontal="center" vertical="top" wrapText="1"/>
      <protection locked="0"/>
    </xf>
    <xf numFmtId="0" fontId="1" fillId="0" borderId="0" xfId="246" applyFill="1" applyAlignment="1">
      <alignment vertical="center"/>
    </xf>
    <xf numFmtId="2" fontId="2" fillId="28" borderId="44" xfId="351" applyNumberFormat="1" applyFont="1" applyBorder="1" applyAlignment="1" applyProtection="1">
      <alignment horizontal="center"/>
      <protection locked="0"/>
    </xf>
    <xf numFmtId="2" fontId="2" fillId="33" borderId="44" xfId="351" applyNumberFormat="1" applyFill="1" applyBorder="1" applyAlignment="1" applyProtection="1">
      <alignment horizontal="center"/>
      <protection locked="0"/>
    </xf>
    <xf numFmtId="4" fontId="2" fillId="33" borderId="44" xfId="351" applyNumberFormat="1" applyFill="1" applyBorder="1" applyAlignment="1" applyProtection="1">
      <alignment horizontal="center"/>
      <protection locked="0"/>
    </xf>
    <xf numFmtId="4" fontId="2" fillId="28" borderId="44" xfId="351" applyNumberFormat="1" applyFont="1" applyBorder="1" applyAlignment="1" applyProtection="1">
      <alignment horizontal="center"/>
      <protection locked="0"/>
    </xf>
    <xf numFmtId="4" fontId="2" fillId="33" borderId="44" xfId="351" applyNumberFormat="1" applyFont="1" applyFill="1" applyBorder="1" applyAlignment="1" applyProtection="1">
      <alignment horizontal="center"/>
      <protection locked="0"/>
    </xf>
    <xf numFmtId="169" fontId="2" fillId="33" borderId="44" xfId="351" applyNumberFormat="1" applyFill="1" applyBorder="1" applyAlignment="1" applyProtection="1">
      <alignment horizontal="center"/>
      <protection locked="0"/>
    </xf>
    <xf numFmtId="2" fontId="2" fillId="33" borderId="59" xfId="351" applyNumberFormat="1" applyFill="1" applyBorder="1" applyAlignment="1" applyProtection="1">
      <alignment horizontal="center"/>
      <protection locked="0"/>
    </xf>
    <xf numFmtId="4" fontId="2" fillId="33" borderId="59" xfId="351" applyNumberFormat="1" applyFill="1" applyBorder="1" applyAlignment="1" applyProtection="1">
      <alignment horizontal="center"/>
      <protection locked="0"/>
    </xf>
    <xf numFmtId="0" fontId="2" fillId="0" borderId="60" xfId="273" applyBorder="1" applyAlignment="1">
      <alignment horizontal="center"/>
      <protection locked="0"/>
    </xf>
    <xf numFmtId="0" fontId="2" fillId="0" borderId="50" xfId="273" applyBorder="1" applyAlignment="1">
      <alignment horizontal="center"/>
      <protection locked="0"/>
    </xf>
    <xf numFmtId="0" fontId="2" fillId="0" borderId="50" xfId="273" applyFont="1" applyBorder="1" applyAlignment="1">
      <alignment horizontal="center"/>
      <protection locked="0"/>
    </xf>
    <xf numFmtId="0" fontId="5" fillId="0" borderId="49" xfId="327" applyFont="1" applyBorder="1"/>
    <xf numFmtId="169" fontId="2" fillId="0" borderId="44" xfId="279" applyNumberFormat="1" applyAlignment="1">
      <alignment horizontal="center" vertical="top" wrapText="1"/>
      <protection locked="0"/>
    </xf>
    <xf numFmtId="0" fontId="27" fillId="0" borderId="0" xfId="262" applyFont="1" applyFill="1" applyBorder="1" applyAlignment="1">
      <alignment horizontal="left" vertical="top"/>
    </xf>
    <xf numFmtId="2" fontId="2" fillId="33" borderId="59" xfId="351" applyNumberFormat="1" applyFont="1" applyFill="1" applyBorder="1" applyAlignment="1" applyProtection="1">
      <alignment horizontal="center"/>
      <protection locked="0"/>
    </xf>
    <xf numFmtId="10" fontId="2" fillId="33" borderId="44" xfId="351" applyNumberFormat="1" applyFill="1" applyBorder="1" applyAlignment="1" applyProtection="1">
      <alignment horizontal="center"/>
      <protection locked="0"/>
    </xf>
    <xf numFmtId="0" fontId="5" fillId="0" borderId="49" xfId="327" applyFont="1" applyBorder="1" applyAlignment="1">
      <alignment horizontal="center" wrapText="1"/>
    </xf>
    <xf numFmtId="0" fontId="28" fillId="0" borderId="0" xfId="262" applyFont="1" applyFill="1" applyBorder="1" applyAlignment="1">
      <alignment horizontal="left"/>
    </xf>
    <xf numFmtId="0" fontId="27" fillId="0" borderId="0" xfId="262" quotePrefix="1" applyFont="1" applyFill="1" applyBorder="1" applyAlignment="1">
      <alignment horizontal="left" vertical="top"/>
    </xf>
    <xf numFmtId="0" fontId="2" fillId="28" borderId="44" xfId="351" applyBorder="1" applyAlignment="1" applyProtection="1">
      <protection locked="0"/>
    </xf>
    <xf numFmtId="0" fontId="88" fillId="0" borderId="49" xfId="262" applyFont="1" applyFill="1" applyBorder="1" applyAlignment="1">
      <alignment horizontal="left" vertical="center" wrapText="1"/>
    </xf>
    <xf numFmtId="0" fontId="2" fillId="0" borderId="0" xfId="351" applyFill="1" applyBorder="1" applyAlignment="1" applyProtection="1">
      <protection locked="0"/>
    </xf>
    <xf numFmtId="0" fontId="94" fillId="0" borderId="0" xfId="246" applyFont="1" applyFill="1" applyAlignment="1">
      <alignment vertical="center"/>
    </xf>
    <xf numFmtId="4" fontId="2" fillId="0" borderId="48" xfId="262" applyNumberFormat="1" applyFill="1" applyBorder="1" applyAlignment="1" applyProtection="1">
      <alignment horizontal="center" vertical="center"/>
      <protection locked="0"/>
    </xf>
    <xf numFmtId="4" fontId="2" fillId="0" borderId="44" xfId="279" applyNumberFormat="1" applyAlignment="1">
      <alignment horizontal="center" vertical="center" wrapText="1"/>
      <protection locked="0"/>
    </xf>
    <xf numFmtId="4" fontId="2" fillId="0" borderId="44" xfId="279" applyNumberFormat="1" applyAlignment="1">
      <alignment horizontal="center"/>
      <protection locked="0"/>
    </xf>
    <xf numFmtId="2" fontId="2" fillId="0" borderId="44" xfId="279" applyNumberFormat="1" applyAlignment="1">
      <alignment horizontal="center"/>
      <protection locked="0"/>
    </xf>
    <xf numFmtId="0" fontId="94" fillId="0" borderId="0" xfId="350" applyFont="1" applyFill="1" applyBorder="1" applyAlignment="1">
      <alignment horizontal="left" vertical="top"/>
    </xf>
    <xf numFmtId="4" fontId="2" fillId="0" borderId="45" xfId="273" applyNumberFormat="1" applyFill="1" applyAlignment="1">
      <alignment horizontal="center" vertical="center"/>
      <protection locked="0"/>
    </xf>
    <xf numFmtId="2" fontId="2" fillId="0" borderId="48" xfId="273" applyNumberFormat="1" applyFill="1" applyBorder="1" applyAlignment="1">
      <alignment horizontal="center" vertical="center"/>
      <protection locked="0"/>
    </xf>
    <xf numFmtId="0" fontId="7" fillId="0" borderId="0" xfId="327" applyFont="1" applyFill="1"/>
    <xf numFmtId="0" fontId="89" fillId="0" borderId="0" xfId="327" applyFont="1"/>
    <xf numFmtId="0" fontId="29" fillId="0" borderId="0" xfId="0" applyFont="1" applyBorder="1" applyAlignment="1">
      <alignment vertical="top" wrapText="1"/>
    </xf>
    <xf numFmtId="0" fontId="95" fillId="0" borderId="0" xfId="327" applyFont="1" applyAlignment="1">
      <alignment horizontal="center"/>
    </xf>
    <xf numFmtId="0" fontId="89" fillId="0" borderId="49" xfId="327" applyFont="1" applyBorder="1"/>
    <xf numFmtId="0" fontId="89" fillId="0" borderId="49" xfId="0" applyFont="1" applyBorder="1" applyAlignment="1">
      <alignment vertical="top" wrapText="1"/>
    </xf>
    <xf numFmtId="0" fontId="27" fillId="0" borderId="0" xfId="262" applyFont="1" applyFill="1" applyBorder="1" applyAlignment="1">
      <alignment horizontal="left"/>
    </xf>
    <xf numFmtId="9" fontId="2" fillId="0" borderId="45" xfId="273" applyNumberFormat="1" applyAlignment="1">
      <alignment horizontal="center"/>
      <protection locked="0"/>
    </xf>
    <xf numFmtId="9" fontId="16" fillId="0" borderId="55" xfId="0" applyNumberFormat="1" applyFont="1" applyBorder="1" applyAlignment="1">
      <alignment horizontal="center" vertical="center" wrapText="1"/>
    </xf>
    <xf numFmtId="0" fontId="2" fillId="0" borderId="61" xfId="279" applyBorder="1" applyAlignment="1">
      <alignment horizontal="center" vertical="top" wrapText="1"/>
      <protection locked="0"/>
    </xf>
    <xf numFmtId="0" fontId="94" fillId="0" borderId="0" xfId="0" applyFont="1">
      <alignment vertical="center"/>
    </xf>
    <xf numFmtId="4" fontId="2" fillId="0" borderId="45" xfId="273" applyNumberFormat="1" applyAlignment="1">
      <alignment horizontal="center" vertical="center" wrapText="1"/>
      <protection locked="0"/>
    </xf>
    <xf numFmtId="0" fontId="96" fillId="0" borderId="0" xfId="327" applyFont="1"/>
    <xf numFmtId="4" fontId="93" fillId="0" borderId="45" xfId="273" applyNumberFormat="1" applyFont="1" applyAlignment="1">
      <alignment horizontal="center"/>
      <protection locked="0"/>
    </xf>
    <xf numFmtId="4" fontId="93" fillId="0" borderId="45" xfId="262" applyNumberFormat="1" applyFont="1" applyFill="1" applyBorder="1" applyAlignment="1" applyProtection="1">
      <alignment horizontal="center" vertical="center"/>
      <protection locked="0"/>
    </xf>
    <xf numFmtId="2" fontId="93" fillId="0" borderId="45" xfId="273" applyNumberFormat="1" applyFont="1" applyAlignment="1">
      <alignment horizontal="center"/>
      <protection locked="0"/>
    </xf>
    <xf numFmtId="2" fontId="93" fillId="0" borderId="45" xfId="273" applyNumberFormat="1" applyFont="1" applyFill="1" applyAlignment="1">
      <alignment horizontal="center" vertical="center" wrapText="1"/>
      <protection locked="0"/>
    </xf>
    <xf numFmtId="2" fontId="93" fillId="0" borderId="45" xfId="273" applyNumberFormat="1" applyFont="1" applyFill="1" applyAlignment="1">
      <alignment horizontal="center" vertical="center"/>
      <protection locked="0"/>
    </xf>
    <xf numFmtId="0" fontId="97" fillId="0" borderId="30" xfId="208" quotePrefix="1" applyFont="1" applyBorder="1" applyAlignment="1">
      <alignment horizontal="center" vertical="top" wrapText="1"/>
    </xf>
    <xf numFmtId="0" fontId="97" fillId="0" borderId="30" xfId="208" applyFont="1" applyBorder="1" applyAlignment="1">
      <alignment vertical="top"/>
    </xf>
    <xf numFmtId="0" fontId="98" fillId="0" borderId="53" xfId="0" applyNumberFormat="1" applyFont="1" applyBorder="1" applyAlignment="1">
      <alignment horizontal="center" vertical="center" wrapText="1"/>
    </xf>
    <xf numFmtId="1" fontId="93" fillId="0" borderId="58" xfId="0" applyNumberFormat="1" applyFont="1" applyBorder="1" applyAlignment="1">
      <alignment horizontal="center" vertical="center"/>
    </xf>
    <xf numFmtId="1" fontId="16" fillId="0" borderId="55" xfId="0" applyNumberFormat="1" applyFont="1" applyBorder="1" applyAlignment="1">
      <alignment horizontal="center" vertical="center" wrapText="1"/>
    </xf>
    <xf numFmtId="174" fontId="2" fillId="0" borderId="62" xfId="279" applyNumberFormat="1" applyBorder="1" applyAlignment="1">
      <alignment horizontal="center" vertical="top" wrapText="1"/>
      <protection locked="0"/>
    </xf>
    <xf numFmtId="4" fontId="93" fillId="0" borderId="44" xfId="279" applyNumberFormat="1" applyFont="1" applyAlignment="1">
      <alignment horizontal="center" vertical="center"/>
      <protection locked="0"/>
    </xf>
    <xf numFmtId="174" fontId="93" fillId="0" borderId="0" xfId="0" applyNumberFormat="1" applyFont="1" applyBorder="1" applyAlignment="1">
      <alignment horizontal="center" vertical="center"/>
    </xf>
    <xf numFmtId="174" fontId="16" fillId="0" borderId="0" xfId="0" applyNumberFormat="1" applyFont="1" applyBorder="1" applyAlignment="1">
      <alignment horizontal="center" vertical="center" wrapText="1"/>
    </xf>
    <xf numFmtId="174" fontId="93" fillId="0" borderId="63" xfId="0" applyNumberFormat="1" applyFont="1" applyBorder="1" applyAlignment="1">
      <alignment horizontal="center" vertical="center"/>
    </xf>
    <xf numFmtId="174" fontId="16" fillId="0" borderId="63" xfId="0" applyNumberFormat="1" applyFont="1" applyBorder="1" applyAlignment="1">
      <alignment horizontal="center" vertical="center" wrapText="1"/>
    </xf>
    <xf numFmtId="0" fontId="11" fillId="0" borderId="9" xfId="208" applyBorder="1" applyAlignment="1">
      <alignment vertical="top" wrapText="1"/>
    </xf>
    <xf numFmtId="0" fontId="2" fillId="0" borderId="0" xfId="323" applyFont="1"/>
    <xf numFmtId="0" fontId="86" fillId="0" borderId="0" xfId="323" applyFont="1"/>
    <xf numFmtId="0" fontId="85" fillId="0" borderId="64" xfId="245" applyFont="1" applyFill="1" applyBorder="1">
      <alignment vertical="center"/>
    </xf>
    <xf numFmtId="0" fontId="2" fillId="0" borderId="64" xfId="324" applyFont="1" applyBorder="1"/>
    <xf numFmtId="0" fontId="2" fillId="0" borderId="64" xfId="324" applyFont="1" applyFill="1" applyBorder="1"/>
    <xf numFmtId="0" fontId="85" fillId="0" borderId="0" xfId="245" applyFont="1" applyFill="1" applyBorder="1">
      <alignment vertical="center"/>
    </xf>
    <xf numFmtId="0" fontId="2" fillId="0" borderId="0" xfId="324" applyFont="1" applyBorder="1"/>
    <xf numFmtId="0" fontId="2" fillId="0" borderId="0" xfId="324" applyFont="1" applyFill="1" applyBorder="1"/>
    <xf numFmtId="0" fontId="0" fillId="0" borderId="0" xfId="324" applyFont="1" applyBorder="1"/>
    <xf numFmtId="0" fontId="5" fillId="0" borderId="0" xfId="323" quotePrefix="1" applyFont="1" applyAlignment="1">
      <alignment horizontal="center"/>
    </xf>
    <xf numFmtId="0" fontId="2" fillId="0" borderId="0" xfId="324" applyFont="1"/>
    <xf numFmtId="0" fontId="5" fillId="0" borderId="0" xfId="324" applyFont="1"/>
    <xf numFmtId="175" fontId="2" fillId="28" borderId="0" xfId="351" applyNumberFormat="1" applyFont="1" applyAlignment="1">
      <alignment horizontal="center"/>
    </xf>
    <xf numFmtId="175" fontId="2" fillId="28" borderId="0" xfId="351" applyNumberFormat="1" applyFont="1" applyAlignment="1">
      <alignment horizontal="center"/>
    </xf>
    <xf numFmtId="175" fontId="2" fillId="0" borderId="0" xfId="324" applyNumberFormat="1" applyFont="1" applyAlignment="1">
      <alignment horizontal="center"/>
    </xf>
    <xf numFmtId="175" fontId="2" fillId="0" borderId="0" xfId="324" applyNumberFormat="1" applyFont="1" applyFill="1" applyAlignment="1">
      <alignment horizontal="center"/>
    </xf>
    <xf numFmtId="175" fontId="0" fillId="0" borderId="0" xfId="324" applyNumberFormat="1" applyFont="1" applyAlignment="1">
      <alignment horizontal="center"/>
    </xf>
    <xf numFmtId="0" fontId="5" fillId="0" borderId="0" xfId="323" applyFont="1"/>
    <xf numFmtId="0" fontId="21" fillId="0" borderId="0" xfId="208" applyFont="1" applyBorder="1" applyAlignment="1">
      <alignment horizontal="left"/>
    </xf>
    <xf numFmtId="0" fontId="2" fillId="0" borderId="0" xfId="324" applyFont="1" applyFill="1"/>
    <xf numFmtId="0" fontId="0" fillId="0" borderId="0" xfId="323" applyFont="1"/>
    <xf numFmtId="3" fontId="2" fillId="0" borderId="0" xfId="279" applyNumberFormat="1" applyBorder="1" applyAlignment="1">
      <alignment horizontal="center"/>
      <protection locked="0"/>
    </xf>
    <xf numFmtId="176" fontId="2" fillId="0" borderId="0" xfId="324" applyNumberFormat="1" applyFont="1"/>
    <xf numFmtId="169" fontId="2" fillId="0" borderId="0" xfId="324" applyNumberFormat="1" applyFont="1" applyAlignment="1">
      <alignment horizontal="center"/>
    </xf>
    <xf numFmtId="0" fontId="11" fillId="0" borderId="31" xfId="208" applyBorder="1" applyAlignment="1">
      <alignment vertical="top" wrapText="1"/>
    </xf>
    <xf numFmtId="0" fontId="16" fillId="0" borderId="32" xfId="0" applyNumberFormat="1" applyFont="1" applyBorder="1" applyAlignment="1">
      <alignment horizontal="center" vertical="center" wrapText="1"/>
    </xf>
    <xf numFmtId="0" fontId="11" fillId="0" borderId="33" xfId="208" applyBorder="1" applyAlignment="1">
      <alignment vertical="top" wrapText="1"/>
    </xf>
    <xf numFmtId="0" fontId="16" fillId="0" borderId="34" xfId="0" applyNumberFormat="1" applyFont="1" applyBorder="1" applyAlignment="1">
      <alignment horizontal="center" vertical="center" wrapText="1"/>
    </xf>
    <xf numFmtId="0" fontId="11" fillId="0" borderId="9" xfId="208" quotePrefix="1" applyAlignment="1">
      <alignment vertical="top" wrapText="1"/>
    </xf>
    <xf numFmtId="175" fontId="16" fillId="0" borderId="55" xfId="0" applyNumberFormat="1" applyFont="1" applyBorder="1" applyAlignment="1">
      <alignment horizontal="center" vertical="center" wrapText="1"/>
    </xf>
    <xf numFmtId="3" fontId="16" fillId="0" borderId="55" xfId="0" applyNumberFormat="1" applyFont="1" applyBorder="1" applyAlignment="1">
      <alignment horizontal="center" vertical="center" wrapText="1"/>
    </xf>
    <xf numFmtId="3" fontId="2" fillId="0" borderId="0" xfId="327" applyNumberFormat="1" applyFont="1" applyBorder="1" applyAlignment="1">
      <alignment horizontal="center"/>
    </xf>
    <xf numFmtId="3" fontId="16" fillId="0" borderId="0" xfId="0" applyNumberFormat="1" applyFont="1" applyBorder="1" applyAlignment="1">
      <alignment horizontal="center" vertical="center" wrapText="1"/>
    </xf>
    <xf numFmtId="3" fontId="2" fillId="0" borderId="44" xfId="279" applyNumberFormat="1" applyBorder="1" applyAlignment="1">
      <alignment horizontal="center" vertical="top" wrapText="1"/>
      <protection locked="0"/>
    </xf>
    <xf numFmtId="0" fontId="90" fillId="0" borderId="56" xfId="208" quotePrefix="1" applyFont="1" applyBorder="1" applyAlignment="1">
      <alignment vertical="top" wrapText="1"/>
    </xf>
    <xf numFmtId="175" fontId="2" fillId="0" borderId="44" xfId="279" applyNumberFormat="1" applyBorder="1" applyAlignment="1">
      <alignment horizontal="center" vertical="top" wrapText="1"/>
      <protection locked="0"/>
    </xf>
    <xf numFmtId="4" fontId="2" fillId="0" borderId="60" xfId="273" applyNumberFormat="1" applyBorder="1" applyAlignment="1">
      <alignment horizontal="center"/>
      <protection locked="0"/>
    </xf>
    <xf numFmtId="10" fontId="2" fillId="28" borderId="60" xfId="351" applyNumberFormat="1" applyBorder="1" applyAlignment="1" applyProtection="1">
      <alignment horizontal="center"/>
      <protection locked="0"/>
    </xf>
    <xf numFmtId="169" fontId="2" fillId="28" borderId="45" xfId="351" applyNumberFormat="1" applyBorder="1" applyAlignment="1" applyProtection="1">
      <alignment horizontal="center"/>
      <protection locked="0"/>
    </xf>
    <xf numFmtId="2" fontId="2" fillId="0" borderId="0" xfId="327" applyNumberFormat="1" applyFont="1"/>
    <xf numFmtId="0" fontId="2" fillId="0" borderId="0" xfId="326" applyFont="1"/>
    <xf numFmtId="10" fontId="2" fillId="0" borderId="0" xfId="326" applyNumberFormat="1" applyFont="1"/>
    <xf numFmtId="0" fontId="95" fillId="0" borderId="0" xfId="326" applyFont="1" applyAlignment="1">
      <alignment horizontal="center"/>
    </xf>
    <xf numFmtId="10" fontId="2" fillId="0" borderId="45" xfId="273" applyNumberFormat="1" applyAlignment="1">
      <protection locked="0"/>
    </xf>
    <xf numFmtId="0" fontId="89" fillId="0" borderId="49" xfId="0" applyFont="1" applyFill="1" applyBorder="1" applyAlignment="1"/>
    <xf numFmtId="0" fontId="89" fillId="0" borderId="49" xfId="326" applyFont="1" applyBorder="1"/>
    <xf numFmtId="10" fontId="2" fillId="28" borderId="44" xfId="351" applyNumberFormat="1" applyBorder="1" applyAlignment="1" applyProtection="1">
      <protection locked="0"/>
    </xf>
    <xf numFmtId="0" fontId="5" fillId="0" borderId="49" xfId="327" applyFont="1" applyBorder="1" applyAlignment="1">
      <alignment horizontal="center"/>
    </xf>
    <xf numFmtId="0" fontId="89" fillId="0" borderId="0" xfId="326" applyFont="1" applyBorder="1"/>
    <xf numFmtId="10" fontId="2" fillId="0" borderId="0" xfId="326" applyNumberFormat="1" applyFont="1" applyAlignment="1">
      <alignment horizontal="center"/>
    </xf>
    <xf numFmtId="4" fontId="2" fillId="0" borderId="0" xfId="327" applyNumberFormat="1" applyFont="1"/>
    <xf numFmtId="0" fontId="11" fillId="0" borderId="9" xfId="208" applyFill="1" applyBorder="1" applyAlignment="1">
      <alignment vertical="top" wrapText="1"/>
    </xf>
    <xf numFmtId="9" fontId="16" fillId="0" borderId="63" xfId="0" applyNumberFormat="1" applyFont="1" applyFill="1" applyBorder="1" applyAlignment="1">
      <alignment horizontal="center" vertical="center" wrapText="1"/>
    </xf>
    <xf numFmtId="0" fontId="11" fillId="0" borderId="0" xfId="208" applyFill="1" applyBorder="1" applyAlignment="1">
      <alignment vertical="top"/>
    </xf>
    <xf numFmtId="0" fontId="90" fillId="0" borderId="56" xfId="208" applyFont="1" applyFill="1" applyBorder="1" applyAlignment="1">
      <alignment vertical="top" wrapText="1"/>
    </xf>
    <xf numFmtId="0" fontId="5" fillId="0" borderId="49" xfId="327" applyFont="1" applyBorder="1" applyAlignment="1">
      <alignment horizontal="center"/>
    </xf>
    <xf numFmtId="0" fontId="86" fillId="0" borderId="0" xfId="261" applyNumberFormat="1" applyAlignment="1">
      <alignment vertical="center"/>
    </xf>
    <xf numFmtId="0" fontId="5" fillId="0" borderId="0" xfId="327" applyFont="1" applyBorder="1"/>
    <xf numFmtId="0" fontId="2" fillId="0" borderId="64" xfId="323" applyFont="1" applyBorder="1"/>
    <xf numFmtId="0" fontId="2" fillId="0" borderId="0" xfId="323" applyFont="1" applyBorder="1"/>
    <xf numFmtId="0" fontId="5" fillId="0" borderId="64" xfId="323" quotePrefix="1" applyFont="1" applyBorder="1" applyAlignment="1">
      <alignment horizontal="center"/>
    </xf>
    <xf numFmtId="0" fontId="5" fillId="0" borderId="64" xfId="327" applyFont="1" applyBorder="1"/>
    <xf numFmtId="0" fontId="85" fillId="0" borderId="41" xfId="323" applyFont="1" applyBorder="1"/>
    <xf numFmtId="0" fontId="2" fillId="0" borderId="41" xfId="323" applyFont="1" applyBorder="1"/>
    <xf numFmtId="169" fontId="16" fillId="0" borderId="53" xfId="0" applyNumberFormat="1" applyFont="1" applyBorder="1" applyAlignment="1">
      <alignment horizontal="center" vertical="center" wrapText="1"/>
    </xf>
    <xf numFmtId="0" fontId="86" fillId="0" borderId="0" xfId="261" applyFill="1" applyAlignment="1">
      <alignment vertical="center"/>
    </xf>
    <xf numFmtId="169" fontId="0" fillId="0" borderId="53" xfId="0" applyNumberFormat="1" applyBorder="1">
      <alignment vertical="center"/>
    </xf>
    <xf numFmtId="169" fontId="2" fillId="0" borderId="44" xfId="279" applyNumberFormat="1" applyBorder="1" applyAlignment="1">
      <alignment horizontal="center" vertical="top" wrapText="1"/>
      <protection locked="0"/>
    </xf>
    <xf numFmtId="4" fontId="2" fillId="0" borderId="44" xfId="279" quotePrefix="1" applyNumberFormat="1" applyAlignment="1">
      <alignment horizontal="center"/>
      <protection locked="0"/>
    </xf>
    <xf numFmtId="0" fontId="0" fillId="0" borderId="0" xfId="323" applyFont="1" applyBorder="1"/>
    <xf numFmtId="4" fontId="2" fillId="28" borderId="0" xfId="351" applyNumberFormat="1" applyFont="1" applyAlignment="1">
      <alignment horizontal="center"/>
    </xf>
    <xf numFmtId="4" fontId="2" fillId="0" borderId="50" xfId="273" applyNumberFormat="1" applyBorder="1" applyAlignment="1">
      <alignment horizontal="center"/>
      <protection locked="0"/>
    </xf>
    <xf numFmtId="175" fontId="2" fillId="0" borderId="0" xfId="279" applyNumberFormat="1" applyBorder="1" applyAlignment="1">
      <alignment horizontal="center" vertical="top" wrapText="1"/>
      <protection locked="0"/>
    </xf>
    <xf numFmtId="0" fontId="85" fillId="0" borderId="41" xfId="245" applyFont="1" applyFill="1" applyBorder="1">
      <alignment vertical="center"/>
    </xf>
    <xf numFmtId="0" fontId="2" fillId="0" borderId="41" xfId="327" applyFont="1" applyBorder="1"/>
    <xf numFmtId="169" fontId="2" fillId="28" borderId="60" xfId="351" applyNumberFormat="1" applyBorder="1" applyAlignment="1" applyProtection="1">
      <alignment horizontal="center"/>
      <protection locked="0"/>
    </xf>
    <xf numFmtId="10" fontId="16" fillId="0" borderId="55" xfId="0" applyNumberFormat="1" applyFont="1" applyBorder="1" applyAlignment="1">
      <alignment horizontal="center" vertical="center" wrapText="1"/>
    </xf>
    <xf numFmtId="10" fontId="99" fillId="0" borderId="55" xfId="0" applyNumberFormat="1" applyFont="1" applyBorder="1" applyAlignment="1">
      <alignment horizontal="center" vertical="center" wrapText="1"/>
    </xf>
    <xf numFmtId="169" fontId="99" fillId="0" borderId="55" xfId="0" applyNumberFormat="1" applyFont="1" applyBorder="1" applyAlignment="1">
      <alignment horizontal="center" vertical="center" wrapText="1"/>
    </xf>
    <xf numFmtId="169" fontId="2" fillId="0" borderId="0" xfId="327" applyNumberFormat="1" applyFont="1"/>
    <xf numFmtId="9" fontId="2" fillId="0" borderId="0" xfId="327" applyNumberFormat="1" applyFont="1"/>
    <xf numFmtId="4" fontId="2" fillId="0" borderId="45" xfId="351" applyNumberFormat="1" applyFill="1" applyBorder="1" applyAlignment="1" applyProtection="1">
      <alignment horizontal="center"/>
      <protection locked="0"/>
    </xf>
    <xf numFmtId="220" fontId="77" fillId="0" borderId="0" xfId="0" applyNumberFormat="1" applyFont="1">
      <alignment vertical="center"/>
    </xf>
    <xf numFmtId="221" fontId="16" fillId="0" borderId="0" xfId="0" applyNumberFormat="1" applyFont="1" applyBorder="1" applyAlignment="1">
      <alignment horizontal="center" vertical="center" wrapText="1"/>
    </xf>
    <xf numFmtId="10" fontId="100" fillId="0" borderId="0" xfId="0" applyNumberFormat="1" applyFont="1">
      <alignment vertical="center"/>
    </xf>
    <xf numFmtId="4" fontId="2" fillId="0" borderId="45" xfId="273" quotePrefix="1" applyNumberFormat="1" applyAlignment="1">
      <alignment horizontal="center"/>
      <protection locked="0"/>
    </xf>
    <xf numFmtId="222" fontId="2" fillId="0" borderId="0" xfId="326" applyNumberFormat="1" applyFont="1"/>
    <xf numFmtId="10" fontId="2" fillId="0" borderId="0" xfId="327" applyNumberFormat="1" applyFont="1"/>
    <xf numFmtId="0" fontId="79" fillId="0" borderId="0" xfId="322"/>
    <xf numFmtId="0" fontId="6" fillId="0" borderId="0" xfId="322" applyFont="1" applyAlignment="1">
      <alignment horizontal="right"/>
    </xf>
    <xf numFmtId="0" fontId="101" fillId="0" borderId="0" xfId="322" applyFont="1" applyFill="1" applyAlignment="1">
      <alignment vertical="center"/>
    </xf>
    <xf numFmtId="0" fontId="101" fillId="0" borderId="0" xfId="322" applyFont="1"/>
    <xf numFmtId="0" fontId="101" fillId="0" borderId="0" xfId="322" applyFont="1" applyAlignment="1">
      <alignment vertical="center"/>
    </xf>
    <xf numFmtId="0" fontId="101" fillId="0" borderId="0" xfId="322" applyFont="1" applyAlignment="1">
      <alignment horizontal="left" vertical="center" wrapText="1" indent="1"/>
    </xf>
    <xf numFmtId="0" fontId="101" fillId="0" borderId="0" xfId="322" applyFont="1" applyBorder="1" applyAlignment="1">
      <alignment vertical="center"/>
    </xf>
    <xf numFmtId="0" fontId="2" fillId="0" borderId="0" xfId="322" applyFont="1" applyAlignment="1">
      <alignment horizontal="left" vertical="center"/>
    </xf>
    <xf numFmtId="0" fontId="2" fillId="0" borderId="0" xfId="322" applyFont="1" applyAlignment="1">
      <alignment vertical="center"/>
    </xf>
    <xf numFmtId="0" fontId="2" fillId="0" borderId="0" xfId="327" applyFont="1" applyAlignment="1">
      <alignment vertical="center"/>
    </xf>
    <xf numFmtId="0" fontId="2" fillId="0" borderId="0" xfId="327" applyFont="1" applyAlignment="1">
      <alignment vertical="center" wrapText="1"/>
    </xf>
    <xf numFmtId="4" fontId="2" fillId="29" borderId="47" xfId="352" applyNumberFormat="1" applyAlignment="1" applyProtection="1">
      <alignment horizontal="center" vertical="center"/>
      <protection locked="0"/>
    </xf>
    <xf numFmtId="2" fontId="2" fillId="29" borderId="47" xfId="352" applyNumberFormat="1" applyAlignment="1" applyProtection="1">
      <alignment horizontal="center" vertical="center"/>
      <protection locked="0"/>
    </xf>
    <xf numFmtId="2" fontId="2" fillId="29" borderId="47" xfId="352" applyNumberFormat="1" applyFont="1" applyAlignment="1" applyProtection="1">
      <alignment horizontal="center" vertical="center"/>
      <protection locked="0"/>
    </xf>
    <xf numFmtId="2" fontId="2" fillId="29" borderId="47" xfId="352" applyNumberFormat="1" applyAlignment="1" applyProtection="1">
      <alignment horizontal="center"/>
      <protection locked="0"/>
    </xf>
    <xf numFmtId="0" fontId="10" fillId="0" borderId="0" xfId="347" applyFill="1" applyBorder="1" applyAlignment="1">
      <alignment horizontal="left"/>
    </xf>
    <xf numFmtId="0" fontId="10" fillId="0" borderId="0" xfId="347" applyFill="1" applyBorder="1" applyAlignment="1">
      <alignment horizontal="left" vertical="top"/>
    </xf>
    <xf numFmtId="0" fontId="78" fillId="0" borderId="0" xfId="347" applyFont="1" applyFill="1" applyBorder="1" applyAlignment="1">
      <alignment horizontal="left"/>
    </xf>
    <xf numFmtId="2" fontId="2" fillId="29" borderId="47" xfId="352" applyNumberFormat="1" applyAlignment="1" applyProtection="1">
      <alignment horizontal="center" vertical="center" wrapText="1"/>
      <protection locked="0"/>
    </xf>
    <xf numFmtId="0" fontId="96" fillId="0" borderId="0" xfId="208" applyFont="1" applyBorder="1" applyAlignment="1">
      <alignment horizontal="left" vertical="top"/>
    </xf>
    <xf numFmtId="0" fontId="2" fillId="0" borderId="0" xfId="400">
      <alignment vertical="center"/>
    </xf>
    <xf numFmtId="3" fontId="2" fillId="29" borderId="47" xfId="352" applyNumberFormat="1" applyAlignment="1" applyProtection="1">
      <alignment horizontal="center" vertical="center"/>
      <protection locked="0"/>
    </xf>
    <xf numFmtId="3" fontId="2" fillId="29" borderId="47" xfId="352" applyNumberFormat="1" applyAlignment="1" applyProtection="1">
      <alignment horizontal="center"/>
      <protection locked="0"/>
    </xf>
    <xf numFmtId="3" fontId="2" fillId="29" borderId="47" xfId="352" applyNumberFormat="1" applyAlignment="1" applyProtection="1">
      <alignment horizontal="center" vertical="top" wrapText="1"/>
      <protection locked="0"/>
    </xf>
    <xf numFmtId="174" fontId="2" fillId="28" borderId="45" xfId="351" applyNumberFormat="1" applyBorder="1" applyAlignment="1" applyProtection="1">
      <alignment horizontal="center" vertical="top" wrapText="1"/>
      <protection locked="0"/>
    </xf>
    <xf numFmtId="9" fontId="2" fillId="29" borderId="47" xfId="352" applyNumberFormat="1" applyAlignment="1" applyProtection="1">
      <alignment horizontal="center"/>
      <protection locked="0"/>
    </xf>
    <xf numFmtId="0" fontId="95" fillId="0" borderId="0" xfId="327" applyFont="1" applyAlignment="1">
      <alignment horizontal="left"/>
    </xf>
    <xf numFmtId="0" fontId="96" fillId="0" borderId="0" xfId="326" applyFont="1"/>
    <xf numFmtId="10" fontId="2" fillId="29" borderId="47" xfId="352" applyNumberFormat="1" applyAlignment="1" applyProtection="1">
      <alignment horizontal="center"/>
      <protection locked="0"/>
    </xf>
    <xf numFmtId="0" fontId="10" fillId="0" borderId="0" xfId="347" applyBorder="1" applyAlignment="1">
      <alignment horizontal="left" vertical="top"/>
    </xf>
    <xf numFmtId="10" fontId="2" fillId="0" borderId="45" xfId="273" applyNumberFormat="1" applyAlignment="1">
      <alignment horizontal="center"/>
      <protection locked="0"/>
    </xf>
    <xf numFmtId="0" fontId="10" fillId="0" borderId="0" xfId="347" quotePrefix="1" applyFill="1" applyBorder="1" applyAlignment="1">
      <alignment horizontal="left" vertical="top"/>
    </xf>
    <xf numFmtId="0" fontId="10" fillId="0" borderId="0" xfId="347" applyFill="1" applyAlignment="1">
      <alignment vertical="center"/>
    </xf>
    <xf numFmtId="0" fontId="10" fillId="0" borderId="0" xfId="347" applyBorder="1" applyAlignment="1">
      <alignment horizontal="left"/>
    </xf>
    <xf numFmtId="0" fontId="86" fillId="0" borderId="0" xfId="261" applyFont="1" applyAlignment="1">
      <alignment vertical="center"/>
    </xf>
    <xf numFmtId="0" fontId="86" fillId="0" borderId="0" xfId="261" applyNumberFormat="1" applyFont="1" applyAlignment="1">
      <alignment vertical="center"/>
    </xf>
    <xf numFmtId="169" fontId="102" fillId="0" borderId="53" xfId="0" applyNumberFormat="1" applyFont="1" applyBorder="1" applyAlignment="1">
      <alignment horizontal="center" vertical="center" wrapText="1"/>
    </xf>
    <xf numFmtId="169" fontId="102" fillId="0" borderId="0" xfId="0" applyNumberFormat="1" applyFont="1" applyBorder="1" applyAlignment="1">
      <alignment horizontal="center" vertical="center" wrapText="1"/>
    </xf>
    <xf numFmtId="169" fontId="102" fillId="0" borderId="53" xfId="0" applyNumberFormat="1" applyFont="1" applyBorder="1">
      <alignment vertical="center"/>
    </xf>
    <xf numFmtId="0" fontId="102" fillId="0" borderId="32" xfId="0" applyNumberFormat="1" applyFont="1" applyBorder="1" applyAlignment="1">
      <alignment horizontal="center" vertical="center" wrapText="1"/>
    </xf>
    <xf numFmtId="0" fontId="102" fillId="0" borderId="34" xfId="0" applyNumberFormat="1" applyFont="1" applyBorder="1" applyAlignment="1">
      <alignment horizontal="center" vertical="center" wrapText="1"/>
    </xf>
    <xf numFmtId="0" fontId="102" fillId="0" borderId="0" xfId="0" applyNumberFormat="1" applyFont="1" applyBorder="1" applyAlignment="1">
      <alignment horizontal="center" vertical="center" wrapText="1"/>
    </xf>
    <xf numFmtId="3" fontId="102" fillId="0" borderId="55" xfId="0" applyNumberFormat="1" applyFont="1" applyBorder="1" applyAlignment="1">
      <alignment horizontal="center" vertical="center" wrapText="1"/>
    </xf>
    <xf numFmtId="169" fontId="102" fillId="0" borderId="55" xfId="0" applyNumberFormat="1" applyFont="1" applyBorder="1" applyAlignment="1">
      <alignment horizontal="center" vertical="center" wrapText="1"/>
    </xf>
    <xf numFmtId="10" fontId="102" fillId="29" borderId="47" xfId="352" applyNumberFormat="1" applyFont="1" applyAlignment="1">
      <alignment horizontal="center" vertical="center" wrapText="1"/>
    </xf>
    <xf numFmtId="9" fontId="93" fillId="29" borderId="47" xfId="352" applyNumberFormat="1" applyFont="1" applyAlignment="1">
      <alignment horizontal="center" vertical="center"/>
    </xf>
    <xf numFmtId="9" fontId="16" fillId="29" borderId="47" xfId="352" applyNumberFormat="1" applyFont="1" applyAlignment="1">
      <alignment horizontal="center" vertical="center" wrapText="1"/>
    </xf>
    <xf numFmtId="175" fontId="102" fillId="29" borderId="47" xfId="352" applyNumberFormat="1" applyFont="1" applyAlignment="1">
      <alignment horizontal="center" vertical="center"/>
    </xf>
    <xf numFmtId="10" fontId="102" fillId="29" borderId="47" xfId="352" applyNumberFormat="1" applyFont="1" applyAlignment="1">
      <alignment horizontal="center" vertical="center"/>
    </xf>
    <xf numFmtId="0" fontId="10" fillId="0" borderId="0" xfId="347" applyBorder="1" applyAlignment="1">
      <alignment vertical="center"/>
    </xf>
    <xf numFmtId="169" fontId="10" fillId="0" borderId="0" xfId="347" applyNumberFormat="1" applyBorder="1" applyAlignment="1">
      <alignment horizontal="center" vertical="center"/>
    </xf>
    <xf numFmtId="0" fontId="10" fillId="0" borderId="0" xfId="347" applyNumberFormat="1" applyBorder="1" applyAlignment="1">
      <alignment horizontal="center" vertical="center"/>
    </xf>
    <xf numFmtId="0" fontId="10" fillId="0" borderId="0" xfId="347" applyBorder="1" applyAlignment="1"/>
    <xf numFmtId="0" fontId="10" fillId="0" borderId="0" xfId="347" applyFill="1" applyBorder="1" applyAlignment="1">
      <alignment vertical="center"/>
    </xf>
    <xf numFmtId="0" fontId="10" fillId="0" borderId="0" xfId="347" applyNumberFormat="1" applyFill="1" applyBorder="1" applyAlignment="1">
      <alignment horizontal="center" vertical="center"/>
    </xf>
    <xf numFmtId="0" fontId="78" fillId="0" borderId="0" xfId="347" applyFont="1" applyBorder="1" applyAlignment="1">
      <alignment horizontal="left" vertical="top"/>
    </xf>
    <xf numFmtId="0" fontId="103" fillId="0" borderId="0" xfId="208" applyFont="1" applyBorder="1" applyAlignment="1">
      <alignment horizontal="left" vertical="top"/>
    </xf>
    <xf numFmtId="0" fontId="104" fillId="0" borderId="0" xfId="327" applyFont="1" applyAlignment="1">
      <alignment vertical="center" wrapText="1"/>
    </xf>
    <xf numFmtId="0" fontId="105" fillId="0" borderId="35" xfId="347" applyFont="1" applyBorder="1" applyAlignment="1">
      <alignment vertical="top" wrapText="1"/>
    </xf>
    <xf numFmtId="0" fontId="105" fillId="0" borderId="0" xfId="347" applyFont="1" applyAlignment="1">
      <alignment vertical="center"/>
    </xf>
    <xf numFmtId="0" fontId="105" fillId="0" borderId="65" xfId="347" applyFont="1" applyBorder="1" applyAlignment="1">
      <alignment vertical="top" wrapText="1"/>
    </xf>
    <xf numFmtId="0" fontId="105" fillId="0" borderId="0" xfId="347" applyFont="1" applyBorder="1" applyAlignment="1">
      <alignment vertical="top" wrapText="1"/>
    </xf>
    <xf numFmtId="0" fontId="105" fillId="0" borderId="65" xfId="347" applyFont="1" applyFill="1" applyBorder="1" applyAlignment="1">
      <alignment vertical="top" wrapText="1"/>
    </xf>
    <xf numFmtId="0" fontId="105" fillId="0" borderId="0" xfId="347" applyFont="1" applyBorder="1" applyAlignment="1">
      <alignment vertical="center"/>
    </xf>
    <xf numFmtId="0" fontId="105" fillId="0" borderId="31" xfId="347" applyFont="1" applyBorder="1" applyAlignment="1">
      <alignment vertical="top" wrapText="1"/>
    </xf>
    <xf numFmtId="0" fontId="105" fillId="0" borderId="33" xfId="347" applyFont="1" applyBorder="1" applyAlignment="1">
      <alignment vertical="top" wrapText="1"/>
    </xf>
    <xf numFmtId="0" fontId="105" fillId="0" borderId="0" xfId="347" applyFont="1" applyBorder="1" applyAlignment="1">
      <alignment horizontal="right" vertical="top" wrapText="1"/>
    </xf>
    <xf numFmtId="0" fontId="105" fillId="0" borderId="0" xfId="347" applyFont="1" applyBorder="1" applyAlignment="1">
      <alignment horizontal="right" vertical="center"/>
    </xf>
    <xf numFmtId="169" fontId="105" fillId="0" borderId="0" xfId="347" applyNumberFormat="1" applyFont="1" applyBorder="1" applyAlignment="1">
      <alignment horizontal="right" vertical="center" wrapText="1"/>
    </xf>
    <xf numFmtId="0" fontId="105" fillId="0" borderId="0" xfId="347" applyNumberFormat="1" applyFont="1" applyBorder="1" applyAlignment="1">
      <alignment horizontal="right" vertical="center" wrapText="1"/>
    </xf>
    <xf numFmtId="0" fontId="105" fillId="0" borderId="0" xfId="347" applyFont="1" applyBorder="1" applyAlignment="1">
      <alignment horizontal="right"/>
    </xf>
    <xf numFmtId="0" fontId="106" fillId="0" borderId="41" xfId="244" applyFont="1" applyBorder="1" applyAlignment="1">
      <alignment vertical="center"/>
    </xf>
    <xf numFmtId="0" fontId="3" fillId="0" borderId="0" xfId="244" applyFill="1">
      <alignment vertical="center"/>
    </xf>
    <xf numFmtId="0" fontId="3" fillId="0" borderId="0" xfId="244" applyFill="1" applyAlignment="1">
      <alignment vertical="center"/>
    </xf>
    <xf numFmtId="0" fontId="89" fillId="29" borderId="47" xfId="352" applyFont="1" applyAlignment="1"/>
    <xf numFmtId="0" fontId="10" fillId="0" borderId="41" xfId="347" applyBorder="1" applyAlignment="1">
      <alignment vertical="top"/>
    </xf>
    <xf numFmtId="0" fontId="104" fillId="0" borderId="0" xfId="327" applyFont="1" applyAlignment="1">
      <alignment vertical="center" wrapText="1"/>
    </xf>
    <xf numFmtId="0" fontId="2" fillId="0" borderId="0" xfId="327" applyFont="1" applyAlignment="1">
      <alignment vertical="center" wrapText="1"/>
    </xf>
    <xf numFmtId="0" fontId="11" fillId="0" borderId="0" xfId="0" applyFont="1" applyAlignment="1">
      <alignment vertical="center" wrapText="1"/>
    </xf>
    <xf numFmtId="0" fontId="0" fillId="0" borderId="0" xfId="0" applyFont="1" applyAlignment="1">
      <alignment vertical="center" wrapText="1"/>
    </xf>
    <xf numFmtId="0" fontId="5" fillId="0" borderId="66" xfId="327" applyFont="1" applyBorder="1" applyAlignment="1">
      <alignment horizontal="center" wrapText="1"/>
    </xf>
    <xf numFmtId="0" fontId="0" fillId="0" borderId="68" xfId="0" applyBorder="1" applyAlignment="1">
      <alignment wrapText="1"/>
    </xf>
    <xf numFmtId="0" fontId="0" fillId="0" borderId="67" xfId="0" applyBorder="1" applyAlignment="1">
      <alignment wrapText="1"/>
    </xf>
    <xf numFmtId="0" fontId="14" fillId="0" borderId="49" xfId="327" applyFont="1" applyBorder="1" applyAlignment="1">
      <alignment horizontal="center"/>
    </xf>
    <xf numFmtId="0" fontId="0" fillId="0" borderId="67" xfId="0" applyBorder="1" applyAlignment="1">
      <alignment vertical="center" wrapText="1"/>
    </xf>
    <xf numFmtId="0" fontId="5" fillId="0" borderId="49" xfId="239" applyFont="1" applyFill="1" applyBorder="1" applyAlignment="1">
      <alignment horizontal="center" vertical="center" wrapText="1"/>
    </xf>
    <xf numFmtId="2" fontId="14" fillId="0" borderId="66" xfId="332" applyNumberFormat="1" applyFont="1" applyFill="1" applyBorder="1" applyAlignment="1">
      <alignment horizontal="center" vertical="center" wrapText="1"/>
    </xf>
    <xf numFmtId="0" fontId="0" fillId="0" borderId="68" xfId="0" applyBorder="1" applyAlignment="1">
      <alignment horizontal="center" vertical="center"/>
    </xf>
    <xf numFmtId="0" fontId="0" fillId="0" borderId="67" xfId="0" applyBorder="1" applyAlignment="1">
      <alignment horizontal="center" vertical="center"/>
    </xf>
    <xf numFmtId="0" fontId="30" fillId="0" borderId="69" xfId="327" applyFont="1" applyBorder="1" applyAlignment="1">
      <alignment horizontal="center"/>
    </xf>
    <xf numFmtId="0" fontId="30" fillId="0" borderId="70" xfId="327" applyFont="1" applyBorder="1" applyAlignment="1">
      <alignment horizontal="center"/>
    </xf>
    <xf numFmtId="0" fontId="30" fillId="0" borderId="71" xfId="327" applyFont="1" applyBorder="1" applyAlignment="1">
      <alignment horizontal="center"/>
    </xf>
    <xf numFmtId="0" fontId="0" fillId="0" borderId="68" xfId="0" applyFill="1" applyBorder="1" applyAlignment="1">
      <alignment horizontal="center" vertical="center"/>
    </xf>
    <xf numFmtId="0" fontId="0" fillId="0" borderId="67" xfId="0" applyFill="1" applyBorder="1" applyAlignment="1">
      <alignment horizontal="center" vertical="center"/>
    </xf>
    <xf numFmtId="0" fontId="14" fillId="0" borderId="67" xfId="327" applyFont="1" applyBorder="1" applyAlignment="1">
      <alignment horizontal="center"/>
    </xf>
    <xf numFmtId="0" fontId="5" fillId="0" borderId="49" xfId="327" applyFont="1" applyBorder="1" applyAlignment="1">
      <alignment horizontal="center"/>
    </xf>
    <xf numFmtId="0" fontId="0" fillId="0" borderId="49" xfId="0" applyBorder="1" applyAlignment="1">
      <alignment vertical="center"/>
    </xf>
    <xf numFmtId="0" fontId="5" fillId="0" borderId="49" xfId="239" applyFont="1" applyFill="1" applyBorder="1" applyAlignment="1">
      <alignment horizontal="center" vertical="center"/>
    </xf>
  </cellXfs>
  <cellStyles count="426">
    <cellStyle name=" _x0007_" xfId="1"/>
    <cellStyle name=" 1" xfId="2"/>
    <cellStyle name=" _x0007_LÓ" xfId="3"/>
    <cellStyle name=" _x0007_LÓ_x0018_" xfId="4"/>
    <cellStyle name=" _x0007_LÓ_x0018_ÄþÍ" xfId="5"/>
    <cellStyle name=" _x0007_LÓ_x0018_ÄþÍN^NuNVþˆHÁ_x0001__x0018_(n" xfId="6"/>
    <cellStyle name=" _x0007_LÓ_x0018_ÄþÍN^NuNVþˆHÁ_x0001__x0018_(n 2" xfId="7"/>
    <cellStyle name=" _x0007_LÓ_x0018_ÄþÍN^NuNVþˆHÁ_x0001__x0018_(n 2 2" xfId="8"/>
    <cellStyle name=" _x0007_LÓ_x0018_ÄþÍN^NuNVþˆHÁ_x0001__x0018_(n 2 3" xfId="9"/>
    <cellStyle name=" _x0007_LÓ_x0018_ÄþÍN^NuNVþˆHÁ_x0001__x0018_(n 3" xfId="10"/>
    <cellStyle name=" _x0007_LÓ_x0018_ÄþÍN^NuNVþˆHÁ_x0001__x0018_(n 4" xfId="11"/>
    <cellStyle name=" _x0007_LÓ_x0018_ÄþÍN^NuNVþˆHÁ_x0001__x0018_(n 4 2" xfId="12"/>
    <cellStyle name=" _x0007_LÓ_x0018_ÄþÍN^NuNVþˆHÁ_x0001__x0018_(n 5" xfId="13"/>
    <cellStyle name="%" xfId="14"/>
    <cellStyle name="% 2" xfId="15"/>
    <cellStyle name="%_ETHERNET VOLS x UF SPLIT BY AS VOL" xfId="16"/>
    <cellStyle name="%_ISDN30 model050809 (Aggressive Base Case)" xfId="17"/>
    <cellStyle name="%_SG&amp;A Analysis 161209" xfId="18"/>
    <cellStyle name="%_SG&amp;A Analysis 211209" xfId="19"/>
    <cellStyle name="%_SGA Analysis 231209" xfId="20"/>
    <cellStyle name="????[0]_2.5G????" xfId="21"/>
    <cellStyle name="????_2.5G????_SBS155622 Quotation Template V6.0" xfId="22"/>
    <cellStyle name="??_Book2" xfId="23"/>
    <cellStyle name="?Q\?1@" xfId="24"/>
    <cellStyle name="]_x000d__x000a_Zoomed=1_x000d__x000a_Row=0_x000d__x000a_Column=0_x000d__x000a_Height=0_x000d__x000a_Width=0_x000d__x000a_FontName=FoxFont_x000d__x000a_FontStyle=0_x000d__x000a_FontSize=9_x000d__x000a_PrtFontName=FoxPrin" xfId="25"/>
    <cellStyle name="_04 12 10 0506 Budget Plan Pack - Director Sign off Version1" xfId="26"/>
    <cellStyle name="_04 12 10 0506 Budget Plan Pack - Director Sign off Version1_ISDN30 model050809 (Aggressive Base Case)" xfId="27"/>
    <cellStyle name="_04 12 15 - 0506 Budget Plan Pack - Director Sign off Version 5.01" xfId="28"/>
    <cellStyle name="_04 12 15 - 0506 Budget Plan Pack - Director Sign off Version 5.01_ISDN30 model050809 (Aggressive Base Case)" xfId="29"/>
    <cellStyle name="_040427 Omzet per BU_RJM" xfId="30"/>
    <cellStyle name="_05 02 08 - 0506 Budget Plan v14.3" xfId="31"/>
    <cellStyle name="_05 02 08 - 0506 Budget Plan v14.3_ISDN30 model050809 (Aggressive Base Case)" xfId="32"/>
    <cellStyle name="_21C_BUDGET_POSITION_05063" xfId="33"/>
    <cellStyle name="_Absolute latest PL 05_06 with actual 04_05 outurn" xfId="34"/>
    <cellStyle name="_Absolute latest PL 05_06 with actual 04_05 outurn_ISDN30 model050809 (Aggressive Base Case)" xfId="35"/>
    <cellStyle name="_Aspire costs Low Level Feed" xfId="36"/>
    <cellStyle name="_base 1 output P11" xfId="37"/>
    <cellStyle name="_BBBasicVoicemodel1605072" xfId="38"/>
    <cellStyle name="_BC" xfId="39"/>
    <cellStyle name="_BCA" xfId="40"/>
    <cellStyle name="_BCB" xfId="41"/>
    <cellStyle name="_BCMR_Paybacks_AU_14Nov08_latest_prices_QRF3" xfId="42"/>
    <cellStyle name="_BCMR_unit_costs_10Nov08_PPGmeeting" xfId="43"/>
    <cellStyle name="_BES" xfId="44"/>
    <cellStyle name="_Book1 (6)" xfId="45"/>
    <cellStyle name="_Book1 (6)_ISDN30 model050809 (Aggressive Base Case)" xfId="46"/>
    <cellStyle name="_Bottom Up Maart" xfId="47"/>
    <cellStyle name="_CCrew QRF 3 Volume File Revision V1b" xfId="48"/>
    <cellStyle name="_CCrew QRF 3 Volume File Revision V1b_ISDN30 model050809 (Aggressive Base Case)" xfId="49"/>
    <cellStyle name="_CCTV - Final Pricing - GM Version Glide Path 4 12.02 updated 0607 Fibre &amp; Duct costs" xfId="50"/>
    <cellStyle name="_Churn 2004" xfId="51"/>
    <cellStyle name="_Consolidatie set Overig opbr+verkr BU VT JP2004 versie6" xfId="52"/>
    <cellStyle name="_Consolidatie set P&amp;L omzet BU VT JP2004 versie6" xfId="53"/>
    <cellStyle name="_development prioritisation v2.11" xfId="54"/>
    <cellStyle name="_development prioritisation v2.11_ISDN30 model050809 (Aggressive Base Case)" xfId="55"/>
    <cellStyle name="_drivers" xfId="56"/>
    <cellStyle name="_ETHERNET VOLS x UF SPLIT BY AS VOL" xfId="57"/>
    <cellStyle name="_EY, Market scenario model, v1.10" xfId="58"/>
    <cellStyle name="_jev 2004 augustus" xfId="59"/>
    <cellStyle name="_JEV april" xfId="60"/>
    <cellStyle name="_kmh_011106v3b Mike" xfId="61"/>
    <cellStyle name="_KPN Fixed" xfId="62"/>
    <cellStyle name="_MB Indicative Pricing Analysis BES Outside Bcast 270m v1 0407" xfId="63"/>
    <cellStyle name="_oak cost of sales_d10d(vol flex)" xfId="64"/>
    <cellStyle name="_oak cost of sales_d10d(vol flex)_ISDN30 model050809 (Aggressive Base Case)" xfId="65"/>
    <cellStyle name="_omzetbreakdown jan 2004" xfId="66"/>
    <cellStyle name="_PG503 Assurance Model including Internal 0809_v1 Ethernet FTE" xfId="67"/>
    <cellStyle name="_PG503 Assurance Model including Internal P6 0910 Draft 1 WIP" xfId="68"/>
    <cellStyle name="_Priority Matrix 090105vr v2" xfId="69"/>
    <cellStyle name="_Priority Matrix 090105vr v2_ISDN30 model050809 (Aggressive Base Case)" xfId="70"/>
    <cellStyle name="_Prirotised capex v7 DB" xfId="71"/>
    <cellStyle name="_Prirotised capex v7 DB_ISDN30 model050809 (Aggressive Base Case)" xfId="72"/>
    <cellStyle name="_Productierapportage CM" xfId="73"/>
    <cellStyle name="_ROI MD Data Prioritisation 170205" xfId="74"/>
    <cellStyle name="_ROI MD Data Prioritisation 170205_ISDN30 model050809 (Aggressive Base Case)" xfId="75"/>
    <cellStyle name="_SG&amp;A Analysis 161209" xfId="76"/>
    <cellStyle name="_SG&amp;A Analysis 211209" xfId="77"/>
    <cellStyle name="_SG&amp;A Provisioning base PG501B plus internals 0809" xfId="78"/>
    <cellStyle name="_SG&amp;A Provisioning base PG501B plus internals P6 0910 Draft 1 WIP" xfId="79"/>
    <cellStyle name="_SGA Analysis 231209" xfId="80"/>
    <cellStyle name="_SHDS Fibre and Duct costs 0607 (3) LATEST &amp; BEST v2" xfId="81"/>
    <cellStyle name="_Sheet1" xfId="82"/>
    <cellStyle name="_Sheet1_ISDN30 model050809 (Aggressive Base Case)" xfId="83"/>
    <cellStyle name="_Summary Info" xfId="84"/>
    <cellStyle name="_tasktimes dataslides031106v3 Kam" xfId="85"/>
    <cellStyle name="_view of costs 11th sept 08 (2)" xfId="86"/>
    <cellStyle name="_WEES_WES_Cost Stack _External Resite_2008" xfId="87"/>
    <cellStyle name="_WES BES Model 0506 draft 020606" xfId="88"/>
    <cellStyle name="_WES LA Pricing Analysis v21" xfId="89"/>
    <cellStyle name="_WES LA Pricing Analysis v22" xfId="90"/>
    <cellStyle name="_Wk16" xfId="91"/>
    <cellStyle name="=C:\WINNT\SYSTEM32\COMMAND.COM" xfId="92"/>
    <cellStyle name="§Q\?1@" xfId="93"/>
    <cellStyle name="§Q\?1@ 2" xfId="94"/>
    <cellStyle name="0,0_x000a__x000a_NA_x000a__x000a_" xfId="95"/>
    <cellStyle name="0,0_x000d__x000a_NA_x000d__x000a_" xfId="96"/>
    <cellStyle name="15.2" xfId="97"/>
    <cellStyle name="9" xfId="98"/>
    <cellStyle name="9_BES_WES_2.5G_10G_Pricing_Paper_Financials_5Feb09" xfId="99"/>
    <cellStyle name="aaa" xfId="100"/>
    <cellStyle name="ÅëÈ­ [0]_laroux" xfId="101"/>
    <cellStyle name="ÅëÈ­_laroux" xfId="102"/>
    <cellStyle name="ÄÞ¸¶ [0]_laroux" xfId="103"/>
    <cellStyle name="ÄÞ¸¶_laroux" xfId="104"/>
    <cellStyle name="Bad" xfId="420" builtinId="27" hidden="1"/>
    <cellStyle name="Body" xfId="105"/>
    <cellStyle name="BoldItalic" xfId="106"/>
    <cellStyle name="Ç¥ÁØ_ÀÎÀç°³¹ß¿ø" xfId="107"/>
    <cellStyle name="Calc" xfId="108"/>
    <cellStyle name="calc  Amount" xfId="109"/>
    <cellStyle name="Calc - Blue" xfId="110"/>
    <cellStyle name="Calc - Blue 2" xfId="111"/>
    <cellStyle name="Calc - Feed" xfId="112"/>
    <cellStyle name="Calc - Feed 2" xfId="113"/>
    <cellStyle name="Calc - Green" xfId="114"/>
    <cellStyle name="Calc - Green 2" xfId="115"/>
    <cellStyle name="Calc - Grey" xfId="116"/>
    <cellStyle name="Calc - Grey 2" xfId="117"/>
    <cellStyle name="Calc - Light" xfId="118"/>
    <cellStyle name="Calc - Light White" xfId="119"/>
    <cellStyle name="Calc - White" xfId="120"/>
    <cellStyle name="Calc - White 2" xfId="121"/>
    <cellStyle name="Calc - White Light" xfId="122"/>
    <cellStyle name="Calc - White_AOP Budget Bible 211105 v1" xfId="123"/>
    <cellStyle name="Calc 2" xfId="124"/>
    <cellStyle name="CALC Amount" xfId="125"/>
    <cellStyle name="CALC Amount [1]" xfId="126"/>
    <cellStyle name="CALC Amount [2]" xfId="127"/>
    <cellStyle name="CALC Amount Total" xfId="128"/>
    <cellStyle name="CALC Amount Total [1]" xfId="129"/>
    <cellStyle name="CALC Amount Total [2]" xfId="130"/>
    <cellStyle name="CALC Currency" xfId="131"/>
    <cellStyle name="Calc Currency (0)" xfId="132"/>
    <cellStyle name="CALC Currency [1]" xfId="133"/>
    <cellStyle name="CALC Currency [2]" xfId="134"/>
    <cellStyle name="CALC Currency Total" xfId="135"/>
    <cellStyle name="CALC Currency Total [1]" xfId="136"/>
    <cellStyle name="CALC Currency Total [2]" xfId="137"/>
    <cellStyle name="CALC Date Long" xfId="138"/>
    <cellStyle name="CALC Date Short" xfId="139"/>
    <cellStyle name="CALC list" xfId="140"/>
    <cellStyle name="CALC Percent" xfId="141"/>
    <cellStyle name="CALC Percent [1]" xfId="142"/>
    <cellStyle name="CALC Percent [2]" xfId="143"/>
    <cellStyle name="CALC Percent Total" xfId="144"/>
    <cellStyle name="CALC Percent Total [1]" xfId="145"/>
    <cellStyle name="CALC Percent Total [2]" xfId="146"/>
    <cellStyle name="Calc White" xfId="147"/>
    <cellStyle name="Calc_AOP Budget Bible 211105 v1" xfId="148"/>
    <cellStyle name="Calculation" xfId="149"/>
    <cellStyle name="Calculation - Column total" xfId="150"/>
    <cellStyle name="Calculation - Info only" xfId="151"/>
    <cellStyle name="Calculation - Info only Row total" xfId="152"/>
    <cellStyle name="Calculation - Reformatting data" xfId="153"/>
    <cellStyle name="Calculation - Row total" xfId="154"/>
    <cellStyle name="Calculation - Source fr input" xfId="155"/>
    <cellStyle name="Calculation - Sum" xfId="156"/>
    <cellStyle name="check" xfId="157"/>
    <cellStyle name="Check Cell" xfId="424" builtinId="23" hidden="1"/>
    <cellStyle name="Checksum" xfId="158"/>
    <cellStyle name="Checksum 2" xfId="159"/>
    <cellStyle name="Checksum 3" xfId="160"/>
    <cellStyle name="CheckSum label" xfId="161"/>
    <cellStyle name="Clear" xfId="162"/>
    <cellStyle name="Comma  - Style1" xfId="163"/>
    <cellStyle name="Comma  - Style2" xfId="164"/>
    <cellStyle name="Comma  - Style3" xfId="165"/>
    <cellStyle name="Comma  - Style4" xfId="166"/>
    <cellStyle name="Comma  - Style5" xfId="167"/>
    <cellStyle name="Comma  - Style6" xfId="168"/>
    <cellStyle name="Comma  - Style7" xfId="169"/>
    <cellStyle name="Comma  - Style8" xfId="170"/>
    <cellStyle name="comma [1]" xfId="171"/>
    <cellStyle name="Comma 0" xfId="172"/>
    <cellStyle name="Comma 0*" xfId="173"/>
    <cellStyle name="Comma 0_Board Presentation Back Up v3.3" xfId="174"/>
    <cellStyle name="Comma 2" xfId="175"/>
    <cellStyle name="Comma 2 2" xfId="176"/>
    <cellStyle name="Comma 3" xfId="177"/>
    <cellStyle name="Comma 3 2" xfId="178"/>
    <cellStyle name="Comma 4" xfId="179"/>
    <cellStyle name="Comma 4 2" xfId="180"/>
    <cellStyle name="Copied" xfId="181"/>
    <cellStyle name="Currency 0" xfId="182"/>
    <cellStyle name="Currency 2" xfId="183"/>
    <cellStyle name="Currency 2 2" xfId="184"/>
    <cellStyle name="Currency 2 3" xfId="185"/>
    <cellStyle name="Currency-$" xfId="186"/>
    <cellStyle name="Currency-£" xfId="187"/>
    <cellStyle name="Currency-F" xfId="188"/>
    <cellStyle name="Data" xfId="189"/>
    <cellStyle name="DATA Amount" xfId="190"/>
    <cellStyle name="DATA Amount [1]" xfId="191"/>
    <cellStyle name="DATA Amount [2]" xfId="192"/>
    <cellStyle name="DATA Currency" xfId="193"/>
    <cellStyle name="DATA Currency [1]" xfId="194"/>
    <cellStyle name="DATA Currency [2]" xfId="195"/>
    <cellStyle name="DATA Date Long" xfId="196"/>
    <cellStyle name="DATA Date Short" xfId="197"/>
    <cellStyle name="DATA List" xfId="198"/>
    <cellStyle name="DATA Memo" xfId="199"/>
    <cellStyle name="DATA Percent" xfId="200"/>
    <cellStyle name="DATA Percent [1]" xfId="201"/>
    <cellStyle name="DATA Percent [2]" xfId="202"/>
    <cellStyle name="DATA Text" xfId="203"/>
    <cellStyle name="DATA Version" xfId="204"/>
    <cellStyle name="DataEntry" xfId="205"/>
    <cellStyle name="Date" xfId="206"/>
    <cellStyle name="Date Aligned" xfId="207"/>
    <cellStyle name="Description" xfId="208"/>
    <cellStyle name="Dotted Line" xfId="209"/>
    <cellStyle name="Entered" xfId="210"/>
    <cellStyle name="entry box" xfId="211"/>
    <cellStyle name="entry box 2" xfId="212"/>
    <cellStyle name="Euro" xfId="213"/>
    <cellStyle name="Exception" xfId="214"/>
    <cellStyle name="Exception - Light" xfId="215"/>
    <cellStyle name="Exception 2" xfId="216"/>
    <cellStyle name="Exception_AOP Budget Bible 211105 v1" xfId="217"/>
    <cellStyle name="Explanatory Text 2" xfId="218"/>
    <cellStyle name="Explanatory Text 2 2" xfId="219"/>
    <cellStyle name="Explanatory Text 2 3" xfId="220"/>
    <cellStyle name="Explanatory Text 3" xfId="221"/>
    <cellStyle name="Export data" xfId="222"/>
    <cellStyle name="External links" xfId="223"/>
    <cellStyle name="Feeder Field" xfId="224"/>
    <cellStyle name="Feeder Field - Light" xfId="225"/>
    <cellStyle name="Feeder Field 2" xfId="226"/>
    <cellStyle name="Feeder Field Light" xfId="227"/>
    <cellStyle name="Feeder Field_AOP Budget Bible 211105 v1" xfId="228"/>
    <cellStyle name="font" xfId="229"/>
    <cellStyle name="Footnote" xfId="230"/>
    <cellStyle name="General No - Black" xfId="231"/>
    <cellStyle name="General No (Black)" xfId="232"/>
    <cellStyle name="General No (Red)" xfId="233"/>
    <cellStyle name="Good" xfId="419" builtinId="26" hidden="1"/>
    <cellStyle name="Grand Total" xfId="234"/>
    <cellStyle name="Grey" xfId="235"/>
    <cellStyle name="Greyed out" xfId="236"/>
    <cellStyle name="Greyed out - Light" xfId="237"/>
    <cellStyle name="Greyed out_AOP Budget Bible 211105 v1" xfId="238"/>
    <cellStyle name="H0" xfId="239"/>
    <cellStyle name="H0 2" xfId="240"/>
    <cellStyle name="H0 2 2" xfId="241"/>
    <cellStyle name="H0 2 3" xfId="242"/>
    <cellStyle name="H0 3" xfId="243"/>
    <cellStyle name="H1" xfId="244"/>
    <cellStyle name="H2" xfId="245"/>
    <cellStyle name="H3" xfId="246"/>
    <cellStyle name="H4" xfId="247"/>
    <cellStyle name="Hard Percent" xfId="248"/>
    <cellStyle name="Header" xfId="249"/>
    <cellStyle name="Header1" xfId="250"/>
    <cellStyle name="Header2" xfId="251"/>
    <cellStyle name="Heading 1 2" xfId="252"/>
    <cellStyle name="Heading 1 2 2" xfId="253"/>
    <cellStyle name="Heading 1 2 3" xfId="254"/>
    <cellStyle name="Heading 1 3" xfId="255"/>
    <cellStyle name="Heading 2 2" xfId="256"/>
    <cellStyle name="Heading 2 3" xfId="257"/>
    <cellStyle name="Heading 3 2" xfId="258"/>
    <cellStyle name="Heading 3 3" xfId="259"/>
    <cellStyle name="Heading 4 2" xfId="260"/>
    <cellStyle name="Heading 4 3" xfId="261"/>
    <cellStyle name="Highlight" xfId="262"/>
    <cellStyle name="Input" xfId="422" builtinId="20" hidden="1"/>
    <cellStyle name="Input - ext source" xfId="263"/>
    <cellStyle name="Input [yellow]" xfId="264"/>
    <cellStyle name="Input [yellow] 2" xfId="265"/>
    <cellStyle name="Input 1" xfId="266"/>
    <cellStyle name="Input 1 - Light" xfId="267"/>
    <cellStyle name="Input 1_AOP Budget Bible 211105 v1" xfId="268"/>
    <cellStyle name="Input 2" xfId="269"/>
    <cellStyle name="Input 2 - Light" xfId="270"/>
    <cellStyle name="Input 2_AOP Budget Bible 211105 v1" xfId="271"/>
    <cellStyle name="Input calculation" xfId="272"/>
    <cellStyle name="Input data" xfId="273"/>
    <cellStyle name="Input data 2" xfId="274"/>
    <cellStyle name="Input data 3" xfId="275"/>
    <cellStyle name="Input data comment" xfId="276"/>
    <cellStyle name="Input estimate" xfId="277"/>
    <cellStyle name="Input label" xfId="278"/>
    <cellStyle name="Input parameter" xfId="279"/>
    <cellStyle name="Input parameter 2" xfId="280"/>
    <cellStyle name="Input parameter 3" xfId="281"/>
    <cellStyle name="Input sum" xfId="282"/>
    <cellStyle name="Input-reformat" xfId="283"/>
    <cellStyle name="Input-reformatted" xfId="284"/>
    <cellStyle name="Intega" xfId="285"/>
    <cellStyle name="Komma [0]_PLDT" xfId="286"/>
    <cellStyle name="Komma_KAF-ASN-1000" xfId="287"/>
    <cellStyle name="KPMG Heading 1" xfId="288"/>
    <cellStyle name="KPMG Heading 2" xfId="289"/>
    <cellStyle name="KPMG Heading 3" xfId="290"/>
    <cellStyle name="KPMG Heading 4" xfId="291"/>
    <cellStyle name="KPMG Normal" xfId="292"/>
    <cellStyle name="KPMG Normal Text" xfId="293"/>
    <cellStyle name="Label from list" xfId="294"/>
    <cellStyle name="Label from list Total" xfId="295"/>
    <cellStyle name="LABEL Normal" xfId="296"/>
    <cellStyle name="LABEL Note" xfId="297"/>
    <cellStyle name="LABEL Units" xfId="298"/>
    <cellStyle name="left" xfId="299"/>
    <cellStyle name="Legal 8½ x 14 in" xfId="300"/>
    <cellStyle name="linked" xfId="301"/>
    <cellStyle name="LN" xfId="302"/>
    <cellStyle name="_x0007_LÓ_x0018_ÄþÍN^NuNVþˆHÁ_x0001__x0018_(n" xfId="303"/>
    <cellStyle name="Main Title" xfId="304"/>
    <cellStyle name="Migliaia_pldt" xfId="305"/>
    <cellStyle name="Milliers [0]_laroux" xfId="306"/>
    <cellStyle name="Milliers_laroux" xfId="307"/>
    <cellStyle name="Model data" xfId="308"/>
    <cellStyle name="Model data - info only" xfId="309"/>
    <cellStyle name="Model data - Row total" xfId="310"/>
    <cellStyle name="Monétaire [0]_laroux" xfId="311"/>
    <cellStyle name="Monétaire_laroux" xfId="312"/>
    <cellStyle name="Multiple" xfId="313"/>
    <cellStyle name="Name" xfId="314"/>
    <cellStyle name="Named Range" xfId="315"/>
    <cellStyle name="Named Range Tag" xfId="316"/>
    <cellStyle name="Named Range_AOP Budget Bible 211105 v1" xfId="317"/>
    <cellStyle name="Neutral" xfId="421" builtinId="28" hidden="1"/>
    <cellStyle name="no dec" xfId="318"/>
    <cellStyle name="Normal" xfId="0" builtinId="0"/>
    <cellStyle name="Normal - Style1" xfId="319"/>
    <cellStyle name="Normal 1" xfId="320"/>
    <cellStyle name="Normal 10" xfId="321"/>
    <cellStyle name="Normal 11" xfId="322"/>
    <cellStyle name="Normal 12" xfId="323"/>
    <cellStyle name="Normal 13" xfId="324"/>
    <cellStyle name="Normal 14" xfId="325"/>
    <cellStyle name="Normal 15" xfId="326"/>
    <cellStyle name="Normal 2" xfId="327"/>
    <cellStyle name="Normal 2 2" xfId="328"/>
    <cellStyle name="Normal 2 2 2" xfId="329"/>
    <cellStyle name="Normal 2 3" xfId="330"/>
    <cellStyle name="Normal 2 4" xfId="331"/>
    <cellStyle name="Normal 3" xfId="332"/>
    <cellStyle name="Normal 3 2" xfId="333"/>
    <cellStyle name="Normal 4" xfId="334"/>
    <cellStyle name="Normal 5" xfId="335"/>
    <cellStyle name="Normal 5 2" xfId="336"/>
    <cellStyle name="Normal 6" xfId="337"/>
    <cellStyle name="Normal 7" xfId="338"/>
    <cellStyle name="Normal 8" xfId="339"/>
    <cellStyle name="Normal 9" xfId="340"/>
    <cellStyle name="Normal_BTOR, future model, v0.00" xfId="341"/>
    <cellStyle name="Normale_pldt" xfId="342"/>
    <cellStyle name="Normalny_Arkusz1" xfId="343"/>
    <cellStyle name="Note" xfId="344" builtinId="10" customBuiltin="1"/>
    <cellStyle name="Note 2" xfId="345"/>
    <cellStyle name="Note 3" xfId="346"/>
    <cellStyle name="NoteOrSource" xfId="347"/>
    <cellStyle name="Number" xfId="348"/>
    <cellStyle name="Numbers" xfId="349"/>
    <cellStyle name="Ofcom Note" xfId="350"/>
    <cellStyle name="Ofcom Output" xfId="351"/>
    <cellStyle name="OfcomConfidential" xfId="352"/>
    <cellStyle name="Output" xfId="423" builtinId="21" hidden="1"/>
    <cellStyle name="Output to another model" xfId="353"/>
    <cellStyle name="Page Number" xfId="354"/>
    <cellStyle name="Percent [2]" xfId="355"/>
    <cellStyle name="Percent 2" xfId="356"/>
    <cellStyle name="Percent 2 2" xfId="357"/>
    <cellStyle name="Percent 2 3" xfId="358"/>
    <cellStyle name="Percent 3" xfId="359"/>
    <cellStyle name="Percentage" xfId="360"/>
    <cellStyle name="Prefilled" xfId="361"/>
    <cellStyle name="Prefilled 2" xfId="362"/>
    <cellStyle name="PSChar" xfId="363"/>
    <cellStyle name="QA_Highlight" xfId="364"/>
    <cellStyle name="Reference" xfId="365"/>
    <cellStyle name="RevList" xfId="366"/>
    <cellStyle name="Row label" xfId="367"/>
    <cellStyle name="Row label (indent)" xfId="368"/>
    <cellStyle name="Slide Title" xfId="369"/>
    <cellStyle name="SMALL" xfId="370"/>
    <cellStyle name="Source" xfId="371"/>
    <cellStyle name="Standaard_All IT TI-IT rapp 01" xfId="372"/>
    <cellStyle name="Standard_ADVA GLOBAL PRICE LIST (STATUS 10-16-00)" xfId="373"/>
    <cellStyle name="std" xfId="374"/>
    <cellStyle name="Style 1" xfId="375"/>
    <cellStyle name="Sub Title" xfId="376"/>
    <cellStyle name="Subtotal" xfId="377"/>
    <cellStyle name="Sub-Total" xfId="378"/>
    <cellStyle name="Subtotal_a3vcs4.01" xfId="379"/>
    <cellStyle name="Sub-Total_EAD_price_build_PPB_Final_plus_EBITDA" xfId="380"/>
    <cellStyle name="Subtotal_Openreach Volumes Control Sheet 16th Jan 06 V52 (Top Level Summary)" xfId="381"/>
    <cellStyle name="SYSTEM" xfId="382"/>
    <cellStyle name="Table Head" xfId="383"/>
    <cellStyle name="Table Head Aligned" xfId="384"/>
    <cellStyle name="Table Head Aligned 2" xfId="385"/>
    <cellStyle name="Table Head Blue" xfId="386"/>
    <cellStyle name="Table Head Green" xfId="387"/>
    <cellStyle name="Table Head Green 2" xfId="388"/>
    <cellStyle name="Table Title" xfId="389"/>
    <cellStyle name="Table Units" xfId="390"/>
    <cellStyle name="Text" xfId="391"/>
    <cellStyle name="TIME Detail" xfId="392"/>
    <cellStyle name="TIME Period Start" xfId="393"/>
    <cellStyle name="Title" xfId="418" builtinId="15" hidden="1"/>
    <cellStyle name="Title 1" xfId="394"/>
    <cellStyle name="Title 2" xfId="395"/>
    <cellStyle name="Title 3" xfId="396"/>
    <cellStyle name="Title 4" xfId="397"/>
    <cellStyle name="Total" xfId="425" builtinId="25" hidden="1"/>
    <cellStyle name="Total - Grand" xfId="398"/>
    <cellStyle name="Total - Sub" xfId="399"/>
    <cellStyle name="Unhighlight" xfId="400"/>
    <cellStyle name="UPPER" xfId="401"/>
    <cellStyle name="Valuta (0)_pldt" xfId="402"/>
    <cellStyle name="Valuta [0]_PLDT" xfId="403"/>
    <cellStyle name="Valuta_pldt" xfId="404"/>
    <cellStyle name="wrap" xfId="405"/>
    <cellStyle name="x [1]" xfId="406"/>
    <cellStyle name="year" xfId="407"/>
    <cellStyle name="year 2" xfId="408"/>
    <cellStyle name="千位[0]_laroux" xfId="409"/>
    <cellStyle name="千位_laroux" xfId="410"/>
    <cellStyle name="千位分隔[0]_2.5G报价模板" xfId="411"/>
    <cellStyle name="千位分隔_2.5G报价模板" xfId="412"/>
    <cellStyle name="千分位[0]_laroux" xfId="413"/>
    <cellStyle name="千分位_laroux" xfId="414"/>
    <cellStyle name="常规_Book2" xfId="415"/>
    <cellStyle name="普通_laroux" xfId="416"/>
    <cellStyle name="桁区切り_GRASH1" xfId="41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attachedToolbars" Target="attachedToolbars.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647700</xdr:colOff>
      <xdr:row>1</xdr:row>
      <xdr:rowOff>485775</xdr:rowOff>
    </xdr:to>
    <xdr:pic>
      <xdr:nvPicPr>
        <xdr:cNvPr id="10341" name="Picture 66"/>
        <xdr:cNvPicPr>
          <a:picLocks noChangeAspect="1" noChangeArrowheads="1"/>
        </xdr:cNvPicPr>
      </xdr:nvPicPr>
      <xdr:blipFill>
        <a:blip xmlns:r="http://schemas.openxmlformats.org/officeDocument/2006/relationships" r:embed="rId1"/>
        <a:srcRect/>
        <a:stretch>
          <a:fillRect/>
        </a:stretch>
      </xdr:blipFill>
      <xdr:spPr bwMode="auto">
        <a:xfrm>
          <a:off x="38100" y="28575"/>
          <a:ext cx="2200275" cy="64770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628650</xdr:colOff>
      <xdr:row>2</xdr:row>
      <xdr:rowOff>19050</xdr:rowOff>
    </xdr:to>
    <xdr:pic>
      <xdr:nvPicPr>
        <xdr:cNvPr id="5273" name="Picture 66"/>
        <xdr:cNvPicPr>
          <a:picLocks noChangeAspect="1" noChangeArrowheads="1"/>
        </xdr:cNvPicPr>
      </xdr:nvPicPr>
      <xdr:blipFill>
        <a:blip xmlns:r="http://schemas.openxmlformats.org/officeDocument/2006/relationships" r:embed="rId1"/>
        <a:srcRect/>
        <a:stretch>
          <a:fillRect/>
        </a:stretch>
      </xdr:blipFill>
      <xdr:spPr bwMode="auto">
        <a:xfrm>
          <a:off x="57150" y="57150"/>
          <a:ext cx="2209800" cy="647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langtoar\My%20Documents\a3vcs2.0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2:F25"/>
  <sheetViews>
    <sheetView showGridLines="0" zoomScaleNormal="100" workbookViewId="0">
      <pane ySplit="2" topLeftCell="A3" activePane="bottomLeft" state="frozenSplit"/>
      <selection pane="bottomLeft" activeCell="A18" sqref="A18"/>
    </sheetView>
  </sheetViews>
  <sheetFormatPr defaultRowHeight="15"/>
  <cols>
    <col min="1" max="1" width="23.85546875" style="256" customWidth="1"/>
    <col min="2" max="2" width="27.42578125" style="256" customWidth="1"/>
    <col min="3" max="3" width="36.28515625" style="256" customWidth="1"/>
    <col min="4" max="4" width="15.5703125" style="256" customWidth="1"/>
    <col min="5" max="5" width="16.28515625" style="256" customWidth="1"/>
    <col min="6" max="16384" width="9.140625" style="256"/>
  </cols>
  <sheetData>
    <row r="2" spans="1:6" ht="40.5" customHeight="1">
      <c r="F2" s="257" t="str">
        <f>Workbook.Title</f>
        <v>ISDN30 Incremental Cost Model For Release</v>
      </c>
    </row>
    <row r="4" spans="1:6" ht="18">
      <c r="A4" s="11" t="s">
        <v>6</v>
      </c>
      <c r="B4" s="258"/>
      <c r="C4" s="259"/>
      <c r="D4" s="259"/>
    </row>
    <row r="5" spans="1:6">
      <c r="A5" s="260"/>
      <c r="B5" s="260"/>
      <c r="C5" s="259"/>
      <c r="D5" s="259"/>
    </row>
    <row r="6" spans="1:6">
      <c r="A6" s="261" t="s">
        <v>5</v>
      </c>
      <c r="B6" s="262" t="s">
        <v>366</v>
      </c>
      <c r="C6" s="259"/>
      <c r="D6" s="259"/>
    </row>
    <row r="7" spans="1:6">
      <c r="A7" s="261" t="s">
        <v>4</v>
      </c>
      <c r="B7" s="263">
        <v>1</v>
      </c>
      <c r="C7" s="259"/>
      <c r="D7" s="259"/>
    </row>
    <row r="8" spans="1:6">
      <c r="A8" s="261" t="s">
        <v>2</v>
      </c>
      <c r="B8" s="260" t="s">
        <v>360</v>
      </c>
      <c r="C8" s="259"/>
      <c r="D8" s="259"/>
    </row>
    <row r="9" spans="1:6">
      <c r="A9" s="261"/>
      <c r="B9" s="264"/>
      <c r="C9" s="259"/>
      <c r="D9" s="259"/>
    </row>
    <row r="10" spans="1:6">
      <c r="A10" s="259"/>
      <c r="B10" s="259"/>
      <c r="C10" s="259"/>
      <c r="D10" s="259"/>
    </row>
    <row r="11" spans="1:6" ht="18">
      <c r="A11" s="11" t="s">
        <v>361</v>
      </c>
      <c r="B11" s="259"/>
      <c r="C11" s="259"/>
      <c r="D11" s="259"/>
    </row>
    <row r="12" spans="1:6">
      <c r="A12" s="259"/>
      <c r="B12" s="259"/>
      <c r="C12" s="259"/>
      <c r="D12" s="259"/>
    </row>
    <row r="13" spans="1:6">
      <c r="A13" s="265" t="s">
        <v>362</v>
      </c>
      <c r="B13" s="265"/>
      <c r="C13" s="265"/>
      <c r="D13" s="265"/>
    </row>
    <row r="14" spans="1:6">
      <c r="A14" s="265"/>
      <c r="B14" s="265"/>
      <c r="C14" s="265"/>
      <c r="D14" s="265"/>
    </row>
    <row r="15" spans="1:6" ht="60.75" customHeight="1">
      <c r="A15" s="332" t="s">
        <v>447</v>
      </c>
      <c r="B15" s="333"/>
      <c r="C15" s="333"/>
      <c r="D15" s="333"/>
    </row>
    <row r="16" spans="1:6" ht="13.5" customHeight="1">
      <c r="A16" s="313"/>
      <c r="B16" s="266"/>
      <c r="C16" s="266"/>
      <c r="D16" s="266"/>
    </row>
    <row r="17" spans="1:4" ht="56.25" customHeight="1">
      <c r="A17" s="334" t="s">
        <v>448</v>
      </c>
      <c r="B17" s="335"/>
      <c r="C17" s="335"/>
      <c r="D17" s="335"/>
    </row>
    <row r="18" spans="1:4">
      <c r="A18" s="266"/>
      <c r="B18" s="266"/>
      <c r="C18" s="266"/>
      <c r="D18" s="266"/>
    </row>
    <row r="19" spans="1:4" ht="71.25" customHeight="1">
      <c r="A19" s="332" t="s">
        <v>449</v>
      </c>
      <c r="B19" s="333"/>
      <c r="C19" s="333"/>
      <c r="D19" s="333"/>
    </row>
    <row r="20" spans="1:4">
      <c r="A20" s="266"/>
      <c r="B20" s="266"/>
      <c r="C20" s="266"/>
      <c r="D20" s="266"/>
    </row>
    <row r="21" spans="1:4" ht="51" customHeight="1">
      <c r="A21" s="333" t="s">
        <v>363</v>
      </c>
      <c r="B21" s="333"/>
      <c r="C21" s="333"/>
      <c r="D21" s="333"/>
    </row>
    <row r="22" spans="1:4">
      <c r="A22" s="266"/>
      <c r="B22" s="266"/>
      <c r="C22" s="266"/>
      <c r="D22" s="266"/>
    </row>
    <row r="23" spans="1:4" ht="51.75" customHeight="1">
      <c r="A23" s="333" t="s">
        <v>364</v>
      </c>
      <c r="B23" s="333"/>
      <c r="C23" s="333"/>
      <c r="D23" s="333"/>
    </row>
    <row r="24" spans="1:4">
      <c r="A24" s="266"/>
      <c r="B24" s="266"/>
      <c r="C24" s="266"/>
      <c r="D24" s="266"/>
    </row>
    <row r="25" spans="1:4" ht="40.5" customHeight="1">
      <c r="A25" s="333" t="s">
        <v>365</v>
      </c>
      <c r="B25" s="333"/>
      <c r="C25" s="333"/>
      <c r="D25" s="333"/>
    </row>
  </sheetData>
  <mergeCells count="6">
    <mergeCell ref="A15:D15"/>
    <mergeCell ref="A19:D19"/>
    <mergeCell ref="A21:D21"/>
    <mergeCell ref="A23:D23"/>
    <mergeCell ref="A25:D25"/>
    <mergeCell ref="A17:D17"/>
  </mergeCells>
  <dataValidations count="2">
    <dataValidation type="list" allowBlank="1" showInputMessage="1" promptTitle="Input Parameter" prompt="Select from list" sqref="B8">
      <formula1>"Work in progress, Ready for review, Approved for release, Archived"</formula1>
    </dataValidation>
    <dataValidation allowBlank="1" sqref="D21:D24"/>
  </dataValidations>
  <pageMargins left="0.70866141732283472" right="0.70866141732283472" top="0.74803149606299213" bottom="0.74803149606299213" header="0.31496062992125984" footer="0.31496062992125984"/>
  <pageSetup paperSize="9" scale="93" orientation="landscape" verticalDpi="0" r:id="rId1"/>
  <drawing r:id="rId2"/>
</worksheet>
</file>

<file path=xl/worksheets/sheet10.xml><?xml version="1.0" encoding="utf-8"?>
<worksheet xmlns="http://schemas.openxmlformats.org/spreadsheetml/2006/main" xmlns:r="http://schemas.openxmlformats.org/officeDocument/2006/relationships">
  <sheetPr>
    <pageSetUpPr autoPageBreaks="0" fitToPage="1"/>
  </sheetPr>
  <dimension ref="A1:L17"/>
  <sheetViews>
    <sheetView defaultGridColor="0" colorId="22" zoomScale="85" zoomScaleNormal="85" workbookViewId="0">
      <pane ySplit="1" topLeftCell="A2" activePane="bottomLeft" state="frozen"/>
      <selection pane="bottomLeft"/>
    </sheetView>
  </sheetViews>
  <sheetFormatPr defaultColWidth="12.7109375" defaultRowHeight="12"/>
  <cols>
    <col min="1" max="1" width="35.85546875" style="17" customWidth="1"/>
    <col min="2" max="16384" width="12.7109375" style="17"/>
  </cols>
  <sheetData>
    <row r="1" spans="1:12" s="18" customFormat="1" ht="40.5" customHeight="1">
      <c r="A1" s="329" t="s">
        <v>175</v>
      </c>
      <c r="L1" s="18" t="s">
        <v>9</v>
      </c>
    </row>
    <row r="3" spans="1:12" ht="12.75">
      <c r="A3" s="275" t="s">
        <v>403</v>
      </c>
    </row>
    <row r="4" spans="1:12" ht="12.75">
      <c r="A4" s="275" t="s">
        <v>404</v>
      </c>
    </row>
    <row r="5" spans="1:12" ht="12.75">
      <c r="A5" s="275" t="s">
        <v>405</v>
      </c>
    </row>
    <row r="7" spans="1:12" ht="12.75" thickBot="1">
      <c r="A7" s="282" t="s">
        <v>265</v>
      </c>
      <c r="C7" s="271" t="s">
        <v>3</v>
      </c>
    </row>
    <row r="8" spans="1:12" ht="12.75" thickBot="1">
      <c r="A8" s="142" t="s">
        <v>177</v>
      </c>
      <c r="B8" s="281" t="s">
        <v>394</v>
      </c>
      <c r="D8" s="248"/>
    </row>
    <row r="9" spans="1:12" ht="12.75" thickBot="1">
      <c r="A9" s="142" t="s">
        <v>176</v>
      </c>
      <c r="B9" s="281" t="s">
        <v>394</v>
      </c>
      <c r="C9" s="247"/>
    </row>
    <row r="10" spans="1:12" ht="12.75" thickBot="1">
      <c r="A10" s="142" t="s">
        <v>178</v>
      </c>
      <c r="B10" s="281" t="s">
        <v>394</v>
      </c>
      <c r="C10" s="247"/>
    </row>
    <row r="11" spans="1:12" ht="12.75" thickBot="1">
      <c r="A11" s="142" t="s">
        <v>179</v>
      </c>
      <c r="B11" s="281" t="s">
        <v>394</v>
      </c>
      <c r="C11" s="271" t="s">
        <v>181</v>
      </c>
    </row>
    <row r="12" spans="1:12" ht="12.75" thickBot="1">
      <c r="A12" s="142" t="s">
        <v>180</v>
      </c>
      <c r="B12" s="281" t="s">
        <v>394</v>
      </c>
      <c r="C12" s="271" t="s">
        <v>182</v>
      </c>
    </row>
    <row r="13" spans="1:12">
      <c r="A13" s="142" t="s">
        <v>31</v>
      </c>
      <c r="B13" s="145">
        <f>SUM(B8:B12)</f>
        <v>0</v>
      </c>
    </row>
    <row r="16" spans="1:12">
      <c r="C16" s="255"/>
    </row>
    <row r="17" spans="3:3">
      <c r="C17" s="255"/>
    </row>
  </sheetData>
  <pageMargins left="0.74803149606299213" right="0.74803149606299213" top="0.98425196850393704" bottom="0.98425196850393704" header="0.51181102362204722" footer="0.51181102362204722"/>
  <pageSetup paperSize="9" scale="83" orientation="landscape" r:id="rId1"/>
  <headerFooter alignWithMargins="0">
    <oddFooter>&amp;L&amp;A :page&amp;P&amp;COfcom Confidential&amp;R&amp;D</oddFooter>
  </headerFooter>
</worksheet>
</file>

<file path=xl/worksheets/sheet11.xml><?xml version="1.0" encoding="utf-8"?>
<worksheet xmlns="http://schemas.openxmlformats.org/spreadsheetml/2006/main" xmlns:r="http://schemas.openxmlformats.org/officeDocument/2006/relationships">
  <sheetPr>
    <pageSetUpPr autoPageBreaks="0" fitToPage="1"/>
  </sheetPr>
  <dimension ref="A1:L77"/>
  <sheetViews>
    <sheetView defaultGridColor="0" colorId="22" zoomScale="85" zoomScaleNormal="85" workbookViewId="0">
      <pane ySplit="1" topLeftCell="A2" activePane="bottomLeft" state="frozen"/>
      <selection pane="bottomLeft" activeCell="B9" sqref="B9"/>
    </sheetView>
  </sheetViews>
  <sheetFormatPr defaultColWidth="12.7109375" defaultRowHeight="12"/>
  <cols>
    <col min="1" max="1" width="1.140625" style="208" customWidth="1"/>
    <col min="2" max="2" width="57" style="208" customWidth="1"/>
    <col min="3" max="3" width="16.7109375" style="208" customWidth="1"/>
    <col min="4" max="4" width="2.85546875" style="208" customWidth="1"/>
    <col min="5" max="5" width="3.28515625" style="208" customWidth="1"/>
    <col min="6" max="6" width="37.28515625" style="208" customWidth="1"/>
    <col min="7" max="7" width="13.7109375" style="208" customWidth="1"/>
    <col min="8" max="8" width="11.7109375" style="208" customWidth="1"/>
    <col min="9" max="16384" width="12.7109375" style="208"/>
  </cols>
  <sheetData>
    <row r="1" spans="1:12" s="18" customFormat="1" ht="40.5" customHeight="1">
      <c r="A1" s="328" t="s">
        <v>264</v>
      </c>
      <c r="L1" s="18" t="s">
        <v>9</v>
      </c>
    </row>
    <row r="3" spans="1:12" ht="12.75">
      <c r="A3" s="275" t="s">
        <v>281</v>
      </c>
      <c r="B3" s="283"/>
    </row>
    <row r="4" spans="1:12" ht="12.75">
      <c r="A4" s="275" t="s">
        <v>282</v>
      </c>
      <c r="B4" s="283"/>
    </row>
    <row r="5" spans="1:12" ht="12.75">
      <c r="A5" s="275" t="s">
        <v>406</v>
      </c>
      <c r="B5" s="283"/>
    </row>
    <row r="6" spans="1:12" ht="12.75">
      <c r="A6" s="283" t="s">
        <v>407</v>
      </c>
    </row>
    <row r="8" spans="1:12" ht="12.75" thickBot="1">
      <c r="B8" s="141" t="s">
        <v>266</v>
      </c>
      <c r="C8" s="210" t="s">
        <v>267</v>
      </c>
      <c r="F8" s="210" t="s">
        <v>287</v>
      </c>
      <c r="G8" s="210" t="s">
        <v>267</v>
      </c>
    </row>
    <row r="9" spans="1:12" ht="12.75" thickBot="1">
      <c r="B9" s="330" t="s">
        <v>394</v>
      </c>
      <c r="C9" s="284" t="s">
        <v>394</v>
      </c>
      <c r="F9" s="212" t="s">
        <v>286</v>
      </c>
      <c r="G9" s="286">
        <f>SUM(C9:C25)</f>
        <v>0</v>
      </c>
    </row>
    <row r="10" spans="1:12" ht="12.75" thickBot="1">
      <c r="B10" s="330" t="s">
        <v>394</v>
      </c>
      <c r="C10" s="284" t="s">
        <v>394</v>
      </c>
      <c r="F10" s="212" t="s">
        <v>268</v>
      </c>
      <c r="G10" s="286">
        <f>SUM(C26:C47)</f>
        <v>0</v>
      </c>
    </row>
    <row r="11" spans="1:12" ht="12.75" thickBot="1">
      <c r="B11" s="330" t="s">
        <v>394</v>
      </c>
      <c r="C11" s="284" t="s">
        <v>394</v>
      </c>
      <c r="F11" s="212" t="s">
        <v>271</v>
      </c>
      <c r="G11" s="286">
        <f>SUM(C48:C58)</f>
        <v>0</v>
      </c>
    </row>
    <row r="12" spans="1:12" ht="12.75" thickBot="1">
      <c r="B12" s="330" t="s">
        <v>394</v>
      </c>
      <c r="C12" s="284" t="s">
        <v>394</v>
      </c>
      <c r="F12" s="212" t="s">
        <v>269</v>
      </c>
      <c r="G12" s="286">
        <f>SUM(C59:C75)</f>
        <v>0</v>
      </c>
    </row>
    <row r="13" spans="1:12" ht="12.75" thickBot="1">
      <c r="B13" s="330" t="s">
        <v>394</v>
      </c>
      <c r="C13" s="284" t="s">
        <v>394</v>
      </c>
      <c r="F13" s="212" t="s">
        <v>270</v>
      </c>
      <c r="G13" s="286">
        <f>SUM(C76:C77)</f>
        <v>0</v>
      </c>
    </row>
    <row r="14" spans="1:12" ht="12.75" thickBot="1">
      <c r="B14" s="330" t="s">
        <v>394</v>
      </c>
      <c r="C14" s="284" t="s">
        <v>394</v>
      </c>
    </row>
    <row r="15" spans="1:12" ht="12.75" thickBot="1">
      <c r="B15" s="330" t="s">
        <v>394</v>
      </c>
      <c r="C15" s="284" t="s">
        <v>394</v>
      </c>
      <c r="F15" s="210" t="s">
        <v>288</v>
      </c>
      <c r="G15" s="210" t="s">
        <v>285</v>
      </c>
      <c r="H15" s="285" t="s">
        <v>289</v>
      </c>
    </row>
    <row r="16" spans="1:12" ht="12.75" thickBot="1">
      <c r="B16" s="330" t="s">
        <v>394</v>
      </c>
      <c r="C16" s="284" t="s">
        <v>394</v>
      </c>
      <c r="F16" s="212" t="s">
        <v>268</v>
      </c>
      <c r="G16" s="217" t="e">
        <f>G10/SUM($G$10:$G$13)</f>
        <v>#DIV/0!</v>
      </c>
      <c r="H16" s="209"/>
    </row>
    <row r="17" spans="2:9" ht="12.75" thickBot="1">
      <c r="B17" s="330" t="s">
        <v>394</v>
      </c>
      <c r="C17" s="284" t="s">
        <v>394</v>
      </c>
      <c r="F17" s="212" t="s">
        <v>271</v>
      </c>
      <c r="G17" s="217" t="e">
        <f>G11/SUM($G$10:$G$13)</f>
        <v>#DIV/0!</v>
      </c>
      <c r="H17" s="254"/>
    </row>
    <row r="18" spans="2:9" ht="12.75" thickBot="1">
      <c r="B18" s="330" t="s">
        <v>394</v>
      </c>
      <c r="C18" s="284" t="s">
        <v>394</v>
      </c>
      <c r="F18" s="212" t="s">
        <v>269</v>
      </c>
      <c r="G18" s="217" t="e">
        <f>G12/SUM($G$10:$G$13)</f>
        <v>#DIV/0!</v>
      </c>
      <c r="H18" s="254"/>
    </row>
    <row r="19" spans="2:9" ht="12.75" thickBot="1">
      <c r="B19" s="330" t="s">
        <v>394</v>
      </c>
      <c r="C19" s="284" t="s">
        <v>394</v>
      </c>
      <c r="F19" s="212" t="s">
        <v>270</v>
      </c>
      <c r="G19" s="217" t="e">
        <f>G13/SUM($G$10:$G$13)</f>
        <v>#DIV/0!</v>
      </c>
      <c r="H19" s="209"/>
    </row>
    <row r="20" spans="2:9" ht="12.75" thickBot="1">
      <c r="B20" s="330" t="s">
        <v>394</v>
      </c>
      <c r="C20" s="284" t="s">
        <v>394</v>
      </c>
      <c r="F20" s="213" t="s">
        <v>31</v>
      </c>
      <c r="G20" s="217" t="e">
        <f>IF(SUM(G16:G19)=100%,SUM(G16:G19),"ERROR")</f>
        <v>#DIV/0!</v>
      </c>
      <c r="H20" s="209"/>
    </row>
    <row r="21" spans="2:9" ht="12.75" thickBot="1">
      <c r="B21" s="330" t="s">
        <v>394</v>
      </c>
      <c r="C21" s="284" t="s">
        <v>394</v>
      </c>
    </row>
    <row r="22" spans="2:9" ht="12.75" thickBot="1">
      <c r="B22" s="330" t="s">
        <v>394</v>
      </c>
      <c r="C22" s="284" t="s">
        <v>394</v>
      </c>
      <c r="F22" s="216"/>
    </row>
    <row r="23" spans="2:9" ht="12.75" thickBot="1">
      <c r="B23" s="330" t="s">
        <v>394</v>
      </c>
      <c r="C23" s="284" t="s">
        <v>394</v>
      </c>
      <c r="F23" s="210" t="s">
        <v>275</v>
      </c>
    </row>
    <row r="24" spans="2:9" ht="12.75" thickBot="1">
      <c r="B24" s="330" t="s">
        <v>394</v>
      </c>
      <c r="C24" s="284" t="s">
        <v>394</v>
      </c>
      <c r="F24" s="213" t="s">
        <v>276</v>
      </c>
      <c r="G24" s="214" t="e">
        <f>SUM(G16,G18:G19)</f>
        <v>#DIV/0!</v>
      </c>
      <c r="H24" s="209"/>
    </row>
    <row r="25" spans="2:9" ht="12.75" thickBot="1">
      <c r="B25" s="330" t="s">
        <v>394</v>
      </c>
      <c r="C25" s="284" t="s">
        <v>394</v>
      </c>
      <c r="F25" s="213" t="s">
        <v>277</v>
      </c>
      <c r="G25" s="214" t="e">
        <f>SUM(G17)</f>
        <v>#DIV/0!</v>
      </c>
      <c r="I25" s="209"/>
    </row>
    <row r="26" spans="2:9" ht="12.75" thickBot="1">
      <c r="B26" s="330" t="s">
        <v>394</v>
      </c>
      <c r="C26" s="284" t="s">
        <v>394</v>
      </c>
      <c r="F26" s="213" t="s">
        <v>31</v>
      </c>
      <c r="G26" s="211" t="e">
        <f>SUM(G24:G25)</f>
        <v>#DIV/0!</v>
      </c>
      <c r="H26" s="209"/>
    </row>
    <row r="27" spans="2:9" ht="12.75" thickBot="1">
      <c r="B27" s="330" t="s">
        <v>394</v>
      </c>
      <c r="C27" s="284" t="s">
        <v>394</v>
      </c>
    </row>
    <row r="28" spans="2:9" ht="12.75" thickBot="1">
      <c r="B28" s="330" t="s">
        <v>394</v>
      </c>
      <c r="C28" s="284" t="s">
        <v>394</v>
      </c>
    </row>
    <row r="29" spans="2:9" ht="12.75" thickBot="1">
      <c r="B29" s="330" t="s">
        <v>394</v>
      </c>
      <c r="C29" s="284" t="s">
        <v>394</v>
      </c>
    </row>
    <row r="30" spans="2:9" ht="12.75" thickBot="1">
      <c r="B30" s="330" t="s">
        <v>394</v>
      </c>
      <c r="C30" s="284" t="s">
        <v>394</v>
      </c>
    </row>
    <row r="31" spans="2:9" ht="12.75" thickBot="1">
      <c r="B31" s="330" t="s">
        <v>394</v>
      </c>
      <c r="C31" s="284" t="s">
        <v>394</v>
      </c>
    </row>
    <row r="32" spans="2:9" ht="12.75" thickBot="1">
      <c r="B32" s="330" t="s">
        <v>394</v>
      </c>
      <c r="C32" s="284" t="s">
        <v>394</v>
      </c>
    </row>
    <row r="33" spans="2:3" ht="12.75" thickBot="1">
      <c r="B33" s="330" t="s">
        <v>394</v>
      </c>
      <c r="C33" s="284" t="s">
        <v>394</v>
      </c>
    </row>
    <row r="34" spans="2:3" ht="12.75" thickBot="1">
      <c r="B34" s="330" t="s">
        <v>394</v>
      </c>
      <c r="C34" s="284" t="s">
        <v>394</v>
      </c>
    </row>
    <row r="35" spans="2:3" ht="12.75" thickBot="1">
      <c r="B35" s="330" t="s">
        <v>394</v>
      </c>
      <c r="C35" s="284" t="s">
        <v>394</v>
      </c>
    </row>
    <row r="36" spans="2:3" ht="12.75" thickBot="1">
      <c r="B36" s="330" t="s">
        <v>394</v>
      </c>
      <c r="C36" s="284" t="s">
        <v>394</v>
      </c>
    </row>
    <row r="37" spans="2:3" ht="12.75" thickBot="1">
      <c r="B37" s="330" t="s">
        <v>394</v>
      </c>
      <c r="C37" s="284" t="s">
        <v>394</v>
      </c>
    </row>
    <row r="38" spans="2:3" ht="12.75" thickBot="1">
      <c r="B38" s="330" t="s">
        <v>394</v>
      </c>
      <c r="C38" s="284" t="s">
        <v>394</v>
      </c>
    </row>
    <row r="39" spans="2:3" ht="12.75" thickBot="1">
      <c r="B39" s="330" t="s">
        <v>394</v>
      </c>
      <c r="C39" s="284" t="s">
        <v>394</v>
      </c>
    </row>
    <row r="40" spans="2:3" ht="12.75" thickBot="1">
      <c r="B40" s="330" t="s">
        <v>394</v>
      </c>
      <c r="C40" s="284" t="s">
        <v>394</v>
      </c>
    </row>
    <row r="41" spans="2:3" ht="12.75" thickBot="1">
      <c r="B41" s="330" t="s">
        <v>394</v>
      </c>
      <c r="C41" s="284" t="s">
        <v>394</v>
      </c>
    </row>
    <row r="42" spans="2:3" ht="12.75" thickBot="1">
      <c r="B42" s="330" t="s">
        <v>394</v>
      </c>
      <c r="C42" s="284" t="s">
        <v>394</v>
      </c>
    </row>
    <row r="43" spans="2:3" ht="12.75" thickBot="1">
      <c r="B43" s="330" t="s">
        <v>394</v>
      </c>
      <c r="C43" s="284" t="s">
        <v>394</v>
      </c>
    </row>
    <row r="44" spans="2:3" ht="12.75" thickBot="1">
      <c r="B44" s="330" t="s">
        <v>394</v>
      </c>
      <c r="C44" s="284" t="s">
        <v>394</v>
      </c>
    </row>
    <row r="45" spans="2:3" ht="12.75" thickBot="1">
      <c r="B45" s="330" t="s">
        <v>394</v>
      </c>
      <c r="C45" s="284" t="s">
        <v>394</v>
      </c>
    </row>
    <row r="46" spans="2:3" ht="12.75" thickBot="1">
      <c r="B46" s="330" t="s">
        <v>394</v>
      </c>
      <c r="C46" s="284" t="s">
        <v>394</v>
      </c>
    </row>
    <row r="47" spans="2:3" ht="12.75" thickBot="1">
      <c r="B47" s="330" t="s">
        <v>394</v>
      </c>
      <c r="C47" s="284" t="s">
        <v>394</v>
      </c>
    </row>
    <row r="48" spans="2:3" ht="12.75" thickBot="1">
      <c r="B48" s="330" t="s">
        <v>394</v>
      </c>
      <c r="C48" s="284" t="s">
        <v>394</v>
      </c>
    </row>
    <row r="49" spans="2:3" ht="12.75" thickBot="1">
      <c r="B49" s="330" t="s">
        <v>394</v>
      </c>
      <c r="C49" s="284" t="s">
        <v>394</v>
      </c>
    </row>
    <row r="50" spans="2:3" ht="12.75" thickBot="1">
      <c r="B50" s="330" t="s">
        <v>394</v>
      </c>
      <c r="C50" s="284" t="s">
        <v>394</v>
      </c>
    </row>
    <row r="51" spans="2:3" ht="12.75" thickBot="1">
      <c r="B51" s="330" t="s">
        <v>394</v>
      </c>
      <c r="C51" s="284" t="s">
        <v>394</v>
      </c>
    </row>
    <row r="52" spans="2:3" ht="12.75" thickBot="1">
      <c r="B52" s="330" t="s">
        <v>394</v>
      </c>
      <c r="C52" s="284" t="s">
        <v>394</v>
      </c>
    </row>
    <row r="53" spans="2:3" ht="12.75" thickBot="1">
      <c r="B53" s="330" t="s">
        <v>394</v>
      </c>
      <c r="C53" s="284" t="s">
        <v>394</v>
      </c>
    </row>
    <row r="54" spans="2:3" ht="12.75" thickBot="1">
      <c r="B54" s="330" t="s">
        <v>394</v>
      </c>
      <c r="C54" s="284" t="s">
        <v>394</v>
      </c>
    </row>
    <row r="55" spans="2:3" ht="12.75" thickBot="1">
      <c r="B55" s="330" t="s">
        <v>394</v>
      </c>
      <c r="C55" s="284" t="s">
        <v>394</v>
      </c>
    </row>
    <row r="56" spans="2:3" ht="12.75" thickBot="1">
      <c r="B56" s="330" t="s">
        <v>394</v>
      </c>
      <c r="C56" s="284" t="s">
        <v>394</v>
      </c>
    </row>
    <row r="57" spans="2:3" ht="12.75" thickBot="1">
      <c r="B57" s="330" t="s">
        <v>394</v>
      </c>
      <c r="C57" s="284" t="s">
        <v>394</v>
      </c>
    </row>
    <row r="58" spans="2:3" ht="12.75" thickBot="1">
      <c r="B58" s="330" t="s">
        <v>394</v>
      </c>
      <c r="C58" s="284" t="s">
        <v>394</v>
      </c>
    </row>
    <row r="59" spans="2:3" ht="12.75" thickBot="1">
      <c r="B59" s="330" t="s">
        <v>394</v>
      </c>
      <c r="C59" s="284" t="s">
        <v>394</v>
      </c>
    </row>
    <row r="60" spans="2:3" ht="12.75" thickBot="1">
      <c r="B60" s="330" t="s">
        <v>394</v>
      </c>
      <c r="C60" s="284" t="s">
        <v>394</v>
      </c>
    </row>
    <row r="61" spans="2:3" ht="12.75" thickBot="1">
      <c r="B61" s="330" t="s">
        <v>394</v>
      </c>
      <c r="C61" s="284" t="s">
        <v>394</v>
      </c>
    </row>
    <row r="62" spans="2:3" ht="12.75" thickBot="1">
      <c r="B62" s="330" t="s">
        <v>394</v>
      </c>
      <c r="C62" s="284" t="s">
        <v>394</v>
      </c>
    </row>
    <row r="63" spans="2:3" ht="12.75" thickBot="1">
      <c r="B63" s="330" t="s">
        <v>394</v>
      </c>
      <c r="C63" s="284" t="s">
        <v>394</v>
      </c>
    </row>
    <row r="64" spans="2:3" ht="12.75" thickBot="1">
      <c r="B64" s="330" t="s">
        <v>394</v>
      </c>
      <c r="C64" s="284" t="s">
        <v>394</v>
      </c>
    </row>
    <row r="65" spans="2:3" ht="12.75" thickBot="1">
      <c r="B65" s="330" t="s">
        <v>394</v>
      </c>
      <c r="C65" s="284" t="s">
        <v>394</v>
      </c>
    </row>
    <row r="66" spans="2:3" ht="12.75" thickBot="1">
      <c r="B66" s="330" t="s">
        <v>394</v>
      </c>
      <c r="C66" s="284" t="s">
        <v>394</v>
      </c>
    </row>
    <row r="67" spans="2:3" ht="12.75" thickBot="1">
      <c r="B67" s="330" t="s">
        <v>394</v>
      </c>
      <c r="C67" s="284" t="s">
        <v>394</v>
      </c>
    </row>
    <row r="68" spans="2:3" ht="12.75" thickBot="1">
      <c r="B68" s="330" t="s">
        <v>394</v>
      </c>
      <c r="C68" s="284" t="s">
        <v>394</v>
      </c>
    </row>
    <row r="69" spans="2:3" ht="12.75" thickBot="1">
      <c r="B69" s="330" t="s">
        <v>394</v>
      </c>
      <c r="C69" s="284" t="s">
        <v>394</v>
      </c>
    </row>
    <row r="70" spans="2:3" ht="12.75" thickBot="1">
      <c r="B70" s="330" t="s">
        <v>394</v>
      </c>
      <c r="C70" s="284" t="s">
        <v>394</v>
      </c>
    </row>
    <row r="71" spans="2:3" ht="12.75" thickBot="1">
      <c r="B71" s="330" t="s">
        <v>394</v>
      </c>
      <c r="C71" s="284" t="s">
        <v>394</v>
      </c>
    </row>
    <row r="72" spans="2:3" ht="12.75" thickBot="1">
      <c r="B72" s="330" t="s">
        <v>394</v>
      </c>
      <c r="C72" s="284" t="s">
        <v>394</v>
      </c>
    </row>
    <row r="73" spans="2:3" ht="12.75" thickBot="1">
      <c r="B73" s="330" t="s">
        <v>394</v>
      </c>
      <c r="C73" s="284" t="s">
        <v>394</v>
      </c>
    </row>
    <row r="74" spans="2:3" ht="12.75" thickBot="1">
      <c r="B74" s="330" t="s">
        <v>394</v>
      </c>
      <c r="C74" s="284" t="s">
        <v>394</v>
      </c>
    </row>
    <row r="75" spans="2:3" ht="12.75" thickBot="1">
      <c r="B75" s="330" t="s">
        <v>394</v>
      </c>
      <c r="C75" s="284" t="s">
        <v>394</v>
      </c>
    </row>
    <row r="76" spans="2:3" ht="12.75" thickBot="1">
      <c r="B76" s="330" t="s">
        <v>394</v>
      </c>
      <c r="C76" s="284" t="s">
        <v>394</v>
      </c>
    </row>
    <row r="77" spans="2:3" ht="12.75" thickBot="1">
      <c r="B77" s="330" t="s">
        <v>394</v>
      </c>
      <c r="C77" s="284" t="s">
        <v>394</v>
      </c>
    </row>
  </sheetData>
  <pageMargins left="0.74803149606299213" right="0.74803149606299213" top="0.98425196850393704" bottom="0.98425196850393704" header="0.51181102362204722" footer="0.51181102362204722"/>
  <pageSetup paperSize="9" scale="51" orientation="portrait" r:id="rId1"/>
  <headerFooter alignWithMargins="0">
    <oddFooter>&amp;L&amp;A :page&amp;P&amp;COfcom Confidential&amp;R&amp;D</oddFooter>
  </headerFooter>
</worksheet>
</file>

<file path=xl/worksheets/sheet12.xml><?xml version="1.0" encoding="utf-8"?>
<worksheet xmlns="http://schemas.openxmlformats.org/spreadsheetml/2006/main" xmlns:r="http://schemas.openxmlformats.org/officeDocument/2006/relationships">
  <sheetPr>
    <tabColor rgb="FFFFFF00"/>
    <pageSetUpPr autoPageBreaks="0"/>
  </sheetPr>
  <dimension ref="A1:L13"/>
  <sheetViews>
    <sheetView defaultGridColor="0" colorId="22" zoomScale="85" zoomScaleNormal="85" workbookViewId="0">
      <pane ySplit="1" topLeftCell="A2" activePane="bottomLeft" state="frozen"/>
      <selection pane="bottomLeft" activeCell="C9" sqref="C9"/>
    </sheetView>
  </sheetViews>
  <sheetFormatPr defaultColWidth="12.7109375" defaultRowHeight="12"/>
  <cols>
    <col min="1" max="16384" width="12.7109375" style="17"/>
  </cols>
  <sheetData>
    <row r="1" spans="1:12" s="18" customFormat="1" ht="40.5" customHeight="1">
      <c r="A1" s="328" t="s">
        <v>408</v>
      </c>
      <c r="L1" s="18" t="s">
        <v>9</v>
      </c>
    </row>
    <row r="3" spans="1:12" ht="12.75">
      <c r="A3" s="275" t="s">
        <v>104</v>
      </c>
    </row>
    <row r="4" spans="1:12" ht="12.75">
      <c r="A4" s="312" t="s">
        <v>105</v>
      </c>
    </row>
    <row r="5" spans="1:12" ht="12.75">
      <c r="A5" s="275" t="s">
        <v>106</v>
      </c>
    </row>
    <row r="6" spans="1:12" ht="12.75">
      <c r="A6" s="275" t="s">
        <v>107</v>
      </c>
    </row>
    <row r="7" spans="1:12" ht="12.75">
      <c r="A7" s="275" t="s">
        <v>108</v>
      </c>
    </row>
    <row r="8" spans="1:12" ht="12.75">
      <c r="A8" s="275" t="s">
        <v>409</v>
      </c>
    </row>
    <row r="9" spans="1:12" ht="12.75">
      <c r="A9" s="275"/>
    </row>
    <row r="10" spans="1:12" ht="12.75">
      <c r="A10" s="312" t="s">
        <v>99</v>
      </c>
    </row>
    <row r="11" spans="1:12" ht="12.75">
      <c r="A11" s="275" t="s">
        <v>106</v>
      </c>
    </row>
    <row r="12" spans="1:12" ht="12.75">
      <c r="A12" s="275" t="s">
        <v>148</v>
      </c>
    </row>
    <row r="13" spans="1:12" ht="12.75">
      <c r="A13" s="275" t="s">
        <v>149</v>
      </c>
    </row>
  </sheetData>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13.xml><?xml version="1.0" encoding="utf-8"?>
<worksheet xmlns="http://schemas.openxmlformats.org/spreadsheetml/2006/main" xmlns:r="http://schemas.openxmlformats.org/officeDocument/2006/relationships">
  <sheetPr>
    <pageSetUpPr autoPageBreaks="0"/>
  </sheetPr>
  <dimension ref="A1:P43"/>
  <sheetViews>
    <sheetView defaultGridColor="0" colorId="22" zoomScale="85" zoomScaleNormal="85" workbookViewId="0">
      <pane ySplit="1" topLeftCell="A2" activePane="bottomLeft" state="frozen"/>
      <selection pane="bottomLeft"/>
    </sheetView>
  </sheetViews>
  <sheetFormatPr defaultColWidth="28.42578125" defaultRowHeight="12"/>
  <cols>
    <col min="1" max="1" width="28.42578125" style="17"/>
    <col min="2" max="2" width="9.85546875" style="17" customWidth="1"/>
    <col min="3" max="3" width="8.140625" style="17" customWidth="1"/>
    <col min="4" max="4" width="8.5703125" style="17" customWidth="1"/>
    <col min="5" max="5" width="9.140625" style="17" customWidth="1"/>
    <col min="6" max="6" width="7.85546875" style="17" customWidth="1"/>
    <col min="7" max="8" width="8.7109375" style="17" customWidth="1"/>
    <col min="9" max="9" width="10.5703125" style="17" customWidth="1"/>
    <col min="10" max="10" width="1.7109375" style="17" customWidth="1"/>
    <col min="11" max="11" width="1.85546875" style="17" customWidth="1"/>
    <col min="12" max="12" width="6" style="17" customWidth="1"/>
    <col min="13" max="13" width="11" style="17" customWidth="1"/>
    <col min="14" max="14" width="7.42578125" style="17" customWidth="1"/>
    <col min="15" max="15" width="8.140625" style="17" customWidth="1"/>
    <col min="16" max="16384" width="28.42578125" style="17"/>
  </cols>
  <sheetData>
    <row r="1" spans="1:13" s="18" customFormat="1" ht="23.25">
      <c r="A1" s="329" t="s">
        <v>112</v>
      </c>
      <c r="L1" s="127"/>
      <c r="M1" s="287" t="s">
        <v>150</v>
      </c>
    </row>
    <row r="2" spans="1:13" ht="12" customHeight="1">
      <c r="A2" s="22"/>
      <c r="B2" s="339" t="s">
        <v>37</v>
      </c>
      <c r="C2" s="339"/>
      <c r="D2" s="339"/>
      <c r="E2" s="339" t="s">
        <v>38</v>
      </c>
      <c r="F2" s="339"/>
      <c r="G2" s="339"/>
      <c r="H2" s="342" t="s">
        <v>163</v>
      </c>
      <c r="I2" s="342" t="s">
        <v>164</v>
      </c>
    </row>
    <row r="3" spans="1:13">
      <c r="A3" s="22"/>
      <c r="B3" s="339" t="s">
        <v>32</v>
      </c>
      <c r="C3" s="339"/>
      <c r="D3" s="29" t="s">
        <v>36</v>
      </c>
      <c r="E3" s="339" t="s">
        <v>32</v>
      </c>
      <c r="F3" s="339"/>
      <c r="G3" s="30" t="s">
        <v>36</v>
      </c>
      <c r="H3" s="348"/>
      <c r="I3" s="343"/>
    </row>
    <row r="4" spans="1:13" ht="22.5" customHeight="1">
      <c r="A4" s="29" t="s">
        <v>33</v>
      </c>
      <c r="B4" s="29" t="s">
        <v>34</v>
      </c>
      <c r="C4" s="29" t="s">
        <v>35</v>
      </c>
      <c r="D4" s="29" t="s">
        <v>35</v>
      </c>
      <c r="E4" s="29" t="s">
        <v>34</v>
      </c>
      <c r="F4" s="29" t="s">
        <v>35</v>
      </c>
      <c r="G4" s="29" t="s">
        <v>35</v>
      </c>
      <c r="H4" s="349"/>
      <c r="I4" s="344"/>
      <c r="J4" s="273" t="s">
        <v>3</v>
      </c>
    </row>
    <row r="5" spans="1:13">
      <c r="A5" s="32" t="s">
        <v>12</v>
      </c>
      <c r="B5" s="90" t="str">
        <f>Rentals!B5</f>
        <v>Removed</v>
      </c>
      <c r="C5" s="99" t="e">
        <f t="shared" ref="C5:C20" si="0">B5*opt_ISDNChUti</f>
        <v>#VALUE!</v>
      </c>
      <c r="D5" s="99" t="e">
        <f>Rentals!D5*IF(opt_BackhaulModel=1,opt_excBcCo*opt_BackOCSCircuit,opt_excBcCo*opt_DistBcCircuit)</f>
        <v>#VALUE!</v>
      </c>
      <c r="E5" s="90" t="e">
        <f>Rentals!E5</f>
        <v>#VALUE!</v>
      </c>
      <c r="F5" s="99" t="e">
        <f>E5*opt_ISDNChUti</f>
        <v>#VALUE!</v>
      </c>
      <c r="G5" s="99" t="e">
        <f>Rentals!G5*IF(opt_BackhaulModel=1,opt_excBcCo*opt_BackOCSCircuit,opt_excBcCo*opt_DistBcCircuit)</f>
        <v>#VALUE!</v>
      </c>
      <c r="H5" s="90" t="str">
        <f>Rentals!H5</f>
        <v>Removed</v>
      </c>
      <c r="I5" s="90" t="str">
        <f>Rentals!I5</f>
        <v>Removed</v>
      </c>
      <c r="J5" s="272" t="s">
        <v>410</v>
      </c>
      <c r="L5" s="129"/>
      <c r="M5" s="126"/>
    </row>
    <row r="6" spans="1:13">
      <c r="A6" s="32" t="s">
        <v>14</v>
      </c>
      <c r="B6" s="90" t="str">
        <f>Rentals!B6</f>
        <v>Removed</v>
      </c>
      <c r="C6" s="99" t="e">
        <f t="shared" si="0"/>
        <v>#VALUE!</v>
      </c>
      <c r="D6" s="90" t="str">
        <f>Rentals!D6</f>
        <v>Removed</v>
      </c>
      <c r="E6" s="90" t="e">
        <f>Rentals!E6</f>
        <v>#VALUE!</v>
      </c>
      <c r="F6" s="99" t="e">
        <f>E6*opt_ISDNChUti</f>
        <v>#VALUE!</v>
      </c>
      <c r="G6" s="90" t="e">
        <f>Rentals!G6</f>
        <v>#VALUE!</v>
      </c>
      <c r="H6" s="90" t="str">
        <f>Rentals!H6</f>
        <v>Removed</v>
      </c>
      <c r="I6" s="90" t="str">
        <f>Rentals!I6</f>
        <v>Removed</v>
      </c>
    </row>
    <row r="7" spans="1:13">
      <c r="A7" s="32" t="s">
        <v>16</v>
      </c>
      <c r="B7" s="90" t="str">
        <f>Rentals!B7</f>
        <v>Removed</v>
      </c>
      <c r="C7" s="99" t="e">
        <f t="shared" si="0"/>
        <v>#VALUE!</v>
      </c>
      <c r="D7" s="90" t="str">
        <f>Rentals!D7</f>
        <v>Removed</v>
      </c>
      <c r="E7" s="90" t="e">
        <f>Rentals!E7</f>
        <v>#VALUE!</v>
      </c>
      <c r="F7" s="99" t="e">
        <f>E7*opt_ISDNChUti</f>
        <v>#VALUE!</v>
      </c>
      <c r="G7" s="90" t="e">
        <f>Rentals!G7</f>
        <v>#VALUE!</v>
      </c>
      <c r="H7" s="90" t="str">
        <f>Rentals!H7</f>
        <v>Removed</v>
      </c>
      <c r="I7" s="90" t="str">
        <f>Rentals!I7</f>
        <v>Removed</v>
      </c>
    </row>
    <row r="8" spans="1:13">
      <c r="A8" s="32" t="s">
        <v>17</v>
      </c>
      <c r="B8" s="90" t="str">
        <f>Rentals!B8</f>
        <v>Removed</v>
      </c>
      <c r="C8" s="99" t="e">
        <f t="shared" si="0"/>
        <v>#VALUE!</v>
      </c>
      <c r="D8" s="90" t="str">
        <f>Rentals!D8</f>
        <v>Removed</v>
      </c>
      <c r="E8" s="90" t="e">
        <f>Rentals!E8</f>
        <v>#VALUE!</v>
      </c>
      <c r="F8" s="99" t="e">
        <f t="shared" ref="F8:F20" si="1">E8*opt_ISDNChUti</f>
        <v>#VALUE!</v>
      </c>
      <c r="G8" s="90" t="e">
        <f>Rentals!G8</f>
        <v>#VALUE!</v>
      </c>
      <c r="H8" s="90" t="str">
        <f>Rentals!H8</f>
        <v>Removed</v>
      </c>
      <c r="I8" s="90" t="str">
        <f>Rentals!I8</f>
        <v>Removed</v>
      </c>
    </row>
    <row r="9" spans="1:13">
      <c r="A9" s="32" t="s">
        <v>18</v>
      </c>
      <c r="B9" s="90" t="str">
        <f>Rentals!B9</f>
        <v>Removed</v>
      </c>
      <c r="C9" s="99" t="e">
        <f t="shared" si="0"/>
        <v>#VALUE!</v>
      </c>
      <c r="D9" s="90" t="str">
        <f>Rentals!D9</f>
        <v>Removed</v>
      </c>
      <c r="E9" s="90" t="e">
        <f>Rentals!E9</f>
        <v>#VALUE!</v>
      </c>
      <c r="F9" s="99" t="e">
        <f t="shared" si="1"/>
        <v>#VALUE!</v>
      </c>
      <c r="G9" s="90" t="e">
        <f>Rentals!G9</f>
        <v>#VALUE!</v>
      </c>
      <c r="H9" s="90" t="str">
        <f>Rentals!H9</f>
        <v>Removed</v>
      </c>
      <c r="I9" s="90" t="str">
        <f>Rentals!I9</f>
        <v>Removed</v>
      </c>
    </row>
    <row r="10" spans="1:13">
      <c r="A10" s="32" t="s">
        <v>19</v>
      </c>
      <c r="B10" s="90" t="str">
        <f>Rentals!B10</f>
        <v>Removed</v>
      </c>
      <c r="C10" s="99" t="e">
        <f t="shared" si="0"/>
        <v>#VALUE!</v>
      </c>
      <c r="D10" s="90" t="str">
        <f>Rentals!D10</f>
        <v>Removed</v>
      </c>
      <c r="E10" s="90" t="e">
        <f>Rentals!E10</f>
        <v>#VALUE!</v>
      </c>
      <c r="F10" s="99" t="e">
        <f t="shared" si="1"/>
        <v>#VALUE!</v>
      </c>
      <c r="G10" s="90" t="e">
        <f>Rentals!G10</f>
        <v>#VALUE!</v>
      </c>
      <c r="H10" s="90" t="str">
        <f>Rentals!H10</f>
        <v>Removed</v>
      </c>
      <c r="I10" s="90" t="str">
        <f>Rentals!I10</f>
        <v>Removed</v>
      </c>
    </row>
    <row r="11" spans="1:13">
      <c r="A11" s="32" t="s">
        <v>20</v>
      </c>
      <c r="B11" s="90" t="str">
        <f>Rentals!B11</f>
        <v>Removed</v>
      </c>
      <c r="C11" s="99" t="e">
        <f>B11*opt_ISDNChUti*(1+opt_UpliftLCard1)</f>
        <v>#VALUE!</v>
      </c>
      <c r="D11" s="90" t="str">
        <f>Rentals!D11</f>
        <v>Removed</v>
      </c>
      <c r="E11" s="90" t="e">
        <f>Rentals!E11</f>
        <v>#VALUE!</v>
      </c>
      <c r="F11" s="99" t="e">
        <f>E11*opt_ISDNChUti*(1+opt_UpliftLCard1)</f>
        <v>#VALUE!</v>
      </c>
      <c r="G11" s="90" t="e">
        <f>Rentals!G11</f>
        <v>#VALUE!</v>
      </c>
      <c r="H11" s="90" t="str">
        <f>Rentals!H11</f>
        <v>Removed</v>
      </c>
      <c r="I11" s="90" t="str">
        <f>Rentals!I11</f>
        <v>Removed</v>
      </c>
      <c r="J11" s="272" t="s">
        <v>413</v>
      </c>
    </row>
    <row r="12" spans="1:13">
      <c r="A12" s="32" t="s">
        <v>21</v>
      </c>
      <c r="B12" s="90" t="str">
        <f>Rentals!B12</f>
        <v>Removed</v>
      </c>
      <c r="C12" s="99" t="e">
        <f t="shared" si="0"/>
        <v>#VALUE!</v>
      </c>
      <c r="D12" s="99" t="e">
        <f>Rentals!D12*opt_excBcCo</f>
        <v>#VALUE!</v>
      </c>
      <c r="E12" s="90" t="e">
        <f>Rentals!E12</f>
        <v>#VALUE!</v>
      </c>
      <c r="F12" s="99" t="e">
        <f t="shared" si="1"/>
        <v>#VALUE!</v>
      </c>
      <c r="G12" s="99" t="e">
        <f>Rentals!G12*opt_excBcCo</f>
        <v>#VALUE!</v>
      </c>
      <c r="H12" s="90" t="str">
        <f>Rentals!H12</f>
        <v>Removed</v>
      </c>
      <c r="I12" s="90" t="str">
        <f>Rentals!I12</f>
        <v>Removed</v>
      </c>
      <c r="J12" s="272" t="s">
        <v>411</v>
      </c>
    </row>
    <row r="13" spans="1:13">
      <c r="A13" s="32" t="s">
        <v>22</v>
      </c>
      <c r="B13" s="90" t="str">
        <f>Rentals!B13</f>
        <v>Removed</v>
      </c>
      <c r="C13" s="99" t="e">
        <f>B13*opt_ISDNChUti*(1+opt_UpliftAccElect)</f>
        <v>#VALUE!</v>
      </c>
      <c r="D13" s="99" t="e">
        <f>Rentals!D13*(1+opt_UpliftAccElect)</f>
        <v>#VALUE!</v>
      </c>
      <c r="E13" s="90" t="e">
        <f>Rentals!E13</f>
        <v>#VALUE!</v>
      </c>
      <c r="F13" s="99" t="e">
        <f>E13*opt_ISDNChUti*(1+opt_UpliftAccElect)</f>
        <v>#VALUE!</v>
      </c>
      <c r="G13" s="99" t="e">
        <f>Rentals!G13*(1+opt_UpliftAccElect)</f>
        <v>#VALUE!</v>
      </c>
      <c r="H13" s="90" t="str">
        <f>Rentals!H13</f>
        <v>Removed</v>
      </c>
      <c r="I13" s="90" t="str">
        <f>Rentals!I13</f>
        <v>Removed</v>
      </c>
      <c r="J13" s="272" t="s">
        <v>412</v>
      </c>
    </row>
    <row r="14" spans="1:13">
      <c r="A14" s="32" t="s">
        <v>23</v>
      </c>
      <c r="B14" s="90" t="str">
        <f>Rentals!B14</f>
        <v>Removed</v>
      </c>
      <c r="C14" s="99" t="e">
        <f t="shared" si="0"/>
        <v>#VALUE!</v>
      </c>
      <c r="D14" s="99" t="e">
        <f>Rentals!D14*(opt_AssuranceNonBack+(opt_AssuranceBackhaul*opt_excBcCo))</f>
        <v>#NAME?</v>
      </c>
      <c r="E14" s="90" t="e">
        <f>Rentals!E14</f>
        <v>#VALUE!</v>
      </c>
      <c r="F14" s="99" t="e">
        <f t="shared" si="1"/>
        <v>#VALUE!</v>
      </c>
      <c r="G14" s="99" t="e">
        <f>Rentals!G14*(opt_AssuranceNonBack+(opt_AssuranceBackhaul*opt_excBcCo))</f>
        <v>#VALUE!</v>
      </c>
      <c r="H14" s="90" t="str">
        <f>Rentals!H14</f>
        <v>Removed</v>
      </c>
      <c r="I14" s="90" t="str">
        <f>Rentals!I14</f>
        <v>Removed</v>
      </c>
      <c r="J14" s="272" t="s">
        <v>414</v>
      </c>
    </row>
    <row r="15" spans="1:13">
      <c r="A15" s="32" t="s">
        <v>24</v>
      </c>
      <c r="B15" s="90" t="str">
        <f>Rentals!B15</f>
        <v>Removed</v>
      </c>
      <c r="C15" s="99" t="e">
        <f t="shared" si="0"/>
        <v>#VALUE!</v>
      </c>
      <c r="D15" s="90" t="str">
        <f>Rentals!D15</f>
        <v>Removed</v>
      </c>
      <c r="E15" s="90" t="e">
        <f>Rentals!E15</f>
        <v>#VALUE!</v>
      </c>
      <c r="F15" s="99" t="e">
        <f t="shared" si="1"/>
        <v>#VALUE!</v>
      </c>
      <c r="G15" s="90" t="e">
        <f>Rentals!G15</f>
        <v>#VALUE!</v>
      </c>
      <c r="H15" s="90" t="str">
        <f>Rentals!H15</f>
        <v>Removed</v>
      </c>
      <c r="I15" s="90" t="str">
        <f>Rentals!I15</f>
        <v>Removed</v>
      </c>
    </row>
    <row r="16" spans="1:13">
      <c r="A16" s="32" t="s">
        <v>25</v>
      </c>
      <c r="B16" s="90" t="str">
        <f>Rentals!B16</f>
        <v>Removed</v>
      </c>
      <c r="C16" s="99" t="e">
        <f t="shared" si="0"/>
        <v>#VALUE!</v>
      </c>
      <c r="D16" s="90" t="str">
        <f>Rentals!D16</f>
        <v>Removed</v>
      </c>
      <c r="E16" s="90" t="e">
        <f>Rentals!E16</f>
        <v>#VALUE!</v>
      </c>
      <c r="F16" s="99" t="e">
        <f t="shared" si="1"/>
        <v>#VALUE!</v>
      </c>
      <c r="G16" s="90" t="e">
        <f>Rentals!G16</f>
        <v>#VALUE!</v>
      </c>
      <c r="H16" s="90" t="str">
        <f>Rentals!H16</f>
        <v>Removed</v>
      </c>
      <c r="I16" s="90" t="str">
        <f>Rentals!I16</f>
        <v>Removed</v>
      </c>
    </row>
    <row r="17" spans="1:16">
      <c r="A17" s="32" t="s">
        <v>27</v>
      </c>
      <c r="B17" s="90" t="str">
        <f>Rentals!B17</f>
        <v>Removed</v>
      </c>
      <c r="C17" s="99" t="e">
        <f t="shared" si="0"/>
        <v>#VALUE!</v>
      </c>
      <c r="D17" s="90" t="str">
        <f>Rentals!D17</f>
        <v>Removed</v>
      </c>
      <c r="E17" s="90" t="e">
        <f>Rentals!E17</f>
        <v>#VALUE!</v>
      </c>
      <c r="F17" s="99" t="e">
        <f t="shared" si="1"/>
        <v>#VALUE!</v>
      </c>
      <c r="G17" s="90" t="e">
        <f>Rentals!G17</f>
        <v>#VALUE!</v>
      </c>
      <c r="H17" s="90" t="str">
        <f>Rentals!H17</f>
        <v>Removed</v>
      </c>
      <c r="I17" s="90" t="str">
        <f>Rentals!I17</f>
        <v>Removed</v>
      </c>
    </row>
    <row r="18" spans="1:16">
      <c r="A18" s="32" t="s">
        <v>28</v>
      </c>
      <c r="B18" s="90" t="str">
        <f>Rentals!B18</f>
        <v>Removed</v>
      </c>
      <c r="C18" s="99" t="e">
        <f t="shared" si="0"/>
        <v>#VALUE!</v>
      </c>
      <c r="D18" s="90" t="str">
        <f>Rentals!D18</f>
        <v>Removed</v>
      </c>
      <c r="E18" s="90" t="e">
        <f>Rentals!E18</f>
        <v>#VALUE!</v>
      </c>
      <c r="F18" s="99" t="e">
        <f t="shared" si="1"/>
        <v>#VALUE!</v>
      </c>
      <c r="G18" s="90" t="e">
        <f>Rentals!G18</f>
        <v>#VALUE!</v>
      </c>
      <c r="H18" s="90" t="str">
        <f>Rentals!H18</f>
        <v>Removed</v>
      </c>
      <c r="I18" s="90" t="str">
        <f>Rentals!I18</f>
        <v>Removed</v>
      </c>
    </row>
    <row r="19" spans="1:16">
      <c r="A19" s="32" t="s">
        <v>29</v>
      </c>
      <c r="B19" s="90" t="str">
        <f>Rentals!B19</f>
        <v>Removed</v>
      </c>
      <c r="C19" s="99" t="e">
        <f t="shared" si="0"/>
        <v>#VALUE!</v>
      </c>
      <c r="D19" s="90" t="str">
        <f>Rentals!D19</f>
        <v>Removed</v>
      </c>
      <c r="E19" s="90" t="e">
        <f>Rentals!E19</f>
        <v>#VALUE!</v>
      </c>
      <c r="F19" s="99" t="e">
        <f t="shared" si="1"/>
        <v>#VALUE!</v>
      </c>
      <c r="G19" s="90" t="e">
        <f>Rentals!G19</f>
        <v>#VALUE!</v>
      </c>
      <c r="H19" s="90" t="str">
        <f>Rentals!H19</f>
        <v>Removed</v>
      </c>
      <c r="I19" s="90" t="str">
        <f>Rentals!I19</f>
        <v>Removed</v>
      </c>
      <c r="N19" s="97"/>
      <c r="O19" s="97"/>
      <c r="P19" s="97"/>
    </row>
    <row r="20" spans="1:16">
      <c r="A20" s="32" t="s">
        <v>30</v>
      </c>
      <c r="B20" s="90" t="str">
        <f>Rentals!B20</f>
        <v>Removed</v>
      </c>
      <c r="C20" s="99" t="e">
        <f t="shared" si="0"/>
        <v>#VALUE!</v>
      </c>
      <c r="D20" s="90" t="str">
        <f>Rentals!D20</f>
        <v>Removed</v>
      </c>
      <c r="E20" s="90" t="e">
        <f>Rentals!E20</f>
        <v>#VALUE!</v>
      </c>
      <c r="F20" s="99" t="e">
        <f t="shared" si="1"/>
        <v>#VALUE!</v>
      </c>
      <c r="G20" s="90" t="e">
        <f>Rentals!G20</f>
        <v>#VALUE!</v>
      </c>
      <c r="H20" s="90" t="str">
        <f>Rentals!H20</f>
        <v>Removed</v>
      </c>
      <c r="I20" s="90" t="str">
        <f>Rentals!I20</f>
        <v>Removed</v>
      </c>
      <c r="M20" s="97"/>
    </row>
    <row r="21" spans="1:16">
      <c r="A21" s="33" t="s">
        <v>31</v>
      </c>
      <c r="B21" s="90">
        <f t="shared" ref="B21:G21" si="2">SUM(B5:B20)</f>
        <v>0</v>
      </c>
      <c r="C21" s="99" t="e">
        <f t="shared" si="2"/>
        <v>#VALUE!</v>
      </c>
      <c r="D21" s="90" t="e">
        <f t="shared" si="2"/>
        <v>#VALUE!</v>
      </c>
      <c r="E21" s="90" t="e">
        <f t="shared" si="2"/>
        <v>#VALUE!</v>
      </c>
      <c r="F21" s="99" t="e">
        <f t="shared" si="2"/>
        <v>#VALUE!</v>
      </c>
      <c r="G21" s="90" t="e">
        <f t="shared" si="2"/>
        <v>#VALUE!</v>
      </c>
      <c r="H21" s="90"/>
      <c r="I21" s="90"/>
    </row>
    <row r="23" spans="1:16">
      <c r="B23" s="218"/>
      <c r="E23" s="218"/>
    </row>
    <row r="24" spans="1:16">
      <c r="B24" s="218"/>
      <c r="E24" s="218"/>
    </row>
    <row r="25" spans="1:16">
      <c r="B25" s="218"/>
      <c r="E25" s="218"/>
    </row>
    <row r="26" spans="1:16">
      <c r="B26" s="218"/>
      <c r="E26" s="218"/>
    </row>
    <row r="27" spans="1:16">
      <c r="B27" s="218"/>
      <c r="E27" s="218"/>
    </row>
    <row r="28" spans="1:16">
      <c r="B28" s="218"/>
      <c r="E28" s="218"/>
    </row>
    <row r="29" spans="1:16">
      <c r="B29" s="218"/>
      <c r="E29" s="218"/>
    </row>
    <row r="30" spans="1:16">
      <c r="B30" s="218"/>
      <c r="E30" s="218"/>
    </row>
    <row r="31" spans="1:16">
      <c r="B31" s="218"/>
      <c r="E31" s="218"/>
    </row>
    <row r="32" spans="1:16">
      <c r="B32" s="218"/>
      <c r="E32" s="218"/>
    </row>
    <row r="33" spans="2:5">
      <c r="B33" s="218"/>
      <c r="E33" s="218"/>
    </row>
    <row r="34" spans="2:5">
      <c r="B34" s="218"/>
      <c r="E34" s="218"/>
    </row>
    <row r="35" spans="2:5">
      <c r="B35" s="218"/>
      <c r="E35" s="218"/>
    </row>
    <row r="36" spans="2:5">
      <c r="B36" s="218"/>
      <c r="E36" s="218"/>
    </row>
    <row r="37" spans="2:5">
      <c r="B37" s="218"/>
      <c r="E37" s="218"/>
    </row>
    <row r="38" spans="2:5">
      <c r="B38" s="218"/>
      <c r="E38" s="218"/>
    </row>
    <row r="39" spans="2:5">
      <c r="B39" s="218"/>
      <c r="E39" s="218"/>
    </row>
    <row r="40" spans="2:5">
      <c r="E40" s="218"/>
    </row>
    <row r="41" spans="2:5">
      <c r="E41" s="218"/>
    </row>
    <row r="42" spans="2:5">
      <c r="E42" s="218"/>
    </row>
    <row r="43" spans="2:5">
      <c r="E43" s="218"/>
    </row>
  </sheetData>
  <mergeCells count="6">
    <mergeCell ref="B2:D2"/>
    <mergeCell ref="E2:G2"/>
    <mergeCell ref="I2:I4"/>
    <mergeCell ref="B3:C3"/>
    <mergeCell ref="E3:F3"/>
    <mergeCell ref="H2:H4"/>
  </mergeCells>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14.xml><?xml version="1.0" encoding="utf-8"?>
<worksheet xmlns="http://schemas.openxmlformats.org/spreadsheetml/2006/main" xmlns:r="http://schemas.openxmlformats.org/officeDocument/2006/relationships">
  <sheetPr>
    <pageSetUpPr autoPageBreaks="0"/>
  </sheetPr>
  <dimension ref="A1:M12"/>
  <sheetViews>
    <sheetView defaultGridColor="0" colorId="22" zoomScale="85" zoomScaleNormal="85" workbookViewId="0">
      <pane ySplit="1" topLeftCell="A2" activePane="bottomLeft" state="frozen"/>
      <selection pane="bottomLeft"/>
    </sheetView>
  </sheetViews>
  <sheetFormatPr defaultColWidth="12.7109375" defaultRowHeight="12"/>
  <cols>
    <col min="1" max="1" width="32.5703125" style="17" customWidth="1"/>
    <col min="2" max="2" width="9.7109375" style="17" customWidth="1"/>
    <col min="3" max="3" width="7.85546875" style="17" customWidth="1"/>
    <col min="4" max="4" width="8.28515625" style="17" customWidth="1"/>
    <col min="5" max="5" width="9.140625" style="17" customWidth="1"/>
    <col min="6" max="6" width="8.5703125" style="17" customWidth="1"/>
    <col min="7" max="8" width="8" style="17" customWidth="1"/>
    <col min="9" max="9" width="8.28515625" style="17" customWidth="1"/>
    <col min="10" max="10" width="1.85546875" style="17" customWidth="1"/>
    <col min="11" max="11" width="1.42578125" style="17" customWidth="1"/>
    <col min="12" max="12" width="5.42578125" style="17" customWidth="1"/>
    <col min="13" max="16384" width="12.7109375" style="17"/>
  </cols>
  <sheetData>
    <row r="1" spans="1:13" s="18" customFormat="1" ht="18.75" customHeight="1">
      <c r="A1" s="329" t="s">
        <v>113</v>
      </c>
      <c r="D1" s="129"/>
      <c r="E1" s="126"/>
      <c r="L1" s="127"/>
      <c r="M1" s="287" t="s">
        <v>150</v>
      </c>
    </row>
    <row r="2" spans="1:13" ht="12" customHeight="1">
      <c r="A2" s="18"/>
      <c r="B2" s="339" t="s">
        <v>37</v>
      </c>
      <c r="C2" s="339"/>
      <c r="D2" s="350"/>
      <c r="E2" s="350" t="s">
        <v>38</v>
      </c>
      <c r="F2" s="339"/>
      <c r="G2" s="339"/>
      <c r="H2" s="342" t="s">
        <v>163</v>
      </c>
      <c r="I2" s="342" t="s">
        <v>164</v>
      </c>
    </row>
    <row r="3" spans="1:13">
      <c r="B3" s="339" t="s">
        <v>32</v>
      </c>
      <c r="C3" s="339"/>
      <c r="D3" s="29" t="s">
        <v>36</v>
      </c>
      <c r="E3" s="339" t="s">
        <v>32</v>
      </c>
      <c r="F3" s="339"/>
      <c r="G3" s="30" t="s">
        <v>36</v>
      </c>
      <c r="H3" s="348"/>
      <c r="I3" s="343"/>
    </row>
    <row r="4" spans="1:13">
      <c r="A4" s="29" t="s">
        <v>33</v>
      </c>
      <c r="B4" s="29" t="s">
        <v>34</v>
      </c>
      <c r="C4" s="29" t="s">
        <v>35</v>
      </c>
      <c r="D4" s="29" t="s">
        <v>35</v>
      </c>
      <c r="E4" s="29" t="s">
        <v>34</v>
      </c>
      <c r="F4" s="29" t="s">
        <v>35</v>
      </c>
      <c r="G4" s="29" t="s">
        <v>35</v>
      </c>
      <c r="H4" s="349"/>
      <c r="I4" s="344"/>
    </row>
    <row r="5" spans="1:13">
      <c r="A5" s="34" t="s">
        <v>39</v>
      </c>
      <c r="B5" s="98" t="str">
        <f>Connections!B5</f>
        <v>Removed</v>
      </c>
      <c r="C5" s="101" t="e">
        <f t="shared" ref="C5:C11" si="0">B5*opt_ISDNChUti</f>
        <v>#VALUE!</v>
      </c>
      <c r="D5" s="98" t="str">
        <f>Connections!D5</f>
        <v>Removed</v>
      </c>
      <c r="E5" s="98" t="e">
        <f>Connections!E5</f>
        <v>#VALUE!</v>
      </c>
      <c r="F5" s="101" t="e">
        <f t="shared" ref="F5:F11" si="1">E5*opt_ISDNChUti</f>
        <v>#VALUE!</v>
      </c>
      <c r="G5" s="98" t="e">
        <f>Connections!G5</f>
        <v>#VALUE!</v>
      </c>
      <c r="H5" s="98" t="str">
        <f>Connections!H5</f>
        <v>Removed</v>
      </c>
      <c r="I5" s="98" t="str">
        <f>Connections!I5</f>
        <v>Removed</v>
      </c>
      <c r="L5" s="129"/>
      <c r="M5" s="126"/>
    </row>
    <row r="6" spans="1:13">
      <c r="A6" s="34" t="s">
        <v>40</v>
      </c>
      <c r="B6" s="98" t="str">
        <f>Connections!B6</f>
        <v>Removed</v>
      </c>
      <c r="C6" s="101" t="e">
        <f t="shared" si="0"/>
        <v>#VALUE!</v>
      </c>
      <c r="D6" s="101" t="e">
        <f>Connections!D6*(opt_ConnSMC1+(opt_ConnSMC2+opt_ConnSMC3)*opt_excBcCo)</f>
        <v>#VALUE!</v>
      </c>
      <c r="E6" s="98" t="e">
        <f>Connections!E6</f>
        <v>#VALUE!</v>
      </c>
      <c r="F6" s="101" t="e">
        <f t="shared" si="1"/>
        <v>#VALUE!</v>
      </c>
      <c r="G6" s="101" t="e">
        <f>Connections!G6*(opt_ConnSMC1+(opt_ConnSMC2+opt_ConnSMC3)*opt_excBcCo)</f>
        <v>#VALUE!</v>
      </c>
      <c r="H6" s="98" t="str">
        <f>Connections!H6</f>
        <v>Removed</v>
      </c>
      <c r="I6" s="98" t="str">
        <f>Connections!I6</f>
        <v>Removed</v>
      </c>
      <c r="J6" s="272" t="s">
        <v>415</v>
      </c>
    </row>
    <row r="7" spans="1:13">
      <c r="A7" s="34" t="s">
        <v>41</v>
      </c>
      <c r="B7" s="98" t="str">
        <f>Connections!B7</f>
        <v>Removed</v>
      </c>
      <c r="C7" s="101" t="e">
        <f t="shared" si="0"/>
        <v>#VALUE!</v>
      </c>
      <c r="D7" s="101" t="e">
        <f>Connections!D7*(opt_ConnSMC1+(opt_ConnSMC2+opt_ConnSMC3)*opt_excBcCo)</f>
        <v>#VALUE!</v>
      </c>
      <c r="E7" s="98" t="e">
        <f>Connections!E7</f>
        <v>#VALUE!</v>
      </c>
      <c r="F7" s="101" t="e">
        <f t="shared" si="1"/>
        <v>#VALUE!</v>
      </c>
      <c r="G7" s="101" t="e">
        <f>Connections!G7*(opt_ConnSMC1+(opt_ConnSMC2+opt_ConnSMC3)*opt_excBcCo)</f>
        <v>#VALUE!</v>
      </c>
      <c r="H7" s="98" t="str">
        <f>Connections!H7</f>
        <v>Removed</v>
      </c>
      <c r="I7" s="98" t="str">
        <f>Connections!I7</f>
        <v>Removed</v>
      </c>
      <c r="J7" s="272" t="s">
        <v>193</v>
      </c>
    </row>
    <row r="8" spans="1:13">
      <c r="A8" s="34" t="s">
        <v>195</v>
      </c>
      <c r="B8" s="98" t="str">
        <f>Connections!B8</f>
        <v>Removed</v>
      </c>
      <c r="C8" s="101" t="e">
        <f t="shared" si="0"/>
        <v>#VALUE!</v>
      </c>
      <c r="D8" s="98" t="str">
        <f>Connections!D8</f>
        <v>Removed</v>
      </c>
      <c r="E8" s="98" t="e">
        <f>Connections!E8</f>
        <v>#VALUE!</v>
      </c>
      <c r="F8" s="101" t="e">
        <f t="shared" si="1"/>
        <v>#VALUE!</v>
      </c>
      <c r="G8" s="98" t="e">
        <f>Connections!G8</f>
        <v>#VALUE!</v>
      </c>
      <c r="H8" s="98" t="str">
        <f>Connections!H8</f>
        <v>Removed</v>
      </c>
      <c r="I8" s="98" t="str">
        <f>Connections!I8</f>
        <v>Removed</v>
      </c>
      <c r="J8" s="121"/>
    </row>
    <row r="9" spans="1:13">
      <c r="A9" s="34" t="s">
        <v>24</v>
      </c>
      <c r="B9" s="98" t="str">
        <f>Connections!B9</f>
        <v>Removed</v>
      </c>
      <c r="C9" s="101" t="e">
        <f t="shared" si="0"/>
        <v>#VALUE!</v>
      </c>
      <c r="D9" s="98" t="str">
        <f>Connections!D9</f>
        <v>Removed</v>
      </c>
      <c r="E9" s="98" t="e">
        <f>Connections!E9</f>
        <v>#VALUE!</v>
      </c>
      <c r="F9" s="101" t="e">
        <f t="shared" si="1"/>
        <v>#VALUE!</v>
      </c>
      <c r="G9" s="98" t="e">
        <f>Connections!G9</f>
        <v>#VALUE!</v>
      </c>
      <c r="H9" s="98" t="str">
        <f>Connections!H9</f>
        <v>Removed</v>
      </c>
      <c r="I9" s="98" t="str">
        <f>Connections!I9</f>
        <v>Removed</v>
      </c>
    </row>
    <row r="10" spans="1:13">
      <c r="A10" s="34" t="s">
        <v>25</v>
      </c>
      <c r="B10" s="98" t="str">
        <f>Connections!B10</f>
        <v>Removed</v>
      </c>
      <c r="C10" s="101" t="e">
        <f t="shared" si="0"/>
        <v>#VALUE!</v>
      </c>
      <c r="D10" s="98" t="str">
        <f>Connections!D10</f>
        <v>Removed</v>
      </c>
      <c r="E10" s="98" t="e">
        <f>Connections!E10</f>
        <v>#VALUE!</v>
      </c>
      <c r="F10" s="101" t="e">
        <f t="shared" si="1"/>
        <v>#VALUE!</v>
      </c>
      <c r="G10" s="98" t="e">
        <f>Connections!G10</f>
        <v>#VALUE!</v>
      </c>
      <c r="H10" s="98" t="str">
        <f>Connections!H10</f>
        <v>Removed</v>
      </c>
      <c r="I10" s="98" t="str">
        <f>Connections!I10</f>
        <v>Removed</v>
      </c>
    </row>
    <row r="11" spans="1:13">
      <c r="A11" s="34" t="s">
        <v>26</v>
      </c>
      <c r="B11" s="98" t="str">
        <f>Connections!B11</f>
        <v>Removed</v>
      </c>
      <c r="C11" s="101" t="e">
        <f t="shared" si="0"/>
        <v>#VALUE!</v>
      </c>
      <c r="D11" s="101" t="e">
        <f>Connections!D11*(opt_ConnSMC1+(opt_ConnSMC2+opt_ConnSMC3)*opt_excBcCo)</f>
        <v>#VALUE!</v>
      </c>
      <c r="E11" s="98" t="e">
        <f>Connections!E11</f>
        <v>#VALUE!</v>
      </c>
      <c r="F11" s="101" t="e">
        <f t="shared" si="1"/>
        <v>#VALUE!</v>
      </c>
      <c r="G11" s="101" t="e">
        <f>Connections!G11*(opt_ConnSMC1+(opt_ConnSMC2+opt_ConnSMC3)*opt_excBcCo)</f>
        <v>#VALUE!</v>
      </c>
      <c r="H11" s="98" t="str">
        <f>Connections!H11</f>
        <v>Removed</v>
      </c>
      <c r="I11" s="98" t="str">
        <f>Connections!I11</f>
        <v>Removed</v>
      </c>
      <c r="J11" s="272" t="s">
        <v>416</v>
      </c>
    </row>
    <row r="12" spans="1:13">
      <c r="A12" s="35" t="s">
        <v>42</v>
      </c>
      <c r="B12" s="98">
        <f t="shared" ref="B12:G12" si="2">SUM(B5:B11)</f>
        <v>0</v>
      </c>
      <c r="C12" s="101" t="e">
        <f t="shared" si="2"/>
        <v>#VALUE!</v>
      </c>
      <c r="D12" s="98" t="e">
        <f t="shared" si="2"/>
        <v>#VALUE!</v>
      </c>
      <c r="E12" s="98" t="e">
        <f t="shared" si="2"/>
        <v>#VALUE!</v>
      </c>
      <c r="F12" s="101" t="e">
        <f t="shared" si="2"/>
        <v>#VALUE!</v>
      </c>
      <c r="G12" s="98" t="e">
        <f t="shared" si="2"/>
        <v>#VALUE!</v>
      </c>
      <c r="H12" s="98"/>
      <c r="I12" s="98"/>
    </row>
  </sheetData>
  <mergeCells count="6">
    <mergeCell ref="B2:D2"/>
    <mergeCell ref="E2:G2"/>
    <mergeCell ref="I2:I4"/>
    <mergeCell ref="B3:C3"/>
    <mergeCell ref="E3:F3"/>
    <mergeCell ref="H2:H4"/>
  </mergeCells>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15.xml><?xml version="1.0" encoding="utf-8"?>
<worksheet xmlns="http://schemas.openxmlformats.org/spreadsheetml/2006/main" xmlns:r="http://schemas.openxmlformats.org/officeDocument/2006/relationships">
  <sheetPr>
    <tabColor rgb="FFFFFF00"/>
    <pageSetUpPr autoPageBreaks="0"/>
  </sheetPr>
  <dimension ref="A1:L6"/>
  <sheetViews>
    <sheetView defaultGridColor="0" colorId="22" workbookViewId="0">
      <pane ySplit="1" topLeftCell="A2" activePane="bottomLeft" state="frozen"/>
      <selection pane="bottomLeft"/>
    </sheetView>
  </sheetViews>
  <sheetFormatPr defaultColWidth="12.7109375" defaultRowHeight="12"/>
  <cols>
    <col min="1" max="16384" width="12.7109375" style="17"/>
  </cols>
  <sheetData>
    <row r="1" spans="1:12" s="18" customFormat="1" ht="40.5" customHeight="1">
      <c r="A1" s="328" t="s">
        <v>417</v>
      </c>
      <c r="L1" s="18" t="s">
        <v>9</v>
      </c>
    </row>
    <row r="3" spans="1:12">
      <c r="A3" s="95"/>
    </row>
    <row r="4" spans="1:12">
      <c r="A4" s="95"/>
    </row>
    <row r="5" spans="1:12">
      <c r="A5" s="95"/>
    </row>
    <row r="6" spans="1:12">
      <c r="A6" s="95"/>
    </row>
  </sheetData>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16.xml><?xml version="1.0" encoding="utf-8"?>
<worksheet xmlns="http://schemas.openxmlformats.org/spreadsheetml/2006/main" xmlns:r="http://schemas.openxmlformats.org/officeDocument/2006/relationships">
  <sheetPr>
    <pageSetUpPr autoPageBreaks="0" fitToPage="1"/>
  </sheetPr>
  <dimension ref="A1:N21"/>
  <sheetViews>
    <sheetView defaultGridColor="0" colorId="22" zoomScale="85" zoomScaleNormal="85" workbookViewId="0">
      <pane ySplit="1" topLeftCell="A2" activePane="bottomLeft" state="frozen"/>
      <selection pane="bottomLeft"/>
    </sheetView>
  </sheetViews>
  <sheetFormatPr defaultColWidth="12.7109375" defaultRowHeight="12"/>
  <cols>
    <col min="1" max="1" width="34.7109375" style="17" customWidth="1"/>
    <col min="2" max="2" width="9.85546875" style="17" customWidth="1"/>
    <col min="3" max="3" width="8.28515625" style="17" customWidth="1"/>
    <col min="4" max="4" width="8.85546875" style="17" customWidth="1"/>
    <col min="5" max="5" width="11.42578125" style="17" customWidth="1"/>
    <col min="6" max="6" width="2.7109375" style="17" customWidth="1"/>
    <col min="7" max="7" width="2.85546875" style="17" customWidth="1"/>
    <col min="8" max="8" width="32.7109375" style="17" customWidth="1"/>
    <col min="9" max="9" width="9.7109375" style="17" customWidth="1"/>
    <col min="10" max="10" width="8.42578125" style="17" customWidth="1"/>
    <col min="11" max="11" width="9.140625" style="17" customWidth="1"/>
    <col min="12" max="12" width="11.42578125" style="17" customWidth="1"/>
    <col min="13" max="16384" width="12.7109375" style="17"/>
  </cols>
  <sheetData>
    <row r="1" spans="1:14" s="18" customFormat="1" ht="20.25" customHeight="1">
      <c r="A1" s="329" t="s">
        <v>114</v>
      </c>
      <c r="F1" s="127"/>
      <c r="G1" s="287" t="s">
        <v>151</v>
      </c>
      <c r="M1" s="18" t="s">
        <v>9</v>
      </c>
    </row>
    <row r="2" spans="1:14">
      <c r="A2" s="22"/>
      <c r="B2" s="339" t="s">
        <v>38</v>
      </c>
      <c r="C2" s="339"/>
      <c r="D2" s="339"/>
      <c r="E2" s="336" t="s">
        <v>98</v>
      </c>
      <c r="H2" s="22"/>
      <c r="I2" s="339" t="s">
        <v>38</v>
      </c>
      <c r="J2" s="339"/>
      <c r="K2" s="339"/>
      <c r="L2" s="336" t="s">
        <v>161</v>
      </c>
      <c r="M2" s="336" t="s">
        <v>162</v>
      </c>
    </row>
    <row r="3" spans="1:14" ht="12" customHeight="1">
      <c r="A3" s="22"/>
      <c r="B3" s="339" t="s">
        <v>32</v>
      </c>
      <c r="C3" s="339"/>
      <c r="D3" s="30" t="s">
        <v>36</v>
      </c>
      <c r="E3" s="337"/>
      <c r="H3" s="22"/>
      <c r="I3" s="339" t="s">
        <v>32</v>
      </c>
      <c r="J3" s="339"/>
      <c r="K3" s="30" t="s">
        <v>36</v>
      </c>
      <c r="L3" s="337"/>
      <c r="M3" s="337"/>
    </row>
    <row r="4" spans="1:14">
      <c r="A4" s="29" t="s">
        <v>33</v>
      </c>
      <c r="B4" s="29" t="s">
        <v>34</v>
      </c>
      <c r="C4" s="29" t="s">
        <v>35</v>
      </c>
      <c r="D4" s="29" t="s">
        <v>35</v>
      </c>
      <c r="E4" s="338"/>
      <c r="H4" s="29" t="s">
        <v>93</v>
      </c>
      <c r="I4" s="29" t="s">
        <v>34</v>
      </c>
      <c r="J4" s="29" t="s">
        <v>35</v>
      </c>
      <c r="K4" s="29" t="s">
        <v>35</v>
      </c>
      <c r="L4" s="338"/>
      <c r="M4" s="338"/>
      <c r="N4" s="271" t="s">
        <v>3</v>
      </c>
    </row>
    <row r="5" spans="1:14">
      <c r="A5" s="128" t="s">
        <v>12</v>
      </c>
      <c r="B5" s="90" t="e">
        <f>InputRentals!E5</f>
        <v>#VALUE!</v>
      </c>
      <c r="C5" s="90" t="e">
        <f>InputRentals!F5</f>
        <v>#VALUE!</v>
      </c>
      <c r="D5" s="90" t="e">
        <f>InputRentals!G5</f>
        <v>#VALUE!</v>
      </c>
      <c r="E5" s="90" t="e">
        <f t="shared" ref="E5:E10" si="0">C5-D5</f>
        <v>#VALUE!</v>
      </c>
      <c r="H5" s="103" t="s">
        <v>63</v>
      </c>
      <c r="I5" s="132" t="e">
        <f>SUM(B5,B12)</f>
        <v>#VALUE!</v>
      </c>
      <c r="J5" s="132" t="e">
        <f>SUM(C5,C12)</f>
        <v>#VALUE!</v>
      </c>
      <c r="K5" s="132" t="e">
        <f>SUM(D5,D12)</f>
        <v>#VALUE!</v>
      </c>
      <c r="L5" s="132" t="e">
        <f>SUM(E5,E12)</f>
        <v>#VALUE!</v>
      </c>
      <c r="M5" s="104" t="e">
        <f>SUM(E5,E12)*opt_RtBcCo</f>
        <v>#VALUE!</v>
      </c>
      <c r="N5" s="272" t="s">
        <v>191</v>
      </c>
    </row>
    <row r="6" spans="1:14">
      <c r="A6" s="128" t="s">
        <v>14</v>
      </c>
      <c r="B6" s="90" t="e">
        <f>InputRentals!E6</f>
        <v>#VALUE!</v>
      </c>
      <c r="C6" s="90" t="e">
        <f>InputRentals!F6</f>
        <v>#VALUE!</v>
      </c>
      <c r="D6" s="90" t="e">
        <f>InputRentals!G6</f>
        <v>#VALUE!</v>
      </c>
      <c r="E6" s="90" t="e">
        <f t="shared" si="0"/>
        <v>#VALUE!</v>
      </c>
      <c r="H6" s="100" t="s">
        <v>64</v>
      </c>
      <c r="I6" s="133" t="e">
        <f>SUM(B6:B9,B13)</f>
        <v>#VALUE!</v>
      </c>
      <c r="J6" s="133" t="e">
        <f>SUM(C6:C9,C13)</f>
        <v>#VALUE!</v>
      </c>
      <c r="K6" s="133" t="e">
        <f>SUM(D6:D9,D13)</f>
        <v>#VALUE!</v>
      </c>
      <c r="L6" s="133" t="e">
        <f>SUM(E6:E9,E13)</f>
        <v>#VALUE!</v>
      </c>
      <c r="M6" s="99" t="e">
        <f>SUM(E6:E9,E13)*opt_RtLoAccCo</f>
        <v>#VALUE!</v>
      </c>
    </row>
    <row r="7" spans="1:14">
      <c r="A7" s="128" t="s">
        <v>16</v>
      </c>
      <c r="B7" s="90" t="e">
        <f>InputRentals!E7</f>
        <v>#VALUE!</v>
      </c>
      <c r="C7" s="90" t="e">
        <f>InputRentals!F7</f>
        <v>#VALUE!</v>
      </c>
      <c r="D7" s="90" t="e">
        <f>InputRentals!G7</f>
        <v>#VALUE!</v>
      </c>
      <c r="E7" s="90" t="e">
        <f t="shared" si="0"/>
        <v>#VALUE!</v>
      </c>
      <c r="H7" s="100" t="s">
        <v>19</v>
      </c>
      <c r="I7" s="133" t="e">
        <f t="shared" ref="I7:L8" si="1">B10</f>
        <v>#VALUE!</v>
      </c>
      <c r="J7" s="133" t="e">
        <f t="shared" si="1"/>
        <v>#VALUE!</v>
      </c>
      <c r="K7" s="133" t="e">
        <f t="shared" si="1"/>
        <v>#VALUE!</v>
      </c>
      <c r="L7" s="133" t="e">
        <f t="shared" si="1"/>
        <v>#VALUE!</v>
      </c>
      <c r="M7" s="99" t="e">
        <f>E10*opt_ReLineTest</f>
        <v>#VALUE!</v>
      </c>
    </row>
    <row r="8" spans="1:14">
      <c r="A8" s="128" t="s">
        <v>17</v>
      </c>
      <c r="B8" s="90" t="e">
        <f>InputRentals!E8</f>
        <v>#VALUE!</v>
      </c>
      <c r="C8" s="90" t="e">
        <f>InputRentals!F8</f>
        <v>#VALUE!</v>
      </c>
      <c r="D8" s="90" t="e">
        <f>InputRentals!G8</f>
        <v>#VALUE!</v>
      </c>
      <c r="E8" s="90" t="e">
        <f t="shared" si="0"/>
        <v>#VALUE!</v>
      </c>
      <c r="H8" s="100" t="s">
        <v>94</v>
      </c>
      <c r="I8" s="133" t="e">
        <f t="shared" si="1"/>
        <v>#VALUE!</v>
      </c>
      <c r="J8" s="133" t="e">
        <f t="shared" si="1"/>
        <v>#VALUE!</v>
      </c>
      <c r="K8" s="133" t="e">
        <f t="shared" si="1"/>
        <v>#VALUE!</v>
      </c>
      <c r="L8" s="133" t="e">
        <f t="shared" si="1"/>
        <v>#VALUE!</v>
      </c>
      <c r="M8" s="99" t="e">
        <f>E11*opt_RtLineCard</f>
        <v>#VALUE!</v>
      </c>
    </row>
    <row r="9" spans="1:14">
      <c r="A9" s="128" t="s">
        <v>18</v>
      </c>
      <c r="B9" s="90" t="e">
        <f>InputRentals!E9</f>
        <v>#VALUE!</v>
      </c>
      <c r="C9" s="90" t="e">
        <f>InputRentals!F9</f>
        <v>#VALUE!</v>
      </c>
      <c r="D9" s="90" t="e">
        <f>InputRentals!G9</f>
        <v>#VALUE!</v>
      </c>
      <c r="E9" s="90" t="e">
        <f t="shared" si="0"/>
        <v>#VALUE!</v>
      </c>
      <c r="H9" s="100" t="s">
        <v>263</v>
      </c>
      <c r="I9" s="133" t="e">
        <f>SUM(B17:B20)</f>
        <v>#VALUE!</v>
      </c>
      <c r="J9" s="133" t="e">
        <f>SUM(C17:C20)</f>
        <v>#VALUE!</v>
      </c>
      <c r="K9" s="133" t="e">
        <f>SUM(D17:D20)</f>
        <v>#VALUE!</v>
      </c>
      <c r="L9" s="133" t="e">
        <f>SUM(E17:E20)</f>
        <v>#VALUE!</v>
      </c>
      <c r="M9" s="99" t="e">
        <f>SUM(E17:E20)*opt_AccRepair</f>
        <v>#VALUE!</v>
      </c>
    </row>
    <row r="10" spans="1:14">
      <c r="A10" s="128" t="s">
        <v>19</v>
      </c>
      <c r="B10" s="90" t="e">
        <f>InputRentals!E10</f>
        <v>#VALUE!</v>
      </c>
      <c r="C10" s="90" t="e">
        <f>InputRentals!F10</f>
        <v>#VALUE!</v>
      </c>
      <c r="D10" s="90" t="e">
        <f>InputRentals!G10</f>
        <v>#VALUE!</v>
      </c>
      <c r="E10" s="90" t="e">
        <f t="shared" si="0"/>
        <v>#VALUE!</v>
      </c>
      <c r="H10" s="100" t="s">
        <v>65</v>
      </c>
      <c r="I10" s="133" t="e">
        <f>SUM(B15:B16)</f>
        <v>#VALUE!</v>
      </c>
      <c r="J10" s="133" t="e">
        <f>SUM(C15:C16)</f>
        <v>#VALUE!</v>
      </c>
      <c r="K10" s="133" t="e">
        <f>SUM(D15:D16)</f>
        <v>#VALUE!</v>
      </c>
      <c r="L10" s="133" t="e">
        <f>SUM(E15:E16)</f>
        <v>#VALUE!</v>
      </c>
      <c r="M10" s="99" t="e">
        <f>SUM(E15:E16)*opt_RtProdManCo</f>
        <v>#VALUE!</v>
      </c>
    </row>
    <row r="11" spans="1:14">
      <c r="A11" s="128" t="s">
        <v>20</v>
      </c>
      <c r="B11" s="90" t="e">
        <f>InputRentals!E11</f>
        <v>#VALUE!</v>
      </c>
      <c r="C11" s="90" t="e">
        <f>InputRentals!F11</f>
        <v>#VALUE!</v>
      </c>
      <c r="D11" s="90" t="e">
        <f>InputRentals!G11</f>
        <v>#VALUE!</v>
      </c>
      <c r="E11" s="90" t="e">
        <f t="shared" ref="E11:E20" si="2">C11-D11</f>
        <v>#VALUE!</v>
      </c>
      <c r="H11" s="100" t="s">
        <v>290</v>
      </c>
      <c r="I11" s="133" t="e">
        <f>SUM(B14)</f>
        <v>#VALUE!</v>
      </c>
      <c r="J11" s="133" t="e">
        <f>SUM(C14)</f>
        <v>#VALUE!</v>
      </c>
      <c r="K11" s="133" t="e">
        <f>SUM(D14)</f>
        <v>#VALUE!</v>
      </c>
      <c r="L11" s="133" t="e">
        <f>SUM(E14)</f>
        <v>#VALUE!</v>
      </c>
      <c r="M11" s="99" t="e">
        <f>SUM(E14)*opt_RtSmcCo</f>
        <v>#VALUE!</v>
      </c>
    </row>
    <row r="12" spans="1:14">
      <c r="A12" s="128" t="s">
        <v>21</v>
      </c>
      <c r="B12" s="90" t="e">
        <f>InputRentals!E12</f>
        <v>#VALUE!</v>
      </c>
      <c r="C12" s="90" t="e">
        <f>InputRentals!F12</f>
        <v>#VALUE!</v>
      </c>
      <c r="D12" s="90" t="e">
        <f>InputRentals!G12</f>
        <v>#VALUE!</v>
      </c>
      <c r="E12" s="90" t="e">
        <f t="shared" si="2"/>
        <v>#VALUE!</v>
      </c>
      <c r="H12" s="100" t="s">
        <v>31</v>
      </c>
      <c r="I12" s="133" t="e">
        <f>SUM(I5:I11)</f>
        <v>#VALUE!</v>
      </c>
      <c r="J12" s="133" t="e">
        <f>SUM(J5:J11)</f>
        <v>#VALUE!</v>
      </c>
      <c r="K12" s="133" t="e">
        <f>SUM(K5:K11)</f>
        <v>#VALUE!</v>
      </c>
      <c r="L12" s="133" t="e">
        <f>SUM(L5:L11)</f>
        <v>#VALUE!</v>
      </c>
      <c r="M12" s="99" t="e">
        <f>SUM(M5:M11)</f>
        <v>#VALUE!</v>
      </c>
    </row>
    <row r="13" spans="1:14">
      <c r="A13" s="128" t="s">
        <v>22</v>
      </c>
      <c r="B13" s="90" t="e">
        <f>InputRentals!E13</f>
        <v>#VALUE!</v>
      </c>
      <c r="C13" s="90" t="e">
        <f>InputRentals!F13</f>
        <v>#VALUE!</v>
      </c>
      <c r="D13" s="90" t="e">
        <f>InputRentals!G13</f>
        <v>#VALUE!</v>
      </c>
      <c r="E13" s="90" t="e">
        <f t="shared" si="2"/>
        <v>#VALUE!</v>
      </c>
    </row>
    <row r="14" spans="1:14">
      <c r="A14" s="128" t="s">
        <v>23</v>
      </c>
      <c r="B14" s="90" t="e">
        <f>InputRentals!E14</f>
        <v>#VALUE!</v>
      </c>
      <c r="C14" s="90" t="e">
        <f>InputRentals!F14</f>
        <v>#VALUE!</v>
      </c>
      <c r="D14" s="90" t="e">
        <f>InputRentals!G14</f>
        <v>#VALUE!</v>
      </c>
      <c r="E14" s="90" t="e">
        <f t="shared" si="2"/>
        <v>#VALUE!</v>
      </c>
    </row>
    <row r="15" spans="1:14">
      <c r="A15" s="128" t="s">
        <v>24</v>
      </c>
      <c r="B15" s="90" t="e">
        <f>InputRentals!E15</f>
        <v>#VALUE!</v>
      </c>
      <c r="C15" s="90" t="e">
        <f>InputRentals!F15</f>
        <v>#VALUE!</v>
      </c>
      <c r="D15" s="90" t="e">
        <f>InputRentals!G15</f>
        <v>#VALUE!</v>
      </c>
      <c r="E15" s="90" t="e">
        <f t="shared" si="2"/>
        <v>#VALUE!</v>
      </c>
    </row>
    <row r="16" spans="1:14">
      <c r="A16" s="128" t="s">
        <v>25</v>
      </c>
      <c r="B16" s="90" t="e">
        <f>InputRentals!E16</f>
        <v>#VALUE!</v>
      </c>
      <c r="C16" s="90" t="e">
        <f>InputRentals!F16</f>
        <v>#VALUE!</v>
      </c>
      <c r="D16" s="90" t="e">
        <f>InputRentals!G16</f>
        <v>#VALUE!</v>
      </c>
      <c r="E16" s="90" t="e">
        <f t="shared" si="2"/>
        <v>#VALUE!</v>
      </c>
      <c r="J16" s="218"/>
    </row>
    <row r="17" spans="1:5">
      <c r="A17" s="128" t="s">
        <v>27</v>
      </c>
      <c r="B17" s="90" t="e">
        <f>InputRentals!E17</f>
        <v>#VALUE!</v>
      </c>
      <c r="C17" s="90" t="e">
        <f>InputRentals!F17</f>
        <v>#VALUE!</v>
      </c>
      <c r="D17" s="90" t="e">
        <f>InputRentals!G17</f>
        <v>#VALUE!</v>
      </c>
      <c r="E17" s="90" t="e">
        <f t="shared" si="2"/>
        <v>#VALUE!</v>
      </c>
    </row>
    <row r="18" spans="1:5">
      <c r="A18" s="128" t="s">
        <v>28</v>
      </c>
      <c r="B18" s="90" t="e">
        <f>InputRentals!E18</f>
        <v>#VALUE!</v>
      </c>
      <c r="C18" s="90" t="e">
        <f>InputRentals!F18</f>
        <v>#VALUE!</v>
      </c>
      <c r="D18" s="90" t="e">
        <f>InputRentals!G18</f>
        <v>#VALUE!</v>
      </c>
      <c r="E18" s="90" t="e">
        <f t="shared" si="2"/>
        <v>#VALUE!</v>
      </c>
    </row>
    <row r="19" spans="1:5">
      <c r="A19" s="128" t="s">
        <v>29</v>
      </c>
      <c r="B19" s="90" t="e">
        <f>InputRentals!E19</f>
        <v>#VALUE!</v>
      </c>
      <c r="C19" s="90" t="e">
        <f>InputRentals!F19</f>
        <v>#VALUE!</v>
      </c>
      <c r="D19" s="90" t="e">
        <f>InputRentals!G19</f>
        <v>#VALUE!</v>
      </c>
      <c r="E19" s="90" t="e">
        <f t="shared" si="2"/>
        <v>#VALUE!</v>
      </c>
    </row>
    <row r="20" spans="1:5">
      <c r="A20" s="128" t="s">
        <v>30</v>
      </c>
      <c r="B20" s="90" t="e">
        <f>InputRentals!E20</f>
        <v>#VALUE!</v>
      </c>
      <c r="C20" s="90" t="e">
        <f>InputRentals!F20</f>
        <v>#VALUE!</v>
      </c>
      <c r="D20" s="90" t="e">
        <f>InputRentals!G20</f>
        <v>#VALUE!</v>
      </c>
      <c r="E20" s="90" t="e">
        <f t="shared" si="2"/>
        <v>#VALUE!</v>
      </c>
    </row>
    <row r="21" spans="1:5">
      <c r="A21" s="33" t="s">
        <v>31</v>
      </c>
      <c r="B21" s="90" t="e">
        <f>SUM(B5:B20)</f>
        <v>#VALUE!</v>
      </c>
      <c r="C21" s="90" t="e">
        <f>SUM(C5:C20)</f>
        <v>#VALUE!</v>
      </c>
      <c r="D21" s="90" t="e">
        <f>SUM(D5:D20)</f>
        <v>#VALUE!</v>
      </c>
      <c r="E21" s="90" t="e">
        <f>SUM(E5:E20)</f>
        <v>#VALUE!</v>
      </c>
    </row>
  </sheetData>
  <mergeCells count="7">
    <mergeCell ref="M2:M4"/>
    <mergeCell ref="B2:D2"/>
    <mergeCell ref="B3:C3"/>
    <mergeCell ref="E2:E4"/>
    <mergeCell ref="I2:K2"/>
    <mergeCell ref="I3:J3"/>
    <mergeCell ref="L2:L4"/>
  </mergeCells>
  <pageMargins left="0.74803149606299213" right="0.74803149606299213" top="0.98425196850393704" bottom="0.98425196850393704" header="0.51181102362204722" footer="0.51181102362204722"/>
  <pageSetup paperSize="9" scale="96" orientation="landscape" r:id="rId1"/>
  <headerFooter alignWithMargins="0">
    <oddFooter>&amp;L&amp;A :page&amp;P&amp;COfcom Confidential&amp;R&amp;D</oddFooter>
  </headerFooter>
</worksheet>
</file>

<file path=xl/worksheets/sheet17.xml><?xml version="1.0" encoding="utf-8"?>
<worksheet xmlns="http://schemas.openxmlformats.org/spreadsheetml/2006/main" xmlns:r="http://schemas.openxmlformats.org/officeDocument/2006/relationships">
  <sheetPr>
    <pageSetUpPr autoPageBreaks="0" fitToPage="1"/>
  </sheetPr>
  <dimension ref="A1:N17"/>
  <sheetViews>
    <sheetView defaultGridColor="0" colorId="22" zoomScale="85" zoomScaleNormal="85" workbookViewId="0">
      <pane ySplit="1" topLeftCell="A2" activePane="bottomLeft" state="frozen"/>
      <selection pane="bottomLeft"/>
    </sheetView>
  </sheetViews>
  <sheetFormatPr defaultColWidth="12.7109375" defaultRowHeight="12"/>
  <cols>
    <col min="1" max="1" width="28.42578125" style="17" customWidth="1"/>
    <col min="2" max="2" width="10" style="17" customWidth="1"/>
    <col min="3" max="3" width="9.140625" style="17" customWidth="1"/>
    <col min="4" max="4" width="10" style="17" customWidth="1"/>
    <col min="5" max="5" width="10.85546875" style="17" customWidth="1"/>
    <col min="6" max="6" width="2.42578125" style="17" customWidth="1"/>
    <col min="7" max="7" width="2.7109375" style="17" customWidth="1"/>
    <col min="8" max="8" width="27.42578125" style="17" customWidth="1"/>
    <col min="9" max="9" width="9" style="17" customWidth="1"/>
    <col min="10" max="10" width="9.5703125" style="17" customWidth="1"/>
    <col min="11" max="12" width="8.85546875" style="17" customWidth="1"/>
    <col min="13" max="13" width="10.85546875" style="17" customWidth="1"/>
    <col min="14" max="16384" width="12.7109375" style="17"/>
  </cols>
  <sheetData>
    <row r="1" spans="1:14" s="18" customFormat="1" ht="21" customHeight="1">
      <c r="A1" s="329" t="s">
        <v>115</v>
      </c>
      <c r="M1" s="18" t="s">
        <v>9</v>
      </c>
    </row>
    <row r="2" spans="1:14">
      <c r="A2" s="18"/>
      <c r="B2" s="339" t="s">
        <v>38</v>
      </c>
      <c r="C2" s="339"/>
      <c r="D2" s="339"/>
      <c r="E2" s="342" t="s">
        <v>98</v>
      </c>
      <c r="H2" s="18"/>
      <c r="I2" s="339" t="s">
        <v>38</v>
      </c>
      <c r="J2" s="339"/>
      <c r="K2" s="339"/>
      <c r="L2" s="342" t="s">
        <v>161</v>
      </c>
      <c r="M2" s="342" t="s">
        <v>162</v>
      </c>
    </row>
    <row r="3" spans="1:14">
      <c r="B3" s="339" t="s">
        <v>32</v>
      </c>
      <c r="C3" s="339"/>
      <c r="D3" s="30" t="s">
        <v>36</v>
      </c>
      <c r="E3" s="343"/>
      <c r="I3" s="339" t="s">
        <v>32</v>
      </c>
      <c r="J3" s="339"/>
      <c r="K3" s="30" t="s">
        <v>36</v>
      </c>
      <c r="L3" s="343"/>
      <c r="M3" s="343"/>
    </row>
    <row r="4" spans="1:14">
      <c r="A4" s="29" t="s">
        <v>33</v>
      </c>
      <c r="B4" s="29" t="s">
        <v>34</v>
      </c>
      <c r="C4" s="29" t="s">
        <v>35</v>
      </c>
      <c r="D4" s="29" t="s">
        <v>35</v>
      </c>
      <c r="E4" s="344"/>
      <c r="H4" s="29" t="s">
        <v>33</v>
      </c>
      <c r="I4" s="29" t="s">
        <v>34</v>
      </c>
      <c r="J4" s="29" t="s">
        <v>35</v>
      </c>
      <c r="K4" s="29" t="s">
        <v>35</v>
      </c>
      <c r="L4" s="344"/>
      <c r="M4" s="344"/>
      <c r="N4" s="273" t="s">
        <v>3</v>
      </c>
    </row>
    <row r="5" spans="1:14">
      <c r="A5" s="34" t="s">
        <v>39</v>
      </c>
      <c r="B5" s="98" t="e">
        <f>InputConn!E5</f>
        <v>#VALUE!</v>
      </c>
      <c r="C5" s="98" t="e">
        <f>InputConn!F5</f>
        <v>#VALUE!</v>
      </c>
      <c r="D5" s="98" t="e">
        <f>InputConn!G5</f>
        <v>#VALUE!</v>
      </c>
      <c r="E5" s="98" t="e">
        <f t="shared" ref="E5:E10" si="0">C5-D5</f>
        <v>#VALUE!</v>
      </c>
      <c r="H5" s="34" t="s">
        <v>39</v>
      </c>
      <c r="I5" s="134" t="e">
        <f>B5</f>
        <v>#VALUE!</v>
      </c>
      <c r="J5" s="134" t="e">
        <f t="shared" ref="J5:L6" si="1">C5</f>
        <v>#VALUE!</v>
      </c>
      <c r="K5" s="134" t="e">
        <f t="shared" si="1"/>
        <v>#VALUE!</v>
      </c>
      <c r="L5" s="134" t="e">
        <f t="shared" si="1"/>
        <v>#VALUE!</v>
      </c>
      <c r="M5" s="101" t="e">
        <f>E5*opt_CoRouRecCo</f>
        <v>#VALUE!</v>
      </c>
      <c r="N5" s="272" t="s">
        <v>192</v>
      </c>
    </row>
    <row r="6" spans="1:14">
      <c r="A6" s="34" t="s">
        <v>40</v>
      </c>
      <c r="B6" s="98" t="e">
        <f>InputConn!E6</f>
        <v>#VALUE!</v>
      </c>
      <c r="C6" s="98" t="e">
        <f>InputConn!F6</f>
        <v>#VALUE!</v>
      </c>
      <c r="D6" s="98" t="e">
        <f>InputConn!G6</f>
        <v>#VALUE!</v>
      </c>
      <c r="E6" s="98" t="e">
        <f t="shared" si="0"/>
        <v>#VALUE!</v>
      </c>
      <c r="H6" s="102" t="s">
        <v>99</v>
      </c>
      <c r="I6" s="134" t="e">
        <f>B6</f>
        <v>#VALUE!</v>
      </c>
      <c r="J6" s="134" t="e">
        <f t="shared" si="1"/>
        <v>#VALUE!</v>
      </c>
      <c r="K6" s="134" t="e">
        <f t="shared" si="1"/>
        <v>#VALUE!</v>
      </c>
      <c r="L6" s="134" t="e">
        <f t="shared" si="1"/>
        <v>#VALUE!</v>
      </c>
      <c r="M6" s="101" t="e">
        <f>E6*opt_CoISDNConnCo</f>
        <v>#VALUE!</v>
      </c>
    </row>
    <row r="7" spans="1:14" ht="15" customHeight="1">
      <c r="A7" s="34" t="s">
        <v>41</v>
      </c>
      <c r="B7" s="98" t="e">
        <f>InputConn!E7</f>
        <v>#VALUE!</v>
      </c>
      <c r="C7" s="98" t="e">
        <f>InputConn!F7</f>
        <v>#VALUE!</v>
      </c>
      <c r="D7" s="98" t="e">
        <f>InputConn!G7</f>
        <v>#VALUE!</v>
      </c>
      <c r="E7" s="98" t="e">
        <f t="shared" si="0"/>
        <v>#VALUE!</v>
      </c>
      <c r="H7" s="102" t="s">
        <v>65</v>
      </c>
      <c r="I7" s="134" t="e">
        <f>SUM(B8:B9)</f>
        <v>#VALUE!</v>
      </c>
      <c r="J7" s="134" t="e">
        <f>SUM(C8:C9)</f>
        <v>#VALUE!</v>
      </c>
      <c r="K7" s="134" t="e">
        <f>SUM(D8:D9)</f>
        <v>#VALUE!</v>
      </c>
      <c r="L7" s="134" t="e">
        <f>SUM(E8:E9)</f>
        <v>#VALUE!</v>
      </c>
      <c r="M7" s="101" t="e">
        <f>SUM(E8:E9)*opt_CoProdManCo</f>
        <v>#VALUE!</v>
      </c>
    </row>
    <row r="8" spans="1:14">
      <c r="A8" s="34" t="s">
        <v>24</v>
      </c>
      <c r="B8" s="98" t="e">
        <f>InputConn!E9</f>
        <v>#VALUE!</v>
      </c>
      <c r="C8" s="98" t="e">
        <f>InputConn!F9</f>
        <v>#VALUE!</v>
      </c>
      <c r="D8" s="98" t="e">
        <f>InputConn!G9</f>
        <v>#VALUE!</v>
      </c>
      <c r="E8" s="98" t="e">
        <f t="shared" si="0"/>
        <v>#VALUE!</v>
      </c>
      <c r="H8" s="102" t="s">
        <v>96</v>
      </c>
      <c r="I8" s="134" t="e">
        <f>B7</f>
        <v>#VALUE!</v>
      </c>
      <c r="J8" s="134" t="e">
        <f>C7</f>
        <v>#VALUE!</v>
      </c>
      <c r="K8" s="134" t="e">
        <f>D7</f>
        <v>#VALUE!</v>
      </c>
      <c r="L8" s="134" t="e">
        <f>E7</f>
        <v>#VALUE!</v>
      </c>
      <c r="M8" s="101" t="e">
        <f>E7*opt_CoSmcCo</f>
        <v>#VALUE!</v>
      </c>
    </row>
    <row r="9" spans="1:14" ht="14.25" customHeight="1">
      <c r="A9" s="34" t="s">
        <v>25</v>
      </c>
      <c r="B9" s="98" t="e">
        <f>InputConn!E10</f>
        <v>#VALUE!</v>
      </c>
      <c r="C9" s="98" t="e">
        <f>InputConn!F10</f>
        <v>#VALUE!</v>
      </c>
      <c r="D9" s="98" t="e">
        <f>InputConn!G10</f>
        <v>#VALUE!</v>
      </c>
      <c r="E9" s="98" t="e">
        <f t="shared" si="0"/>
        <v>#VALUE!</v>
      </c>
      <c r="H9" s="102" t="s">
        <v>70</v>
      </c>
      <c r="I9" s="134" t="e">
        <f>B10</f>
        <v>#VALUE!</v>
      </c>
      <c r="J9" s="134" t="e">
        <f>C10</f>
        <v>#VALUE!</v>
      </c>
      <c r="K9" s="134" t="e">
        <f>D10</f>
        <v>#VALUE!</v>
      </c>
      <c r="L9" s="134" t="e">
        <f>E10</f>
        <v>#VALUE!</v>
      </c>
      <c r="M9" s="101" t="e">
        <f>E10*opt_CoComputingCo</f>
        <v>#VALUE!</v>
      </c>
    </row>
    <row r="10" spans="1:14">
      <c r="A10" s="34" t="s">
        <v>26</v>
      </c>
      <c r="B10" s="98" t="e">
        <f>InputConn!E11</f>
        <v>#VALUE!</v>
      </c>
      <c r="C10" s="98" t="e">
        <f>InputConn!F11</f>
        <v>#VALUE!</v>
      </c>
      <c r="D10" s="98" t="e">
        <f>InputConn!G11</f>
        <v>#VALUE!</v>
      </c>
      <c r="E10" s="98" t="e">
        <f t="shared" si="0"/>
        <v>#VALUE!</v>
      </c>
      <c r="H10" s="102" t="s">
        <v>31</v>
      </c>
      <c r="I10" s="134" t="e">
        <f>SUM(I5:I9)</f>
        <v>#VALUE!</v>
      </c>
      <c r="J10" s="134" t="e">
        <f>SUM(J5:J9)</f>
        <v>#VALUE!</v>
      </c>
      <c r="K10" s="134" t="e">
        <f>SUM(K5:K9)</f>
        <v>#VALUE!</v>
      </c>
      <c r="L10" s="134" t="e">
        <f>SUM(L5:L9)</f>
        <v>#VALUE!</v>
      </c>
      <c r="M10" s="101" t="e">
        <f>SUM(M5:M9)</f>
        <v>#VALUE!</v>
      </c>
    </row>
    <row r="11" spans="1:14">
      <c r="A11" s="35" t="s">
        <v>42</v>
      </c>
      <c r="B11" s="98" t="e">
        <f>SUM(B5:B10)</f>
        <v>#VALUE!</v>
      </c>
      <c r="C11" s="98" t="e">
        <f>SUM(C5:C10)</f>
        <v>#VALUE!</v>
      </c>
      <c r="D11" s="98" t="e">
        <f>SUM(D5:D10)</f>
        <v>#VALUE!</v>
      </c>
      <c r="E11" s="98" t="e">
        <f>SUM(E5:E10)</f>
        <v>#VALUE!</v>
      </c>
    </row>
    <row r="17" spans="3:4">
      <c r="C17" s="207"/>
      <c r="D17" s="207"/>
    </row>
  </sheetData>
  <mergeCells count="7">
    <mergeCell ref="B2:D2"/>
    <mergeCell ref="E2:E4"/>
    <mergeCell ref="B3:C3"/>
    <mergeCell ref="I2:K2"/>
    <mergeCell ref="M2:M4"/>
    <mergeCell ref="I3:J3"/>
    <mergeCell ref="L2:L4"/>
  </mergeCells>
  <pageMargins left="0.74803149606299213" right="0.74803149606299213" top="0.98425196850393704" bottom="0.98425196850393704" header="0.51181102362204722" footer="0.51181102362204722"/>
  <pageSetup paperSize="9" orientation="landscape" r:id="rId1"/>
  <headerFooter alignWithMargins="0">
    <oddFooter>&amp;L&amp;A :page&amp;P&amp;COfcom Confidential&amp;R&amp;D</oddFooter>
  </headerFooter>
</worksheet>
</file>

<file path=xl/worksheets/sheet18.xml><?xml version="1.0" encoding="utf-8"?>
<worksheet xmlns="http://schemas.openxmlformats.org/spreadsheetml/2006/main" xmlns:r="http://schemas.openxmlformats.org/officeDocument/2006/relationships">
  <sheetPr>
    <tabColor rgb="FFFFFF00"/>
    <pageSetUpPr autoPageBreaks="0"/>
  </sheetPr>
  <dimension ref="A1:L3"/>
  <sheetViews>
    <sheetView defaultGridColor="0" colorId="22" workbookViewId="0">
      <pane ySplit="1" topLeftCell="A2" activePane="bottomLeft" state="frozen"/>
      <selection pane="bottomLeft"/>
    </sheetView>
  </sheetViews>
  <sheetFormatPr defaultColWidth="12.7109375" defaultRowHeight="12"/>
  <cols>
    <col min="1" max="16384" width="12.7109375" style="17"/>
  </cols>
  <sheetData>
    <row r="1" spans="1:12" s="18" customFormat="1" ht="23.25">
      <c r="A1" s="329" t="s">
        <v>418</v>
      </c>
      <c r="L1" s="18" t="s">
        <v>9</v>
      </c>
    </row>
    <row r="2" spans="1:12">
      <c r="A2" s="95"/>
    </row>
    <row r="3" spans="1:12">
      <c r="A3" s="95"/>
    </row>
  </sheetData>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19.xml><?xml version="1.0" encoding="utf-8"?>
<worksheet xmlns="http://schemas.openxmlformats.org/spreadsheetml/2006/main" xmlns:r="http://schemas.openxmlformats.org/officeDocument/2006/relationships">
  <sheetPr>
    <pageSetUpPr autoPageBreaks="0"/>
  </sheetPr>
  <dimension ref="A1:S19"/>
  <sheetViews>
    <sheetView defaultGridColor="0" colorId="22" workbookViewId="0">
      <pane ySplit="1" topLeftCell="A2" activePane="bottomLeft" state="frozen"/>
      <selection pane="bottomLeft" activeCell="E13" sqref="E13"/>
    </sheetView>
  </sheetViews>
  <sheetFormatPr defaultColWidth="12.7109375" defaultRowHeight="12"/>
  <cols>
    <col min="1" max="1" width="21.28515625" style="17" customWidth="1"/>
    <col min="2" max="4" width="12.7109375" style="17"/>
    <col min="5" max="5" width="18.140625" style="17" customWidth="1"/>
    <col min="6" max="16384" width="12.7109375" style="17"/>
  </cols>
  <sheetData>
    <row r="1" spans="1:19" s="18" customFormat="1" ht="23.25">
      <c r="A1" s="329" t="s">
        <v>337</v>
      </c>
      <c r="K1" s="18" t="s">
        <v>9</v>
      </c>
    </row>
    <row r="2" spans="1:19" s="18" customFormat="1" ht="13.5" customHeight="1">
      <c r="A2" s="288" t="s">
        <v>128</v>
      </c>
    </row>
    <row r="3" spans="1:19" s="18" customFormat="1" ht="13.5" customHeight="1">
      <c r="A3" s="130"/>
    </row>
    <row r="4" spans="1:19" s="171" customFormat="1" ht="15.75">
      <c r="A4" s="170" t="s">
        <v>296</v>
      </c>
      <c r="H4" s="172"/>
      <c r="I4" s="172"/>
      <c r="R4" s="172"/>
      <c r="S4" s="172"/>
    </row>
    <row r="5" spans="1:19" s="18" customFormat="1" ht="13.5" customHeight="1">
      <c r="A5" s="130"/>
    </row>
    <row r="6" spans="1:19" s="18" customFormat="1" ht="12.75" customHeight="1">
      <c r="A6" s="107"/>
      <c r="B6" s="351" t="s">
        <v>119</v>
      </c>
      <c r="C6" s="353" t="s">
        <v>125</v>
      </c>
      <c r="D6" s="353"/>
      <c r="E6" s="353"/>
    </row>
    <row r="7" spans="1:19">
      <c r="B7" s="352"/>
      <c r="C7" s="215" t="s">
        <v>105</v>
      </c>
      <c r="D7" s="215" t="s">
        <v>99</v>
      </c>
      <c r="E7" s="215" t="s">
        <v>120</v>
      </c>
      <c r="F7" s="271" t="s">
        <v>3</v>
      </c>
    </row>
    <row r="8" spans="1:19">
      <c r="A8" s="119" t="s">
        <v>122</v>
      </c>
      <c r="B8" s="116" t="s">
        <v>127</v>
      </c>
      <c r="C8" s="114" t="e">
        <f>opt_FACRent</f>
        <v>#VALUE!</v>
      </c>
      <c r="D8" s="115" t="e">
        <f>opt_FACConn</f>
        <v>#VALUE!</v>
      </c>
      <c r="E8" s="122" t="e">
        <f t="shared" ref="E8:E16" si="0">SUM(C8:D8)</f>
        <v>#VALUE!</v>
      </c>
      <c r="F8" s="272" t="s">
        <v>295</v>
      </c>
    </row>
    <row r="9" spans="1:19">
      <c r="A9" s="119" t="s">
        <v>116</v>
      </c>
      <c r="B9" s="117">
        <v>627.25</v>
      </c>
      <c r="C9" s="101">
        <f>B9</f>
        <v>627.25</v>
      </c>
      <c r="D9" s="111" t="s">
        <v>127</v>
      </c>
      <c r="E9" s="99">
        <f t="shared" si="0"/>
        <v>627.25</v>
      </c>
      <c r="F9" s="272" t="s">
        <v>153</v>
      </c>
    </row>
    <row r="10" spans="1:19">
      <c r="A10" s="119" t="s">
        <v>117</v>
      </c>
      <c r="B10" s="117">
        <v>458.47</v>
      </c>
      <c r="C10" s="101" t="e">
        <f>B10*opt_excBcCo</f>
        <v>#VALUE!</v>
      </c>
      <c r="D10" s="111" t="s">
        <v>127</v>
      </c>
      <c r="E10" s="99" t="e">
        <f t="shared" si="0"/>
        <v>#VALUE!</v>
      </c>
      <c r="F10" s="272" t="s">
        <v>155</v>
      </c>
    </row>
    <row r="11" spans="1:19">
      <c r="A11" s="119" t="s">
        <v>118</v>
      </c>
      <c r="B11" s="117">
        <v>51.57</v>
      </c>
      <c r="C11" s="101" t="e">
        <f>B11*opt_excBcCo*opt_DistBcCircuit</f>
        <v>#VALUE!</v>
      </c>
      <c r="D11" s="111" t="s">
        <v>127</v>
      </c>
      <c r="E11" s="99" t="e">
        <f t="shared" si="0"/>
        <v>#VALUE!</v>
      </c>
      <c r="F11" s="272" t="s">
        <v>154</v>
      </c>
    </row>
    <row r="12" spans="1:19">
      <c r="A12" s="119" t="s">
        <v>129</v>
      </c>
      <c r="B12" s="117">
        <v>1864.54</v>
      </c>
      <c r="C12" s="108" t="s">
        <v>127</v>
      </c>
      <c r="D12" s="112" t="e">
        <f>B12*(opt_ConnSMC1+(opt_ConnSMC2+opt_ConnSMC3)*opt_excBcCo)</f>
        <v>#VALUE!</v>
      </c>
      <c r="E12" s="99" t="e">
        <f t="shared" si="0"/>
        <v>#VALUE!</v>
      </c>
      <c r="F12" s="272" t="s">
        <v>156</v>
      </c>
    </row>
    <row r="13" spans="1:19">
      <c r="A13" s="119" t="s">
        <v>152</v>
      </c>
      <c r="B13" s="118" t="s">
        <v>127</v>
      </c>
      <c r="C13" s="101" t="e">
        <f>SUM(C9:C11)</f>
        <v>#VALUE!</v>
      </c>
      <c r="D13" s="99" t="e">
        <f>SUM(D9:D12)</f>
        <v>#VALUE!</v>
      </c>
      <c r="E13" s="99" t="e">
        <f t="shared" si="0"/>
        <v>#VALUE!</v>
      </c>
      <c r="F13" s="272" t="s">
        <v>157</v>
      </c>
    </row>
    <row r="14" spans="1:19">
      <c r="A14" s="119" t="s">
        <v>97</v>
      </c>
      <c r="B14" s="118" t="s">
        <v>127</v>
      </c>
      <c r="C14" s="101" t="e">
        <f>CalcRental!M12</f>
        <v>#VALUE!</v>
      </c>
      <c r="D14" s="99" t="e">
        <f>CalcConn!M10</f>
        <v>#VALUE!</v>
      </c>
      <c r="E14" s="99" t="e">
        <f t="shared" si="0"/>
        <v>#VALUE!</v>
      </c>
      <c r="F14" s="272" t="s">
        <v>158</v>
      </c>
    </row>
    <row r="15" spans="1:19">
      <c r="A15" s="119" t="s">
        <v>121</v>
      </c>
      <c r="B15" s="118" t="s">
        <v>127</v>
      </c>
      <c r="C15" s="101" t="e">
        <f>SUM(C13:C14)</f>
        <v>#VALUE!</v>
      </c>
      <c r="D15" s="99" t="e">
        <f>SUM(D13:D14)</f>
        <v>#VALUE!</v>
      </c>
      <c r="E15" s="99" t="e">
        <f t="shared" si="0"/>
        <v>#VALUE!</v>
      </c>
      <c r="F15" s="272" t="s">
        <v>419</v>
      </c>
    </row>
    <row r="16" spans="1:19">
      <c r="A16" s="119" t="s">
        <v>123</v>
      </c>
      <c r="B16" s="118" t="s">
        <v>127</v>
      </c>
      <c r="C16" s="109" t="e">
        <f>C8-C15</f>
        <v>#VALUE!</v>
      </c>
      <c r="D16" s="110" t="e">
        <f>D8-D15</f>
        <v>#VALUE!</v>
      </c>
      <c r="E16" s="110" t="e">
        <f t="shared" si="0"/>
        <v>#VALUE!</v>
      </c>
      <c r="F16" s="272" t="s">
        <v>420</v>
      </c>
    </row>
    <row r="17" spans="1:6">
      <c r="A17" s="119" t="s">
        <v>124</v>
      </c>
      <c r="B17" s="118" t="s">
        <v>127</v>
      </c>
      <c r="C17" s="113" t="e">
        <f>C16/C8</f>
        <v>#VALUE!</v>
      </c>
      <c r="D17" s="113" t="e">
        <f>D16/D8</f>
        <v>#VALUE!</v>
      </c>
      <c r="E17" s="123" t="e">
        <f>E16/E8</f>
        <v>#VALUE!</v>
      </c>
      <c r="F17" s="272" t="s">
        <v>421</v>
      </c>
    </row>
    <row r="18" spans="1:6" s="18" customFormat="1" ht="13.5" customHeight="1">
      <c r="A18" s="130"/>
    </row>
    <row r="19" spans="1:6" s="18" customFormat="1" ht="13.5" customHeight="1">
      <c r="A19" s="130"/>
    </row>
  </sheetData>
  <mergeCells count="2">
    <mergeCell ref="B6:B7"/>
    <mergeCell ref="C6:E6"/>
  </mergeCells>
  <pageMargins left="0.74803149606299213" right="0.74803149606299213" top="0.98425196850393704" bottom="0.98425196850393704" header="0.51181102362204722" footer="0.51181102362204722"/>
  <pageSetup paperSize="9" orientation="landscape" r:id="rId1"/>
  <headerFooter alignWithMargins="0">
    <oddFooter>&amp;L&amp;A :page&amp;P&amp;COfcom Confidential&amp;R&amp;D</oddFooter>
  </headerFooter>
</worksheet>
</file>

<file path=xl/worksheets/sheet2.xml><?xml version="1.0" encoding="utf-8"?>
<worksheet xmlns="http://schemas.openxmlformats.org/spreadsheetml/2006/main" xmlns:r="http://schemas.openxmlformats.org/officeDocument/2006/relationships">
  <sheetPr codeName="Preamble1">
    <outlinePr summaryBelow="0"/>
    <pageSetUpPr autoPageBreaks="0"/>
  </sheetPr>
  <dimension ref="A1:H40"/>
  <sheetViews>
    <sheetView showGridLines="0" showRowColHeaders="0" tabSelected="1" defaultGridColor="0" colorId="22" zoomScale="85" zoomScaleNormal="85" zoomScaleSheetLayoutView="75" workbookViewId="0">
      <pane ySplit="2" topLeftCell="A3" activePane="bottomLeft" state="frozen"/>
      <selection pane="bottomLeft" activeCell="A9" sqref="A9:G9"/>
    </sheetView>
  </sheetViews>
  <sheetFormatPr defaultColWidth="12.7109375" defaultRowHeight="12"/>
  <cols>
    <col min="1" max="1" width="24.5703125" style="6" customWidth="1"/>
    <col min="2" max="2" width="25.5703125" style="6" customWidth="1"/>
    <col min="3" max="3" width="37.5703125" style="6" customWidth="1"/>
    <col min="4" max="4" width="14.5703125" style="6" customWidth="1"/>
    <col min="5" max="5" width="15" style="6" customWidth="1"/>
  </cols>
  <sheetData>
    <row r="1" spans="1:8" ht="12" customHeight="1">
      <c r="C1" s="14"/>
    </row>
    <row r="2" spans="1:8" ht="42" customHeight="1">
      <c r="A2"/>
      <c r="B2"/>
      <c r="C2"/>
      <c r="D2"/>
      <c r="E2"/>
      <c r="F2" s="15" t="str">
        <f>Workbook.Title</f>
        <v>ISDN30 Incremental Cost Model For Release</v>
      </c>
    </row>
    <row r="3" spans="1:8" ht="7.5" customHeight="1">
      <c r="A3"/>
      <c r="B3"/>
      <c r="C3"/>
      <c r="D3"/>
      <c r="E3"/>
    </row>
    <row r="4" spans="1:8" s="1" customFormat="1" ht="18">
      <c r="A4" s="4" t="s">
        <v>6</v>
      </c>
      <c r="C4"/>
      <c r="D4" s="8"/>
    </row>
    <row r="5" spans="1:8" ht="6" customHeight="1">
      <c r="A5"/>
      <c r="B5"/>
      <c r="C5"/>
      <c r="D5"/>
      <c r="E5"/>
    </row>
    <row r="6" spans="1:8">
      <c r="A6" s="5" t="s">
        <v>5</v>
      </c>
      <c r="B6" s="16" t="s">
        <v>366</v>
      </c>
      <c r="C6"/>
      <c r="D6"/>
    </row>
    <row r="7" spans="1:8">
      <c r="A7" s="9" t="s">
        <v>11</v>
      </c>
      <c r="B7" s="10" t="s">
        <v>367</v>
      </c>
      <c r="C7"/>
      <c r="D7"/>
      <c r="E7"/>
    </row>
    <row r="8" spans="1:8">
      <c r="A8" s="5"/>
      <c r="B8" s="7"/>
      <c r="C8"/>
      <c r="D8" s="13"/>
      <c r="E8"/>
    </row>
    <row r="9" spans="1:8">
      <c r="A9" s="5" t="s">
        <v>2</v>
      </c>
      <c r="B9" s="6" t="s">
        <v>360</v>
      </c>
      <c r="C9" s="12"/>
      <c r="D9"/>
    </row>
    <row r="10" spans="1:8">
      <c r="A10" s="5"/>
      <c r="B10" s="7"/>
      <c r="C10"/>
      <c r="D10"/>
      <c r="E10"/>
    </row>
    <row r="11" spans="1:8">
      <c r="A11" s="9" t="s">
        <v>10</v>
      </c>
      <c r="B11" s="10" t="s">
        <v>368</v>
      </c>
      <c r="C11"/>
      <c r="D11"/>
      <c r="E11"/>
    </row>
    <row r="12" spans="1:8">
      <c r="A12" s="9"/>
      <c r="B12" s="7"/>
      <c r="C12"/>
      <c r="D12"/>
      <c r="E12"/>
    </row>
    <row r="13" spans="1:8" ht="18">
      <c r="A13" s="4" t="s">
        <v>7</v>
      </c>
      <c r="B13" s="1"/>
      <c r="C13"/>
      <c r="D13" s="1"/>
      <c r="E13"/>
    </row>
    <row r="14" spans="1:8">
      <c r="A14"/>
      <c r="B14"/>
      <c r="C14"/>
      <c r="D14"/>
      <c r="E14" s="1"/>
    </row>
    <row r="15" spans="1:8" ht="15.75">
      <c r="A15" s="2" t="s">
        <v>0</v>
      </c>
      <c r="B15" s="2" t="s">
        <v>1</v>
      </c>
      <c r="C15" s="3"/>
      <c r="D15" s="2"/>
      <c r="E15"/>
      <c r="F15" s="1"/>
      <c r="G15" s="1"/>
    </row>
    <row r="16" spans="1:8" ht="19.5" customHeight="1">
      <c r="A16" s="6" t="s">
        <v>7</v>
      </c>
      <c r="B16" s="6" t="s">
        <v>8</v>
      </c>
      <c r="E16" s="2"/>
      <c r="H16" s="1"/>
    </row>
    <row r="17" spans="1:8" ht="18" customHeight="1">
      <c r="A17" s="10" t="s">
        <v>46</v>
      </c>
      <c r="B17" s="10" t="s">
        <v>369</v>
      </c>
    </row>
    <row r="18" spans="1:8" ht="15.75" customHeight="1">
      <c r="A18" s="10" t="s">
        <v>83</v>
      </c>
      <c r="B18" s="10" t="s">
        <v>370</v>
      </c>
    </row>
    <row r="19" spans="1:8">
      <c r="A19" s="10" t="s">
        <v>133</v>
      </c>
      <c r="B19" s="10" t="s">
        <v>391</v>
      </c>
    </row>
    <row r="20" spans="1:8" s="1" customFormat="1">
      <c r="A20" s="6"/>
      <c r="B20" s="6"/>
      <c r="C20" s="6"/>
      <c r="D20" s="6"/>
      <c r="E20" s="6"/>
      <c r="F20"/>
      <c r="G20"/>
      <c r="H20"/>
    </row>
    <row r="21" spans="1:8">
      <c r="A21" s="13" t="s">
        <v>109</v>
      </c>
    </row>
    <row r="22" spans="1:8">
      <c r="A22" s="10" t="s">
        <v>294</v>
      </c>
      <c r="B22" s="10" t="s">
        <v>382</v>
      </c>
    </row>
    <row r="23" spans="1:8">
      <c r="A23" s="10" t="s">
        <v>371</v>
      </c>
      <c r="B23" s="10" t="s">
        <v>381</v>
      </c>
    </row>
    <row r="24" spans="1:8">
      <c r="A24" s="10" t="s">
        <v>372</v>
      </c>
      <c r="B24" s="10" t="s">
        <v>383</v>
      </c>
    </row>
    <row r="25" spans="1:8">
      <c r="A25" s="10" t="s">
        <v>373</v>
      </c>
      <c r="B25" s="10" t="s">
        <v>385</v>
      </c>
    </row>
    <row r="26" spans="1:8">
      <c r="A26" s="10" t="s">
        <v>264</v>
      </c>
      <c r="B26" s="10" t="s">
        <v>384</v>
      </c>
    </row>
    <row r="28" spans="1:8">
      <c r="A28" s="13" t="s">
        <v>85</v>
      </c>
    </row>
    <row r="29" spans="1:8">
      <c r="A29" s="10" t="s">
        <v>374</v>
      </c>
      <c r="B29" s="10" t="s">
        <v>387</v>
      </c>
    </row>
    <row r="30" spans="1:8">
      <c r="A30" s="10" t="s">
        <v>375</v>
      </c>
      <c r="B30" s="10" t="s">
        <v>386</v>
      </c>
    </row>
    <row r="32" spans="1:8">
      <c r="A32" s="13" t="s">
        <v>111</v>
      </c>
    </row>
    <row r="33" spans="1:2">
      <c r="A33" s="10" t="s">
        <v>376</v>
      </c>
      <c r="B33" s="10" t="s">
        <v>388</v>
      </c>
    </row>
    <row r="34" spans="1:2">
      <c r="A34" s="10" t="s">
        <v>377</v>
      </c>
      <c r="B34" s="10" t="s">
        <v>389</v>
      </c>
    </row>
    <row r="36" spans="1:2">
      <c r="A36" s="13" t="s">
        <v>125</v>
      </c>
    </row>
    <row r="37" spans="1:2">
      <c r="A37" s="10" t="s">
        <v>378</v>
      </c>
      <c r="B37" s="10" t="s">
        <v>390</v>
      </c>
    </row>
    <row r="38" spans="1:2">
      <c r="A38" s="10" t="s">
        <v>379</v>
      </c>
      <c r="B38" s="10" t="s">
        <v>392</v>
      </c>
    </row>
    <row r="39" spans="1:2">
      <c r="A39" s="10" t="s">
        <v>380</v>
      </c>
      <c r="B39" s="10" t="s">
        <v>393</v>
      </c>
    </row>
    <row r="40" spans="1:2">
      <c r="A40" s="10"/>
    </row>
  </sheetData>
  <phoneticPr fontId="0" type="noConversion"/>
  <dataValidations count="2">
    <dataValidation allowBlank="1" sqref="D16:D19"/>
    <dataValidation type="list" allowBlank="1" showInputMessage="1" promptTitle="Input Parameter" prompt="Select from list" sqref="B9">
      <formula1>"Work in progress, Ready for review, Approved for release, Archived"</formula1>
    </dataValidation>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20.xml><?xml version="1.0" encoding="utf-8"?>
<worksheet xmlns="http://schemas.openxmlformats.org/spreadsheetml/2006/main" xmlns:r="http://schemas.openxmlformats.org/officeDocument/2006/relationships">
  <sheetPr>
    <pageSetUpPr autoPageBreaks="0" fitToPage="1"/>
  </sheetPr>
  <dimension ref="A1:Z59"/>
  <sheetViews>
    <sheetView defaultGridColor="0" colorId="22" zoomScale="85" zoomScaleNormal="85" workbookViewId="0">
      <pane ySplit="1" topLeftCell="A35" activePane="bottomLeft" state="frozen"/>
      <selection pane="bottomLeft" activeCell="C34" sqref="C34"/>
    </sheetView>
  </sheetViews>
  <sheetFormatPr defaultColWidth="12.7109375" defaultRowHeight="12"/>
  <cols>
    <col min="1" max="1" width="3.42578125" style="168" customWidth="1"/>
    <col min="2" max="2" width="50" style="168" customWidth="1"/>
    <col min="3" max="16384" width="12.7109375" style="168"/>
  </cols>
  <sheetData>
    <row r="1" spans="1:11" s="18" customFormat="1" ht="40.5" customHeight="1">
      <c r="A1" s="328" t="s">
        <v>352</v>
      </c>
      <c r="K1" s="18" t="s">
        <v>9</v>
      </c>
    </row>
    <row r="2" spans="1:11" ht="12.75">
      <c r="A2" s="72" t="s">
        <v>422</v>
      </c>
    </row>
    <row r="3" spans="1:11" ht="12.75">
      <c r="A3" s="224" t="s">
        <v>423</v>
      </c>
    </row>
    <row r="4" spans="1:11" ht="12.75">
      <c r="A4" s="72" t="s">
        <v>309</v>
      </c>
    </row>
    <row r="5" spans="1:11" ht="12.75">
      <c r="A5" s="169"/>
    </row>
    <row r="6" spans="1:11" s="231" customFormat="1" ht="16.5" thickBot="1">
      <c r="A6" s="230" t="s">
        <v>315</v>
      </c>
    </row>
    <row r="7" spans="1:11" ht="13.5" thickTop="1">
      <c r="A7" s="72" t="s">
        <v>316</v>
      </c>
    </row>
    <row r="8" spans="1:11" ht="12.75">
      <c r="A8" s="72" t="s">
        <v>424</v>
      </c>
    </row>
    <row r="9" spans="1:11" ht="12.75">
      <c r="A9" s="72" t="s">
        <v>317</v>
      </c>
    </row>
    <row r="10" spans="1:11" ht="12.75">
      <c r="A10" s="72" t="s">
        <v>318</v>
      </c>
    </row>
    <row r="11" spans="1:11" ht="12.75">
      <c r="A11" s="72"/>
    </row>
    <row r="12" spans="1:11" s="226" customFormat="1" ht="15.75">
      <c r="A12" s="170" t="s">
        <v>310</v>
      </c>
    </row>
    <row r="13" spans="1:11" s="227" customFormat="1">
      <c r="A13" s="289" t="s">
        <v>425</v>
      </c>
      <c r="B13" s="237"/>
    </row>
    <row r="14" spans="1:11" s="227" customFormat="1" ht="12.75">
      <c r="A14" s="186"/>
      <c r="B14" s="237"/>
    </row>
    <row r="15" spans="1:11" s="227" customFormat="1" ht="12.75">
      <c r="A15" s="186"/>
      <c r="B15" s="237"/>
    </row>
    <row r="16" spans="1:11">
      <c r="C16" s="177" t="s">
        <v>221</v>
      </c>
      <c r="D16" s="177" t="s">
        <v>222</v>
      </c>
      <c r="E16" s="177" t="s">
        <v>223</v>
      </c>
      <c r="F16" s="177" t="s">
        <v>224</v>
      </c>
    </row>
    <row r="17" spans="1:6">
      <c r="B17" s="225" t="s">
        <v>116</v>
      </c>
      <c r="C17" s="253">
        <f>'2009-2010'!E9</f>
        <v>627.25</v>
      </c>
      <c r="D17" s="236">
        <f>C17*(1+opt_LERentalLowCap)</f>
        <v>616.27312500000005</v>
      </c>
      <c r="E17" s="236">
        <f>D17*(1+opt_LERentalLowCap)</f>
        <v>605.48834531250009</v>
      </c>
      <c r="F17" s="236">
        <f>E17</f>
        <v>605.48834531250009</v>
      </c>
    </row>
    <row r="18" spans="1:6">
      <c r="B18" s="225" t="s">
        <v>117</v>
      </c>
      <c r="C18" s="253" t="e">
        <f>'2009-2010'!E10</f>
        <v>#VALUE!</v>
      </c>
      <c r="D18" s="236" t="e">
        <f>C18*(1+opt_LinkRentalLowCap)</f>
        <v>#VALUE!</v>
      </c>
      <c r="E18" s="236" t="e">
        <f>D18*(1+opt_LinkRentalLowCap)</f>
        <v>#VALUE!</v>
      </c>
      <c r="F18" s="236" t="e">
        <f>E18</f>
        <v>#VALUE!</v>
      </c>
    </row>
    <row r="19" spans="1:6">
      <c r="B19" s="225" t="s">
        <v>118</v>
      </c>
      <c r="C19" s="253" t="e">
        <f>'2009-2010'!E11</f>
        <v>#VALUE!</v>
      </c>
      <c r="D19" s="236" t="e">
        <f>C19*(1+opt_TermSegLowCap)</f>
        <v>#VALUE!</v>
      </c>
      <c r="E19" s="236" t="e">
        <f>D19*(1+opt_TermSegLowCap)</f>
        <v>#VALUE!</v>
      </c>
      <c r="F19" s="236" t="e">
        <f>E19</f>
        <v>#VALUE!</v>
      </c>
    </row>
    <row r="20" spans="1:6">
      <c r="B20" s="225" t="s">
        <v>129</v>
      </c>
      <c r="C20" s="253" t="e">
        <f>'2009-2010'!E12</f>
        <v>#VALUE!</v>
      </c>
      <c r="D20" s="236" t="e">
        <f>C20*(1+opt_2MbitConnLowCap)</f>
        <v>#VALUE!</v>
      </c>
      <c r="E20" s="236" t="e">
        <f>D20*(1+opt_2MbitConnLowCap)</f>
        <v>#VALUE!</v>
      </c>
      <c r="F20" s="236" t="e">
        <f>E20</f>
        <v>#VALUE!</v>
      </c>
    </row>
    <row r="21" spans="1:6">
      <c r="C21" s="177"/>
      <c r="D21" s="177"/>
      <c r="E21" s="177"/>
      <c r="F21" s="177"/>
    </row>
    <row r="22" spans="1:6" s="226" customFormat="1" ht="15.75">
      <c r="A22" s="170" t="s">
        <v>311</v>
      </c>
      <c r="C22" s="228"/>
      <c r="D22" s="228"/>
      <c r="E22" s="228"/>
      <c r="F22" s="228"/>
    </row>
    <row r="23" spans="1:6" ht="15.75">
      <c r="A23" s="173"/>
      <c r="C23" s="177"/>
      <c r="D23" s="177"/>
      <c r="E23" s="177"/>
      <c r="F23" s="177"/>
    </row>
    <row r="24" spans="1:6" ht="14.25" customHeight="1">
      <c r="A24" s="173"/>
      <c r="C24" s="177" t="s">
        <v>221</v>
      </c>
      <c r="D24" s="177" t="s">
        <v>222</v>
      </c>
      <c r="E24" s="177" t="s">
        <v>223</v>
      </c>
      <c r="F24" s="177" t="s">
        <v>224</v>
      </c>
    </row>
    <row r="25" spans="1:6">
      <c r="B25" s="225" t="s">
        <v>116</v>
      </c>
      <c r="C25" s="253">
        <f>C17</f>
        <v>627.25</v>
      </c>
      <c r="D25" s="236">
        <f>C25*(1+opt_LERentalHighCap)</f>
        <v>658.61250000000007</v>
      </c>
      <c r="E25" s="236">
        <f>D25*(1+opt_LERentalHighCap)</f>
        <v>691.54312500000015</v>
      </c>
      <c r="F25" s="236">
        <f>E25</f>
        <v>691.54312500000015</v>
      </c>
    </row>
    <row r="26" spans="1:6">
      <c r="B26" s="225" t="s">
        <v>117</v>
      </c>
      <c r="C26" s="253" t="e">
        <f>C18</f>
        <v>#VALUE!</v>
      </c>
      <c r="D26" s="236" t="e">
        <f>C26*(1+opt_LinkRentalHighCap)</f>
        <v>#VALUE!</v>
      </c>
      <c r="E26" s="236" t="e">
        <f>D26*(1+opt_LinkRentalHighCap)</f>
        <v>#VALUE!</v>
      </c>
      <c r="F26" s="236" t="e">
        <f>E26</f>
        <v>#VALUE!</v>
      </c>
    </row>
    <row r="27" spans="1:6">
      <c r="B27" s="225" t="s">
        <v>118</v>
      </c>
      <c r="C27" s="253" t="e">
        <f>C19</f>
        <v>#VALUE!</v>
      </c>
      <c r="D27" s="236" t="e">
        <f>C27*(1+opt_TermSegHighCap)</f>
        <v>#VALUE!</v>
      </c>
      <c r="E27" s="236" t="e">
        <f>D27*(1+opt_TermSegHighCap)</f>
        <v>#VALUE!</v>
      </c>
      <c r="F27" s="236" t="e">
        <f>E27</f>
        <v>#VALUE!</v>
      </c>
    </row>
    <row r="28" spans="1:6">
      <c r="B28" s="225" t="s">
        <v>129</v>
      </c>
      <c r="C28" s="253" t="e">
        <f>C20</f>
        <v>#VALUE!</v>
      </c>
      <c r="D28" s="236" t="e">
        <f>C28*(1+opt_2MbitConnHighCap)</f>
        <v>#VALUE!</v>
      </c>
      <c r="E28" s="236" t="e">
        <f>D28*(1+opt_2MbitConnHighCap)</f>
        <v>#VALUE!</v>
      </c>
      <c r="F28" s="236" t="e">
        <f>E28</f>
        <v>#VALUE!</v>
      </c>
    </row>
    <row r="29" spans="1:6">
      <c r="B29" s="225"/>
    </row>
    <row r="30" spans="1:6" s="226" customFormat="1" ht="15.75">
      <c r="A30" s="170" t="s">
        <v>312</v>
      </c>
      <c r="B30" s="229"/>
    </row>
    <row r="31" spans="1:6" s="227" customFormat="1">
      <c r="A31" s="289" t="s">
        <v>336</v>
      </c>
      <c r="B31" s="225"/>
    </row>
    <row r="32" spans="1:6" s="227" customFormat="1" ht="12.75">
      <c r="A32" s="186"/>
      <c r="B32" s="225"/>
    </row>
    <row r="33" spans="1:26">
      <c r="B33" s="225"/>
      <c r="C33" s="177" t="s">
        <v>221</v>
      </c>
      <c r="D33" s="177" t="s">
        <v>222</v>
      </c>
      <c r="E33" s="177" t="s">
        <v>223</v>
      </c>
      <c r="F33" s="177" t="s">
        <v>224</v>
      </c>
    </row>
    <row r="34" spans="1:26">
      <c r="B34" s="225" t="s">
        <v>116</v>
      </c>
      <c r="C34" s="253">
        <f>C25</f>
        <v>627.25</v>
      </c>
      <c r="D34" s="133">
        <f t="shared" ref="D34:F37" si="0">AVERAGE(D17,D25)</f>
        <v>637.44281250000006</v>
      </c>
      <c r="E34" s="133">
        <f t="shared" si="0"/>
        <v>648.51573515625012</v>
      </c>
      <c r="F34" s="238">
        <f t="shared" si="0"/>
        <v>648.51573515625012</v>
      </c>
    </row>
    <row r="35" spans="1:26">
      <c r="B35" s="225" t="s">
        <v>117</v>
      </c>
      <c r="C35" s="253" t="e">
        <f>C26</f>
        <v>#VALUE!</v>
      </c>
      <c r="D35" s="133" t="e">
        <f t="shared" si="0"/>
        <v>#VALUE!</v>
      </c>
      <c r="E35" s="133" t="e">
        <f t="shared" si="0"/>
        <v>#VALUE!</v>
      </c>
      <c r="F35" s="238" t="e">
        <f t="shared" si="0"/>
        <v>#VALUE!</v>
      </c>
    </row>
    <row r="36" spans="1:26">
      <c r="B36" s="225" t="s">
        <v>118</v>
      </c>
      <c r="C36" s="253" t="e">
        <f>C27</f>
        <v>#VALUE!</v>
      </c>
      <c r="D36" s="133" t="e">
        <f t="shared" si="0"/>
        <v>#VALUE!</v>
      </c>
      <c r="E36" s="133" t="e">
        <f t="shared" si="0"/>
        <v>#VALUE!</v>
      </c>
      <c r="F36" s="238" t="e">
        <f t="shared" si="0"/>
        <v>#VALUE!</v>
      </c>
    </row>
    <row r="37" spans="1:26">
      <c r="B37" s="225" t="s">
        <v>129</v>
      </c>
      <c r="C37" s="253" t="e">
        <f>C28</f>
        <v>#VALUE!</v>
      </c>
      <c r="D37" s="133" t="e">
        <f t="shared" si="0"/>
        <v>#VALUE!</v>
      </c>
      <c r="E37" s="133" t="e">
        <f t="shared" si="0"/>
        <v>#VALUE!</v>
      </c>
      <c r="F37" s="238" t="e">
        <f t="shared" si="0"/>
        <v>#VALUE!</v>
      </c>
    </row>
    <row r="38" spans="1:26">
      <c r="B38" s="225"/>
    </row>
    <row r="40" spans="1:26" s="171" customFormat="1" ht="15.75">
      <c r="A40" s="170" t="s">
        <v>220</v>
      </c>
      <c r="H40" s="172"/>
      <c r="I40" s="172"/>
      <c r="R40" s="172"/>
      <c r="S40" s="172"/>
    </row>
    <row r="41" spans="1:26" s="174" customFormat="1" ht="12.75">
      <c r="A41" s="169" t="s">
        <v>219</v>
      </c>
      <c r="H41" s="175"/>
      <c r="I41" s="175"/>
      <c r="R41" s="175"/>
      <c r="S41" s="175"/>
    </row>
    <row r="42" spans="1:26" s="174" customFormat="1" ht="15.75">
      <c r="A42" s="173"/>
      <c r="H42" s="175"/>
      <c r="I42" s="175"/>
      <c r="R42" s="175"/>
      <c r="S42" s="175"/>
    </row>
    <row r="43" spans="1:26" s="174" customFormat="1" ht="12" customHeight="1">
      <c r="B43" s="176"/>
      <c r="H43" s="175"/>
      <c r="I43" s="175"/>
      <c r="R43" s="175"/>
      <c r="S43" s="175"/>
    </row>
    <row r="44" spans="1:26" s="174" customFormat="1" ht="12" customHeight="1">
      <c r="C44" s="177" t="s">
        <v>221</v>
      </c>
      <c r="D44" s="177" t="s">
        <v>222</v>
      </c>
      <c r="E44" s="177" t="s">
        <v>223</v>
      </c>
      <c r="F44" s="177" t="s">
        <v>224</v>
      </c>
      <c r="H44" s="175"/>
      <c r="I44" s="175"/>
      <c r="R44" s="175"/>
      <c r="S44" s="175"/>
    </row>
    <row r="45" spans="1:26" s="178" customFormat="1">
      <c r="B45" s="179" t="s">
        <v>225</v>
      </c>
      <c r="C45" s="180">
        <f>opt_RentPrice</f>
        <v>141</v>
      </c>
      <c r="D45" s="181">
        <f t="shared" ref="D45:F46" si="1">C45*(1+opt_XCombBasket)</f>
        <v>125.99006341003677</v>
      </c>
      <c r="E45" s="181">
        <f t="shared" si="1"/>
        <v>112.57798636925592</v>
      </c>
      <c r="F45" s="181">
        <f t="shared" si="1"/>
        <v>100.59367121444545</v>
      </c>
      <c r="G45" s="182"/>
      <c r="H45" s="183"/>
      <c r="I45" s="183"/>
      <c r="K45" s="179"/>
      <c r="L45" s="179"/>
      <c r="M45" s="184"/>
      <c r="N45" s="182"/>
      <c r="O45" s="182"/>
      <c r="P45" s="182"/>
      <c r="Q45" s="182"/>
      <c r="R45" s="183"/>
      <c r="S45" s="183"/>
      <c r="U45" s="179"/>
      <c r="V45" s="179"/>
      <c r="W45" s="184"/>
      <c r="X45" s="182"/>
      <c r="Y45" s="182"/>
      <c r="Z45" s="182"/>
    </row>
    <row r="46" spans="1:26" s="178" customFormat="1">
      <c r="B46" s="179" t="s">
        <v>226</v>
      </c>
      <c r="C46" s="180">
        <f>opt_ConnPrice</f>
        <v>40.71</v>
      </c>
      <c r="D46" s="181">
        <f t="shared" si="1"/>
        <v>36.376280010089339</v>
      </c>
      <c r="E46" s="181">
        <f t="shared" si="1"/>
        <v>32.503899468740485</v>
      </c>
      <c r="F46" s="181">
        <f t="shared" si="1"/>
        <v>29.043747199574995</v>
      </c>
      <c r="G46" s="182"/>
      <c r="H46" s="183"/>
      <c r="I46" s="183"/>
      <c r="K46" s="179"/>
      <c r="L46" s="179"/>
      <c r="M46" s="184"/>
      <c r="N46" s="182"/>
      <c r="O46" s="182"/>
      <c r="P46" s="182"/>
      <c r="Q46" s="182"/>
      <c r="R46" s="183"/>
      <c r="S46" s="183"/>
      <c r="U46" s="179"/>
      <c r="V46" s="179"/>
      <c r="W46" s="184"/>
      <c r="X46" s="182"/>
      <c r="Y46" s="182"/>
      <c r="Z46" s="182"/>
    </row>
    <row r="48" spans="1:26" s="171" customFormat="1" ht="15.75">
      <c r="A48" s="170" t="s">
        <v>227</v>
      </c>
      <c r="B48" s="170"/>
      <c r="I48" s="172"/>
      <c r="J48" s="172"/>
      <c r="S48" s="172"/>
      <c r="T48" s="172"/>
    </row>
    <row r="49" spans="1:20" s="174" customFormat="1" ht="12" customHeight="1">
      <c r="A49" s="169" t="s">
        <v>313</v>
      </c>
      <c r="B49" s="173"/>
      <c r="I49" s="175"/>
      <c r="J49" s="175"/>
      <c r="S49" s="175"/>
      <c r="T49" s="175"/>
    </row>
    <row r="50" spans="1:20" s="174" customFormat="1" ht="12.75" customHeight="1">
      <c r="A50" s="169" t="s">
        <v>314</v>
      </c>
      <c r="B50" s="173"/>
      <c r="I50" s="175"/>
      <c r="J50" s="175"/>
      <c r="S50" s="175"/>
      <c r="T50" s="175"/>
    </row>
    <row r="51" spans="1:20" s="178" customFormat="1" ht="12.75">
      <c r="A51" s="186"/>
      <c r="B51" s="186"/>
      <c r="I51" s="187"/>
      <c r="J51" s="187"/>
      <c r="S51" s="187"/>
      <c r="T51" s="187"/>
    </row>
    <row r="52" spans="1:20">
      <c r="B52" s="188"/>
    </row>
    <row r="53" spans="1:20">
      <c r="C53" s="177" t="s">
        <v>221</v>
      </c>
      <c r="D53" s="177" t="s">
        <v>222</v>
      </c>
      <c r="E53" s="177" t="s">
        <v>223</v>
      </c>
      <c r="F53" s="177" t="s">
        <v>224</v>
      </c>
      <c r="G53" s="289" t="s">
        <v>426</v>
      </c>
    </row>
    <row r="54" spans="1:20">
      <c r="B54" s="185" t="s">
        <v>257</v>
      </c>
      <c r="C54" s="189">
        <f>opt_RentVol2011</f>
        <v>1979994.6994530063</v>
      </c>
      <c r="D54" s="189">
        <f>opt_RentVol2012</f>
        <v>1894599.3219721655</v>
      </c>
      <c r="E54" s="189">
        <f>opt_RentVol2013</f>
        <v>1812886.9697525084</v>
      </c>
      <c r="F54" s="189">
        <f>opt_RentVol2014</f>
        <v>1734698.7972513996</v>
      </c>
      <c r="G54" s="289" t="s">
        <v>259</v>
      </c>
    </row>
    <row r="55" spans="1:20">
      <c r="B55" s="185" t="s">
        <v>258</v>
      </c>
      <c r="C55" s="189">
        <f>opt_ConnVol2011</f>
        <v>115211.23215495952</v>
      </c>
      <c r="D55" s="189">
        <f>opt_ConnVol2012</f>
        <v>183455.23696761933</v>
      </c>
      <c r="E55" s="189">
        <f>opt_ConnVol2013</f>
        <v>175542.97881055714</v>
      </c>
      <c r="F55" s="189">
        <f>opt_ConnVol2014</f>
        <v>167971.96917917792</v>
      </c>
      <c r="G55" s="289" t="s">
        <v>260</v>
      </c>
    </row>
    <row r="56" spans="1:20">
      <c r="B56" s="179" t="s">
        <v>228</v>
      </c>
      <c r="C56" s="190"/>
      <c r="D56" s="191">
        <f>(C54*C58)/(C54*C58+C55*C59)</f>
        <v>0.98347744569282181</v>
      </c>
      <c r="E56" s="191">
        <f>(D54*D58)/(D54*D58+D55*D59)</f>
        <v>0.96810172257272975</v>
      </c>
      <c r="F56" s="191">
        <f>(E54*E58)/(E54*E58+E55*E59)</f>
        <v>0.96251656801109964</v>
      </c>
    </row>
    <row r="57" spans="1:20">
      <c r="B57" s="179" t="s">
        <v>229</v>
      </c>
      <c r="C57" s="190"/>
      <c r="D57" s="191">
        <f>(C55*C59)/(C54*C58+C55*C59)</f>
        <v>1.6522554307178208E-2</v>
      </c>
      <c r="E57" s="191">
        <f>(D55*D59)/(D54*D58+D55*D59)</f>
        <v>3.1898277427270319E-2</v>
      </c>
      <c r="F57" s="191">
        <f>(E55*E59)/(E54*E58+E55*E59)</f>
        <v>3.7483431988900466E-2</v>
      </c>
    </row>
    <row r="58" spans="1:20">
      <c r="B58" s="179" t="s">
        <v>225</v>
      </c>
      <c r="C58" s="180">
        <f>opt_RentPrice</f>
        <v>141</v>
      </c>
      <c r="D58" s="181">
        <f>C58*(1+((opt_XCombBasket-opt_ConnSafeguard*D57)/D56))</f>
        <v>125.61945348713833</v>
      </c>
      <c r="E58" s="181">
        <f>D58*(1+((opt_XCombBasket-opt_ConnSafeguard*E57)/E56))</f>
        <v>111.59925681986483</v>
      </c>
      <c r="F58" s="181">
        <f>E58*(1+((opt_XCombBasket-opt_ConnSafeguard*F57)/F56))</f>
        <v>99.039179854830337</v>
      </c>
    </row>
    <row r="59" spans="1:20">
      <c r="B59" s="179" t="s">
        <v>226</v>
      </c>
      <c r="C59" s="180">
        <f>opt_ConnPrice</f>
        <v>40.71</v>
      </c>
      <c r="D59" s="181">
        <f>C59*(1+opt_ConnSafeguard)</f>
        <v>42.7455</v>
      </c>
      <c r="E59" s="181">
        <f>D59*(1+opt_ConnSafeguard)</f>
        <v>44.882775000000002</v>
      </c>
      <c r="F59" s="181">
        <f>E59*(1+opt_ConnSafeguard)</f>
        <v>47.126913750000007</v>
      </c>
    </row>
  </sheetData>
  <pageMargins left="0.74803149606299213" right="0.74803149606299213" top="0.98425196850393704" bottom="0.98425196850393704" header="0.51181102362204722" footer="0.51181102362204722"/>
  <pageSetup paperSize="9" orientation="landscape" r:id="rId1"/>
  <headerFooter alignWithMargins="0">
    <oddFooter>&amp;L&amp;A :page&amp;P&amp;COfcom Confidential&amp;R&amp;D</oddFooter>
  </headerFooter>
</worksheet>
</file>

<file path=xl/worksheets/sheet21.xml><?xml version="1.0" encoding="utf-8"?>
<worksheet xmlns="http://schemas.openxmlformats.org/spreadsheetml/2006/main" xmlns:r="http://schemas.openxmlformats.org/officeDocument/2006/relationships">
  <sheetPr>
    <pageSetUpPr autoPageBreaks="0"/>
  </sheetPr>
  <dimension ref="A1:T38"/>
  <sheetViews>
    <sheetView defaultGridColor="0" colorId="22" zoomScale="85" zoomScaleNormal="85" workbookViewId="0">
      <pane ySplit="1" topLeftCell="A2" activePane="bottomLeft" state="frozen"/>
      <selection pane="bottomLeft" activeCell="G20" sqref="G20"/>
    </sheetView>
  </sheetViews>
  <sheetFormatPr defaultColWidth="12.7109375" defaultRowHeight="12"/>
  <cols>
    <col min="1" max="1" width="24" style="168" customWidth="1"/>
    <col min="2" max="16384" width="12.7109375" style="168"/>
  </cols>
  <sheetData>
    <row r="1" spans="1:19" s="18" customFormat="1" ht="40.5" customHeight="1">
      <c r="A1" s="328" t="s">
        <v>338</v>
      </c>
      <c r="L1" s="18" t="s">
        <v>9</v>
      </c>
    </row>
    <row r="2" spans="1:19" ht="12.75">
      <c r="A2" s="290" t="s">
        <v>348</v>
      </c>
    </row>
    <row r="3" spans="1:19" ht="12.75">
      <c r="A3" s="291" t="s">
        <v>349</v>
      </c>
    </row>
    <row r="4" spans="1:19" ht="12.75">
      <c r="A4" s="169" t="s">
        <v>350</v>
      </c>
    </row>
    <row r="5" spans="1:19" ht="12.75">
      <c r="A5" s="169"/>
    </row>
    <row r="6" spans="1:19" ht="12.75">
      <c r="A6" s="169" t="s">
        <v>427</v>
      </c>
    </row>
    <row r="7" spans="1:19" ht="12.75">
      <c r="A7" s="169" t="s">
        <v>351</v>
      </c>
    </row>
    <row r="9" spans="1:19" s="171" customFormat="1" ht="15.75">
      <c r="A9" s="170" t="s">
        <v>220</v>
      </c>
      <c r="H9" s="172"/>
      <c r="I9" s="172"/>
      <c r="R9" s="172"/>
      <c r="S9" s="172"/>
    </row>
    <row r="10" spans="1:19" s="18" customFormat="1" ht="13.5" customHeight="1">
      <c r="A10" s="130"/>
    </row>
    <row r="11" spans="1:19" s="18" customFormat="1" ht="12.75" customHeight="1">
      <c r="A11" s="107"/>
      <c r="B11" s="351" t="s">
        <v>119</v>
      </c>
      <c r="C11" s="353" t="s">
        <v>125</v>
      </c>
      <c r="D11" s="353"/>
      <c r="E11" s="353"/>
    </row>
    <row r="12" spans="1:19" s="17" customFormat="1">
      <c r="B12" s="352"/>
      <c r="C12" s="223" t="s">
        <v>105</v>
      </c>
      <c r="D12" s="223" t="s">
        <v>99</v>
      </c>
      <c r="E12" s="223" t="s">
        <v>120</v>
      </c>
      <c r="F12" s="273" t="s">
        <v>3</v>
      </c>
    </row>
    <row r="13" spans="1:19" s="17" customFormat="1">
      <c r="A13" s="119" t="s">
        <v>122</v>
      </c>
      <c r="B13" s="116" t="s">
        <v>127</v>
      </c>
      <c r="C13" s="114">
        <f>Prices!F45*opt_ISDNChUti</f>
        <v>3017.8101364333634</v>
      </c>
      <c r="D13" s="115">
        <f>Prices!F46*opt_ISDNChUti</f>
        <v>871.31241598724978</v>
      </c>
      <c r="E13" s="122">
        <f>SUM(C13:D13)</f>
        <v>3889.1225524206129</v>
      </c>
      <c r="F13" s="272" t="s">
        <v>428</v>
      </c>
    </row>
    <row r="14" spans="1:19" s="17" customFormat="1">
      <c r="A14" s="119" t="s">
        <v>116</v>
      </c>
      <c r="B14" s="239">
        <f>Prices!F34</f>
        <v>648.51573515625012</v>
      </c>
      <c r="C14" s="101">
        <f>B14</f>
        <v>648.51573515625012</v>
      </c>
      <c r="D14" s="111" t="s">
        <v>127</v>
      </c>
      <c r="E14" s="99">
        <f>SUM(C14:D14)</f>
        <v>648.51573515625012</v>
      </c>
      <c r="F14" s="272" t="s">
        <v>343</v>
      </c>
    </row>
    <row r="15" spans="1:19" s="17" customFormat="1">
      <c r="A15" s="119" t="s">
        <v>117</v>
      </c>
      <c r="B15" s="239" t="e">
        <f>Prices!F35</f>
        <v>#VALUE!</v>
      </c>
      <c r="C15" s="101" t="e">
        <f>B15*opt_excBcCo</f>
        <v>#VALUE!</v>
      </c>
      <c r="D15" s="111" t="s">
        <v>127</v>
      </c>
      <c r="E15" s="99" t="e">
        <f t="shared" ref="E15:E21" si="0">SUM(C15:D15)</f>
        <v>#VALUE!</v>
      </c>
      <c r="F15" s="272" t="s">
        <v>344</v>
      </c>
    </row>
    <row r="16" spans="1:19" s="17" customFormat="1">
      <c r="A16" s="119" t="s">
        <v>118</v>
      </c>
      <c r="B16" s="239" t="e">
        <f>Prices!F36</f>
        <v>#VALUE!</v>
      </c>
      <c r="C16" s="101" t="e">
        <f>B16*opt_excBcCo*opt_DistBcCircuit</f>
        <v>#VALUE!</v>
      </c>
      <c r="D16" s="111" t="s">
        <v>127</v>
      </c>
      <c r="E16" s="99" t="e">
        <f t="shared" si="0"/>
        <v>#VALUE!</v>
      </c>
      <c r="F16" s="272" t="s">
        <v>345</v>
      </c>
    </row>
    <row r="17" spans="1:20" s="17" customFormat="1">
      <c r="A17" s="119" t="s">
        <v>129</v>
      </c>
      <c r="B17" s="239" t="e">
        <f>Prices!F37</f>
        <v>#VALUE!</v>
      </c>
      <c r="C17" s="108" t="s">
        <v>127</v>
      </c>
      <c r="D17" s="111" t="e">
        <f>B17*(opt_ConnSMC1+(opt_ConnSMC2+opt_ConnSMC3)*opt_excBcCo)</f>
        <v>#VALUE!</v>
      </c>
      <c r="E17" s="99" t="e">
        <f t="shared" si="0"/>
        <v>#VALUE!</v>
      </c>
      <c r="F17" s="272" t="s">
        <v>346</v>
      </c>
    </row>
    <row r="18" spans="1:20" s="17" customFormat="1">
      <c r="A18" s="119" t="s">
        <v>152</v>
      </c>
      <c r="B18" s="118" t="s">
        <v>127</v>
      </c>
      <c r="C18" s="101" t="e">
        <f>SUM(C14:C16)</f>
        <v>#VALUE!</v>
      </c>
      <c r="D18" s="99" t="e">
        <f>SUM(D14:D17)</f>
        <v>#VALUE!</v>
      </c>
      <c r="E18" s="99" t="e">
        <f>SUM(C18:D18)</f>
        <v>#VALUE!</v>
      </c>
      <c r="F18" s="272" t="s">
        <v>347</v>
      </c>
    </row>
    <row r="19" spans="1:20" s="17" customFormat="1">
      <c r="A19" s="119" t="s">
        <v>97</v>
      </c>
      <c r="B19" s="118" t="s">
        <v>127</v>
      </c>
      <c r="C19" s="101" t="e">
        <f>opt_LineCard2013_14*opt_ISDNChUti+opt_LTECost2013_14*opt_ISDNChUti</f>
        <v>#VALUE!</v>
      </c>
      <c r="D19" s="99" t="e">
        <f>SUM(CalcConn!M6,CalcConn!M8,CalcConn!M9)*(1+opt_ConnCost2013_14)</f>
        <v>#VALUE!</v>
      </c>
      <c r="E19" s="99" t="e">
        <f>SUM(C19:D19)</f>
        <v>#VALUE!</v>
      </c>
      <c r="F19" s="272" t="s">
        <v>429</v>
      </c>
    </row>
    <row r="20" spans="1:20" s="17" customFormat="1">
      <c r="A20" s="119" t="s">
        <v>121</v>
      </c>
      <c r="B20" s="118" t="s">
        <v>127</v>
      </c>
      <c r="C20" s="101" t="e">
        <f>SUM(C18:C19)</f>
        <v>#VALUE!</v>
      </c>
      <c r="D20" s="99" t="e">
        <f>SUM(D18:D19)</f>
        <v>#VALUE!</v>
      </c>
      <c r="E20" s="99" t="e">
        <f t="shared" si="0"/>
        <v>#VALUE!</v>
      </c>
      <c r="F20" s="272" t="s">
        <v>419</v>
      </c>
    </row>
    <row r="21" spans="1:20" s="17" customFormat="1">
      <c r="A21" s="119" t="s">
        <v>123</v>
      </c>
      <c r="B21" s="118" t="s">
        <v>127</v>
      </c>
      <c r="C21" s="109" t="e">
        <f>C13-C20</f>
        <v>#VALUE!</v>
      </c>
      <c r="D21" s="110" t="e">
        <f>D13-D20</f>
        <v>#VALUE!</v>
      </c>
      <c r="E21" s="110" t="e">
        <f t="shared" si="0"/>
        <v>#VALUE!</v>
      </c>
      <c r="F21" s="272" t="s">
        <v>420</v>
      </c>
    </row>
    <row r="22" spans="1:20" s="17" customFormat="1">
      <c r="A22" s="119" t="s">
        <v>124</v>
      </c>
      <c r="B22" s="118" t="s">
        <v>127</v>
      </c>
      <c r="C22" s="113" t="e">
        <f>C21/C13</f>
        <v>#VALUE!</v>
      </c>
      <c r="D22" s="113" t="e">
        <f>D21/D13</f>
        <v>#VALUE!</v>
      </c>
      <c r="E22" s="123" t="e">
        <f>E21/E13</f>
        <v>#VALUE!</v>
      </c>
      <c r="F22" s="272" t="s">
        <v>421</v>
      </c>
    </row>
    <row r="23" spans="1:20" s="17" customFormat="1"/>
    <row r="24" spans="1:20" s="17" customFormat="1"/>
    <row r="25" spans="1:20" s="171" customFormat="1" ht="15.75">
      <c r="A25" s="170" t="s">
        <v>227</v>
      </c>
      <c r="B25" s="170"/>
      <c r="I25" s="172"/>
      <c r="J25" s="172"/>
      <c r="S25" s="172"/>
      <c r="T25" s="172"/>
    </row>
    <row r="26" spans="1:20" s="17" customFormat="1"/>
    <row r="27" spans="1:20" s="18" customFormat="1" ht="12.75" customHeight="1">
      <c r="A27" s="107"/>
      <c r="B27" s="351" t="s">
        <v>119</v>
      </c>
      <c r="C27" s="353" t="s">
        <v>125</v>
      </c>
      <c r="D27" s="353"/>
      <c r="E27" s="353"/>
    </row>
    <row r="28" spans="1:20" s="17" customFormat="1">
      <c r="B28" s="352"/>
      <c r="C28" s="223" t="s">
        <v>105</v>
      </c>
      <c r="D28" s="223" t="s">
        <v>99</v>
      </c>
      <c r="E28" s="223" t="s">
        <v>120</v>
      </c>
      <c r="F28" s="273" t="s">
        <v>3</v>
      </c>
    </row>
    <row r="29" spans="1:20" s="17" customFormat="1">
      <c r="A29" s="119" t="s">
        <v>122</v>
      </c>
      <c r="B29" s="204" t="str">
        <f t="shared" ref="B29:B38" si="1">B13</f>
        <v>N/a</v>
      </c>
      <c r="C29" s="114">
        <f>Prices!F58*opt_ISDNChUti</f>
        <v>2971.1753956449102</v>
      </c>
      <c r="D29" s="115">
        <f>Prices!F59*opt_ISDNChUti</f>
        <v>1413.8074125000003</v>
      </c>
      <c r="E29" s="122">
        <f t="shared" ref="E29:E37" si="2">SUM(C29:D29)</f>
        <v>4384.9828081449105</v>
      </c>
      <c r="F29" s="272" t="s">
        <v>430</v>
      </c>
    </row>
    <row r="30" spans="1:20" s="17" customFormat="1">
      <c r="A30" s="119" t="s">
        <v>116</v>
      </c>
      <c r="B30" s="204">
        <f t="shared" si="1"/>
        <v>648.51573515625012</v>
      </c>
      <c r="C30" s="101">
        <f>B30</f>
        <v>648.51573515625012</v>
      </c>
      <c r="D30" s="111" t="s">
        <v>127</v>
      </c>
      <c r="E30" s="99">
        <f t="shared" si="2"/>
        <v>648.51573515625012</v>
      </c>
      <c r="F30" s="272" t="s">
        <v>343</v>
      </c>
    </row>
    <row r="31" spans="1:20" s="17" customFormat="1">
      <c r="A31" s="119" t="s">
        <v>117</v>
      </c>
      <c r="B31" s="204" t="e">
        <f t="shared" si="1"/>
        <v>#VALUE!</v>
      </c>
      <c r="C31" s="101" t="e">
        <f>B31*opt_excBcCo</f>
        <v>#VALUE!</v>
      </c>
      <c r="D31" s="111" t="s">
        <v>127</v>
      </c>
      <c r="E31" s="99" t="e">
        <f t="shared" si="2"/>
        <v>#VALUE!</v>
      </c>
      <c r="F31" s="272" t="s">
        <v>344</v>
      </c>
    </row>
    <row r="32" spans="1:20" s="17" customFormat="1">
      <c r="A32" s="119" t="s">
        <v>118</v>
      </c>
      <c r="B32" s="204" t="e">
        <f t="shared" si="1"/>
        <v>#VALUE!</v>
      </c>
      <c r="C32" s="101" t="e">
        <f>B32*opt_excBcCo*opt_DistBcCircuit</f>
        <v>#VALUE!</v>
      </c>
      <c r="D32" s="111" t="s">
        <v>127</v>
      </c>
      <c r="E32" s="99" t="e">
        <f t="shared" si="2"/>
        <v>#VALUE!</v>
      </c>
      <c r="F32" s="272" t="s">
        <v>345</v>
      </c>
    </row>
    <row r="33" spans="1:6" s="17" customFormat="1">
      <c r="A33" s="119" t="s">
        <v>129</v>
      </c>
      <c r="B33" s="204" t="e">
        <f t="shared" si="1"/>
        <v>#VALUE!</v>
      </c>
      <c r="C33" s="108" t="s">
        <v>127</v>
      </c>
      <c r="D33" s="111" t="e">
        <f>B33*(opt_ConnSMC1+(opt_ConnSMC2+opt_ConnSMC3)*opt_excBcCo)</f>
        <v>#VALUE!</v>
      </c>
      <c r="E33" s="99" t="e">
        <f t="shared" si="2"/>
        <v>#VALUE!</v>
      </c>
      <c r="F33" s="272" t="s">
        <v>346</v>
      </c>
    </row>
    <row r="34" spans="1:6" s="17" customFormat="1">
      <c r="A34" s="119" t="s">
        <v>152</v>
      </c>
      <c r="B34" s="204" t="str">
        <f t="shared" si="1"/>
        <v>N/a</v>
      </c>
      <c r="C34" s="101" t="e">
        <f>SUM(C30:C32)</f>
        <v>#VALUE!</v>
      </c>
      <c r="D34" s="99" t="e">
        <f>SUM(D30:D33)</f>
        <v>#VALUE!</v>
      </c>
      <c r="E34" s="99" t="e">
        <f t="shared" si="2"/>
        <v>#VALUE!</v>
      </c>
      <c r="F34" s="272" t="s">
        <v>347</v>
      </c>
    </row>
    <row r="35" spans="1:6" s="17" customFormat="1">
      <c r="A35" s="119" t="s">
        <v>97</v>
      </c>
      <c r="B35" s="204" t="str">
        <f t="shared" si="1"/>
        <v>N/a</v>
      </c>
      <c r="C35" s="101" t="e">
        <f>opt_LineCard2013_14*opt_ISDNChUti+opt_LTECost2013_14*opt_ISDNChUti</f>
        <v>#VALUE!</v>
      </c>
      <c r="D35" s="99" t="e">
        <f>SUM(CalcConn!M6,CalcConn!M8,CalcConn!M9)*(1+opt_ConnCost2013_14)</f>
        <v>#VALUE!</v>
      </c>
      <c r="E35" s="99" t="e">
        <f t="shared" si="2"/>
        <v>#VALUE!</v>
      </c>
      <c r="F35" s="272" t="s">
        <v>429</v>
      </c>
    </row>
    <row r="36" spans="1:6" s="17" customFormat="1">
      <c r="A36" s="119" t="s">
        <v>121</v>
      </c>
      <c r="B36" s="204" t="str">
        <f t="shared" si="1"/>
        <v>N/a</v>
      </c>
      <c r="C36" s="101" t="e">
        <f>SUM(C34:C35)</f>
        <v>#VALUE!</v>
      </c>
      <c r="D36" s="99" t="e">
        <f>SUM(D34:D35)</f>
        <v>#VALUE!</v>
      </c>
      <c r="E36" s="99" t="e">
        <f t="shared" si="2"/>
        <v>#VALUE!</v>
      </c>
      <c r="F36" s="272" t="s">
        <v>419</v>
      </c>
    </row>
    <row r="37" spans="1:6" s="17" customFormat="1">
      <c r="A37" s="119" t="s">
        <v>123</v>
      </c>
      <c r="B37" s="204" t="str">
        <f t="shared" si="1"/>
        <v>N/a</v>
      </c>
      <c r="C37" s="109" t="e">
        <f>C29-C36</f>
        <v>#VALUE!</v>
      </c>
      <c r="D37" s="110" t="e">
        <f>D29-D36</f>
        <v>#VALUE!</v>
      </c>
      <c r="E37" s="110" t="e">
        <f t="shared" si="2"/>
        <v>#VALUE!</v>
      </c>
      <c r="F37" s="272" t="s">
        <v>420</v>
      </c>
    </row>
    <row r="38" spans="1:6" s="17" customFormat="1">
      <c r="A38" s="119" t="s">
        <v>124</v>
      </c>
      <c r="B38" s="204" t="str">
        <f t="shared" si="1"/>
        <v>N/a</v>
      </c>
      <c r="C38" s="113" t="e">
        <f>C37/C29</f>
        <v>#VALUE!</v>
      </c>
      <c r="D38" s="113" t="e">
        <f>D37/D29</f>
        <v>#VALUE!</v>
      </c>
      <c r="E38" s="123" t="e">
        <f>E37/E29</f>
        <v>#VALUE!</v>
      </c>
      <c r="F38" s="272" t="s">
        <v>421</v>
      </c>
    </row>
  </sheetData>
  <mergeCells count="4">
    <mergeCell ref="B11:B12"/>
    <mergeCell ref="C11:E11"/>
    <mergeCell ref="B27:B28"/>
    <mergeCell ref="C27:E27"/>
  </mergeCells>
  <pageMargins left="0.74803149606299213" right="0.74803149606299213" top="0.98425196850393704" bottom="0.98425196850393704" header="0.51181102362204722" footer="0.51181102362204722"/>
  <pageSetup paperSize="9" orientation="portrait" r:id="rId1"/>
  <headerFooter alignWithMargins="0">
    <oddFooter>&amp;L&amp;A :page&amp;P&amp;COfcom Confidential&amp;R&amp;D</oddFooter>
  </headerFooter>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A1:M161"/>
  <sheetViews>
    <sheetView showGridLines="0" defaultGridColor="0" colorId="22" zoomScale="85" zoomScaleNormal="85" workbookViewId="0">
      <pane ySplit="1" topLeftCell="A83" activePane="bottomLeft" state="frozen"/>
      <selection pane="bottomLeft" activeCell="H101" sqref="H101"/>
    </sheetView>
  </sheetViews>
  <sheetFormatPr defaultRowHeight="12"/>
  <cols>
    <col min="1" max="1" width="1.7109375" style="16" customWidth="1"/>
    <col min="2" max="2" width="1.85546875" style="16" customWidth="1"/>
    <col min="3" max="3" width="4.42578125" style="16" customWidth="1"/>
    <col min="4" max="4" width="33.7109375" style="16" customWidth="1"/>
    <col min="5" max="5" width="19.85546875" style="16" customWidth="1"/>
    <col min="6" max="6" width="17.7109375" style="16" customWidth="1"/>
    <col min="7" max="7" width="15.28515625" style="39" customWidth="1"/>
    <col min="8" max="9" width="11" style="16" customWidth="1"/>
    <col min="10" max="10" width="11.42578125" style="16" customWidth="1"/>
    <col min="11" max="11" width="10.85546875" style="16" customWidth="1"/>
    <col min="12" max="12" width="11.42578125" style="16" customWidth="1"/>
    <col min="13" max="16384" width="9.140625" style="16"/>
  </cols>
  <sheetData>
    <row r="1" spans="1:13" s="41" customFormat="1" ht="27" thickBot="1">
      <c r="A1" s="73"/>
      <c r="B1" s="327" t="s">
        <v>46</v>
      </c>
      <c r="C1" s="73"/>
      <c r="D1" s="73"/>
      <c r="E1" s="331" t="s">
        <v>141</v>
      </c>
      <c r="F1" s="73"/>
      <c r="G1" s="73"/>
      <c r="H1" s="73"/>
      <c r="I1" s="73"/>
      <c r="J1" s="73"/>
      <c r="K1" s="73"/>
      <c r="L1" s="73"/>
      <c r="M1" s="73"/>
    </row>
    <row r="2" spans="1:13" ht="24.75" thickTop="1">
      <c r="A2"/>
      <c r="B2"/>
      <c r="C2"/>
      <c r="D2"/>
      <c r="E2"/>
      <c r="F2" s="62"/>
      <c r="G2" s="71" t="s">
        <v>47</v>
      </c>
      <c r="H2" s="71" t="s">
        <v>48</v>
      </c>
      <c r="I2" s="71" t="s">
        <v>43</v>
      </c>
      <c r="J2" s="71" t="s">
        <v>49</v>
      </c>
      <c r="K2" s="71" t="s">
        <v>50</v>
      </c>
      <c r="L2" s="71" t="s">
        <v>51</v>
      </c>
      <c r="M2" s="70" t="s">
        <v>52</v>
      </c>
    </row>
    <row r="3" spans="1:13">
      <c r="A3"/>
      <c r="B3"/>
      <c r="C3"/>
      <c r="D3"/>
      <c r="E3"/>
      <c r="F3" s="69" t="s">
        <v>1</v>
      </c>
      <c r="G3" s="65" t="s">
        <v>45</v>
      </c>
      <c r="H3" s="65" t="s">
        <v>53</v>
      </c>
      <c r="I3" s="65" t="s">
        <v>44</v>
      </c>
      <c r="J3" s="65" t="s">
        <v>54</v>
      </c>
      <c r="K3" s="65" t="s">
        <v>55</v>
      </c>
      <c r="L3" s="65" t="s">
        <v>56</v>
      </c>
      <c r="M3" s="62"/>
    </row>
    <row r="4" spans="1:13" ht="18.75" customHeight="1">
      <c r="A4" s="88" t="s">
        <v>85</v>
      </c>
      <c r="B4"/>
      <c r="C4"/>
      <c r="D4"/>
      <c r="E4"/>
      <c r="F4" s="62"/>
      <c r="G4" s="68">
        <v>1</v>
      </c>
      <c r="H4" s="68">
        <v>2</v>
      </c>
      <c r="I4" s="68">
        <v>3</v>
      </c>
      <c r="J4" s="68">
        <v>4</v>
      </c>
      <c r="K4" s="68">
        <v>5</v>
      </c>
      <c r="L4" s="68">
        <v>6</v>
      </c>
      <c r="M4" s="62"/>
    </row>
    <row r="5" spans="1:13" ht="12.75">
      <c r="A5" s="72" t="s">
        <v>57</v>
      </c>
      <c r="B5"/>
      <c r="C5"/>
      <c r="D5"/>
      <c r="E5"/>
      <c r="F5" s="67"/>
      <c r="G5" s="66"/>
      <c r="H5" s="66"/>
      <c r="I5" s="66"/>
      <c r="J5" s="66"/>
      <c r="K5" s="66"/>
      <c r="L5" s="66"/>
      <c r="M5" s="62"/>
    </row>
    <row r="6" spans="1:13" ht="25.5">
      <c r="A6"/>
      <c r="B6"/>
      <c r="C6"/>
      <c r="D6" s="63" t="s">
        <v>58</v>
      </c>
      <c r="E6" s="63" t="s">
        <v>137</v>
      </c>
      <c r="F6" s="314" t="s">
        <v>71</v>
      </c>
      <c r="G6" s="65">
        <v>30</v>
      </c>
      <c r="H6" s="65">
        <v>30</v>
      </c>
      <c r="I6" s="65"/>
      <c r="J6" s="65"/>
      <c r="K6" s="65"/>
      <c r="L6" s="65"/>
      <c r="M6" s="62"/>
    </row>
    <row r="7" spans="1:13">
      <c r="A7" s="61"/>
      <c r="B7" s="61"/>
      <c r="C7" s="61"/>
      <c r="D7" s="61"/>
      <c r="E7" s="61"/>
      <c r="F7" s="315"/>
      <c r="G7" s="61"/>
      <c r="H7" s="61"/>
      <c r="I7" s="61"/>
      <c r="J7" s="61"/>
      <c r="K7" s="61"/>
      <c r="L7" s="61"/>
      <c r="M7" s="61"/>
    </row>
    <row r="8" spans="1:13" ht="12.75">
      <c r="A8" s="72" t="s">
        <v>216</v>
      </c>
      <c r="B8"/>
      <c r="C8"/>
      <c r="D8"/>
      <c r="E8"/>
      <c r="F8" s="315"/>
      <c r="G8" s="66"/>
      <c r="H8" s="66"/>
      <c r="I8" s="66"/>
      <c r="J8" s="66"/>
      <c r="K8" s="66"/>
      <c r="L8" s="66"/>
      <c r="M8"/>
    </row>
    <row r="9" spans="1:13" ht="25.5">
      <c r="A9"/>
      <c r="B9"/>
      <c r="C9"/>
      <c r="D9" s="63" t="s">
        <v>168</v>
      </c>
      <c r="E9" s="63" t="s">
        <v>138</v>
      </c>
      <c r="F9" s="314" t="s">
        <v>90</v>
      </c>
      <c r="G9" s="105" t="e">
        <f>Backhaul!B9</f>
        <v>#VALUE!</v>
      </c>
      <c r="H9" s="47" t="e">
        <f>G9</f>
        <v>#VALUE!</v>
      </c>
      <c r="I9" s="105"/>
      <c r="J9" s="47"/>
      <c r="K9" s="47"/>
      <c r="L9" s="47"/>
      <c r="M9"/>
    </row>
    <row r="10" spans="1:13" ht="25.5">
      <c r="A10"/>
      <c r="B10"/>
      <c r="C10"/>
      <c r="D10" s="167" t="s">
        <v>139</v>
      </c>
      <c r="E10" s="167" t="s">
        <v>140</v>
      </c>
      <c r="F10" s="316" t="s">
        <v>72</v>
      </c>
      <c r="G10" s="165" t="e">
        <f>Backhaul!B13</f>
        <v>#VALUE!</v>
      </c>
      <c r="H10" s="166" t="e">
        <f>G10</f>
        <v>#VALUE!</v>
      </c>
      <c r="I10" s="165"/>
      <c r="J10" s="166"/>
      <c r="K10" s="166"/>
      <c r="L10" s="166"/>
      <c r="M10"/>
    </row>
    <row r="11" spans="1:13" ht="12.75">
      <c r="D11" s="58"/>
      <c r="E11" s="58"/>
      <c r="F11" s="317"/>
      <c r="G11" s="57"/>
      <c r="H11" s="57"/>
      <c r="I11" s="57"/>
      <c r="J11" s="57"/>
      <c r="K11" s="57"/>
      <c r="L11" s="57"/>
    </row>
    <row r="12" spans="1:13" ht="12.75">
      <c r="A12" s="72" t="s">
        <v>217</v>
      </c>
      <c r="B12"/>
      <c r="C12"/>
      <c r="D12"/>
      <c r="E12"/>
      <c r="F12" s="315"/>
      <c r="G12" s="66"/>
      <c r="H12" s="66"/>
      <c r="I12" s="66"/>
      <c r="J12" s="66"/>
      <c r="K12" s="66"/>
      <c r="L12" s="66"/>
      <c r="M12"/>
    </row>
    <row r="13" spans="1:13" ht="26.25" thickBot="1">
      <c r="A13"/>
      <c r="B13"/>
      <c r="C13"/>
      <c r="D13" s="63" t="s">
        <v>168</v>
      </c>
      <c r="E13" s="63" t="s">
        <v>138</v>
      </c>
      <c r="F13" s="314" t="s">
        <v>90</v>
      </c>
      <c r="G13" s="105" t="e">
        <f>G9</f>
        <v>#VALUE!</v>
      </c>
      <c r="H13" s="105" t="e">
        <f>IF(H9=0,"",H9)</f>
        <v>#VALUE!</v>
      </c>
      <c r="I13" s="105"/>
      <c r="J13" s="105"/>
      <c r="K13" s="105"/>
      <c r="L13" s="105"/>
      <c r="M13"/>
    </row>
    <row r="14" spans="1:13" ht="26.25" thickBot="1">
      <c r="A14"/>
      <c r="B14"/>
      <c r="C14"/>
      <c r="D14" s="219" t="s">
        <v>298</v>
      </c>
      <c r="E14" s="219" t="s">
        <v>138</v>
      </c>
      <c r="F14" s="318" t="s">
        <v>218</v>
      </c>
      <c r="G14" s="301" t="s">
        <v>394</v>
      </c>
      <c r="H14" s="302" t="s">
        <v>394</v>
      </c>
      <c r="I14" s="220"/>
      <c r="J14" s="220"/>
      <c r="K14" s="220"/>
      <c r="L14" s="220"/>
      <c r="M14"/>
    </row>
    <row r="15" spans="1:13" ht="12.75">
      <c r="D15" s="58"/>
      <c r="E15" s="58"/>
      <c r="F15" s="317"/>
      <c r="G15" s="163"/>
      <c r="H15" s="164"/>
      <c r="I15" s="163"/>
      <c r="J15" s="164"/>
      <c r="K15" s="57"/>
      <c r="L15" s="57"/>
    </row>
    <row r="16" spans="1:13" ht="12.75">
      <c r="A16" s="72" t="s">
        <v>208</v>
      </c>
      <c r="B16"/>
      <c r="C16"/>
      <c r="D16"/>
      <c r="E16"/>
      <c r="F16" s="315"/>
      <c r="G16" s="66"/>
      <c r="H16" s="66"/>
      <c r="I16" s="66"/>
      <c r="J16" s="66"/>
      <c r="K16" s="66"/>
      <c r="L16" s="66"/>
      <c r="M16"/>
    </row>
    <row r="17" spans="1:13" ht="38.25" customHeight="1">
      <c r="A17"/>
      <c r="B17"/>
      <c r="C17"/>
      <c r="D17" s="63" t="s">
        <v>209</v>
      </c>
      <c r="E17" s="63" t="s">
        <v>210</v>
      </c>
      <c r="F17" s="314" t="s">
        <v>213</v>
      </c>
      <c r="G17" s="159">
        <v>2</v>
      </c>
      <c r="H17" s="160">
        <v>2</v>
      </c>
      <c r="I17" s="159"/>
      <c r="J17" s="160"/>
      <c r="K17" s="160"/>
      <c r="L17" s="160"/>
      <c r="M17"/>
    </row>
    <row r="18" spans="1:13" ht="12.75">
      <c r="A18"/>
      <c r="B18"/>
      <c r="C18"/>
      <c r="D18" s="156" t="s">
        <v>211</v>
      </c>
      <c r="E18" s="157" t="s">
        <v>212</v>
      </c>
      <c r="F18" s="317"/>
      <c r="G18" s="158" t="str">
        <f t="shared" ref="G18:L18" si="0">IF(OR(G17=1,G17=2), "OK", "ERROR")</f>
        <v>OK</v>
      </c>
      <c r="H18" s="158" t="str">
        <f t="shared" si="0"/>
        <v>OK</v>
      </c>
      <c r="I18" s="158" t="str">
        <f t="shared" si="0"/>
        <v>ERROR</v>
      </c>
      <c r="J18" s="158" t="str">
        <f t="shared" si="0"/>
        <v>ERROR</v>
      </c>
      <c r="K18" s="158" t="str">
        <f t="shared" si="0"/>
        <v>ERROR</v>
      </c>
      <c r="L18" s="158" t="str">
        <f t="shared" si="0"/>
        <v>ERROR</v>
      </c>
      <c r="M18"/>
    </row>
    <row r="19" spans="1:13" ht="10.5" customHeight="1">
      <c r="A19" s="89"/>
      <c r="B19"/>
      <c r="C19"/>
      <c r="D19" s="58"/>
      <c r="E19" s="58"/>
      <c r="F19" s="317"/>
      <c r="G19" s="57"/>
      <c r="H19" s="57"/>
      <c r="I19" s="57"/>
      <c r="J19" s="57"/>
      <c r="K19" s="57"/>
      <c r="L19" s="57"/>
      <c r="M19"/>
    </row>
    <row r="20" spans="1:13" ht="12.75">
      <c r="A20" s="72" t="s">
        <v>283</v>
      </c>
      <c r="B20"/>
      <c r="C20"/>
      <c r="D20"/>
      <c r="E20"/>
      <c r="F20" s="315"/>
      <c r="G20" s="66"/>
      <c r="H20" s="66"/>
      <c r="I20" s="66"/>
      <c r="J20" s="66"/>
      <c r="K20" s="66"/>
      <c r="L20" s="66"/>
      <c r="M20"/>
    </row>
    <row r="21" spans="1:13" ht="26.25" customHeight="1">
      <c r="A21"/>
      <c r="B21"/>
      <c r="C21"/>
      <c r="D21" s="63" t="s">
        <v>279</v>
      </c>
      <c r="E21" s="63" t="s">
        <v>138</v>
      </c>
      <c r="F21" s="314" t="s">
        <v>273</v>
      </c>
      <c r="G21" s="146" t="e">
        <f>'Fault repairs'!G24</f>
        <v>#DIV/0!</v>
      </c>
      <c r="H21" s="146" t="e">
        <f>G21</f>
        <v>#DIV/0!</v>
      </c>
      <c r="I21" s="146"/>
      <c r="J21" s="146"/>
      <c r="K21" s="146"/>
      <c r="L21" s="146"/>
      <c r="M21"/>
    </row>
    <row r="22" spans="1:13" ht="26.25" customHeight="1">
      <c r="A22"/>
      <c r="B22"/>
      <c r="C22"/>
      <c r="D22" s="63" t="s">
        <v>272</v>
      </c>
      <c r="E22" s="63" t="s">
        <v>138</v>
      </c>
      <c r="F22" s="314" t="s">
        <v>274</v>
      </c>
      <c r="G22" s="146" t="e">
        <f>'Fault repairs'!G25</f>
        <v>#DIV/0!</v>
      </c>
      <c r="H22" s="146" t="e">
        <f>G22</f>
        <v>#DIV/0!</v>
      </c>
      <c r="I22" s="146"/>
      <c r="J22" s="146"/>
      <c r="K22" s="146"/>
      <c r="L22" s="146"/>
      <c r="M22"/>
    </row>
    <row r="23" spans="1:13" ht="10.5" customHeight="1">
      <c r="A23" s="89"/>
      <c r="B23"/>
      <c r="C23"/>
      <c r="D23" s="58"/>
      <c r="E23" s="58"/>
      <c r="F23" s="317"/>
      <c r="G23" s="57"/>
      <c r="H23" s="57"/>
      <c r="I23" s="57"/>
      <c r="J23" s="57"/>
      <c r="K23" s="57"/>
      <c r="L23" s="57"/>
      <c r="M23"/>
    </row>
    <row r="24" spans="1:13" ht="13.5" thickBot="1">
      <c r="A24" s="72" t="s">
        <v>303</v>
      </c>
      <c r="B24"/>
      <c r="C24"/>
      <c r="D24" s="58"/>
      <c r="E24" s="58"/>
      <c r="F24" s="317"/>
      <c r="G24" s="57"/>
      <c r="H24" s="57"/>
      <c r="I24" s="57"/>
      <c r="J24" s="57"/>
      <c r="K24" s="57"/>
      <c r="L24" s="57"/>
      <c r="M24"/>
    </row>
    <row r="25" spans="1:13" ht="17.25" customHeight="1" thickBot="1">
      <c r="A25"/>
      <c r="B25"/>
      <c r="C25"/>
      <c r="D25" s="63" t="s">
        <v>304</v>
      </c>
      <c r="E25" s="196" t="s">
        <v>261</v>
      </c>
      <c r="F25" s="314" t="s">
        <v>194</v>
      </c>
      <c r="G25" s="300" t="s">
        <v>394</v>
      </c>
      <c r="H25" s="300" t="s">
        <v>394</v>
      </c>
      <c r="I25" s="244"/>
      <c r="J25" s="244"/>
      <c r="K25" s="244"/>
      <c r="L25" s="244"/>
      <c r="M25"/>
    </row>
    <row r="26" spans="1:13" ht="25.5" customHeight="1" thickBot="1">
      <c r="A26"/>
      <c r="B26"/>
      <c r="C26"/>
      <c r="D26" s="63" t="s">
        <v>305</v>
      </c>
      <c r="E26" s="196" t="s">
        <v>261</v>
      </c>
      <c r="F26" s="314" t="s">
        <v>306</v>
      </c>
      <c r="G26" s="300" t="s">
        <v>394</v>
      </c>
      <c r="H26" s="300" t="s">
        <v>394</v>
      </c>
      <c r="I26" s="244"/>
      <c r="J26" s="244"/>
      <c r="K26" s="244"/>
      <c r="L26" s="244"/>
      <c r="M26"/>
    </row>
    <row r="27" spans="1:13" ht="12.75">
      <c r="A27"/>
      <c r="B27"/>
      <c r="C27"/>
      <c r="D27" s="59"/>
      <c r="E27" s="59"/>
      <c r="F27" s="317"/>
      <c r="G27" s="45"/>
      <c r="H27" s="45"/>
      <c r="I27" s="45"/>
      <c r="J27" s="45"/>
      <c r="K27" s="45"/>
      <c r="L27" s="45"/>
      <c r="M27"/>
    </row>
    <row r="28" spans="1:13" ht="12.75">
      <c r="A28" s="72" t="s">
        <v>86</v>
      </c>
      <c r="B28"/>
      <c r="C28"/>
      <c r="D28" s="58"/>
      <c r="E28" s="58"/>
      <c r="F28" s="317"/>
      <c r="G28" s="57"/>
      <c r="H28" s="57"/>
      <c r="I28" s="57"/>
      <c r="J28" s="57"/>
      <c r="K28" s="57"/>
      <c r="L28" s="57"/>
      <c r="M28"/>
    </row>
    <row r="29" spans="1:13" ht="25.5" customHeight="1">
      <c r="A29"/>
      <c r="B29"/>
      <c r="C29"/>
      <c r="D29" s="63" t="s">
        <v>183</v>
      </c>
      <c r="E29" s="63" t="s">
        <v>138</v>
      </c>
      <c r="F29" s="314" t="s">
        <v>87</v>
      </c>
      <c r="G29" s="146" t="str">
        <f>'SMC costs'!B8</f>
        <v>Removed</v>
      </c>
      <c r="H29" s="146" t="str">
        <f>G29</f>
        <v>Removed</v>
      </c>
      <c r="I29" s="47"/>
      <c r="J29" s="47"/>
      <c r="K29" s="47"/>
      <c r="L29" s="47"/>
      <c r="M29"/>
    </row>
    <row r="30" spans="1:13" ht="27.75" customHeight="1">
      <c r="A30"/>
      <c r="B30"/>
      <c r="C30"/>
      <c r="D30" s="63" t="s">
        <v>184</v>
      </c>
      <c r="E30" s="63" t="s">
        <v>138</v>
      </c>
      <c r="F30" s="314" t="s">
        <v>88</v>
      </c>
      <c r="G30" s="146" t="str">
        <f>'SMC costs'!B9</f>
        <v>Removed</v>
      </c>
      <c r="H30" s="146" t="str">
        <f>G30</f>
        <v>Removed</v>
      </c>
      <c r="I30" s="47"/>
      <c r="J30" s="47"/>
      <c r="K30" s="47"/>
      <c r="L30" s="47"/>
      <c r="M30"/>
    </row>
    <row r="31" spans="1:13" ht="29.25" customHeight="1">
      <c r="A31"/>
      <c r="B31"/>
      <c r="C31"/>
      <c r="D31" s="63" t="s">
        <v>185</v>
      </c>
      <c r="E31" s="63" t="s">
        <v>138</v>
      </c>
      <c r="F31" s="314" t="s">
        <v>189</v>
      </c>
      <c r="G31" s="146" t="str">
        <f>'SMC costs'!B10</f>
        <v>Removed</v>
      </c>
      <c r="H31" s="146" t="str">
        <f>G31</f>
        <v>Removed</v>
      </c>
      <c r="I31" s="47"/>
      <c r="J31" s="47"/>
      <c r="K31" s="47"/>
      <c r="L31" s="47"/>
      <c r="M31"/>
    </row>
    <row r="32" spans="1:13" ht="12.75">
      <c r="A32"/>
      <c r="B32"/>
      <c r="C32"/>
      <c r="D32" s="59"/>
      <c r="E32" s="59"/>
      <c r="F32" s="317"/>
      <c r="G32" s="45"/>
      <c r="H32" s="45"/>
      <c r="I32" s="45"/>
      <c r="J32" s="45"/>
      <c r="K32" s="45"/>
      <c r="L32" s="45"/>
      <c r="M32"/>
    </row>
    <row r="33" spans="1:13" ht="12.75">
      <c r="A33"/>
      <c r="B33"/>
      <c r="C33"/>
      <c r="D33" s="58"/>
      <c r="E33" s="58"/>
      <c r="F33" s="317"/>
      <c r="G33" s="57"/>
      <c r="H33" s="57"/>
      <c r="I33" s="57"/>
      <c r="J33" s="57"/>
      <c r="K33" s="57"/>
      <c r="L33" s="57"/>
      <c r="M33"/>
    </row>
    <row r="34" spans="1:13" ht="23.25">
      <c r="A34" s="88" t="s">
        <v>110</v>
      </c>
      <c r="F34" s="319"/>
      <c r="G34" s="16"/>
    </row>
    <row r="35" spans="1:13" ht="12.75">
      <c r="A35" s="72" t="s">
        <v>67</v>
      </c>
      <c r="B35"/>
      <c r="C35"/>
      <c r="D35"/>
      <c r="E35"/>
      <c r="F35" s="315"/>
      <c r="G35" s="66"/>
      <c r="H35" s="66"/>
      <c r="I35" s="66"/>
      <c r="J35" s="66"/>
      <c r="K35" s="66"/>
      <c r="L35" s="66"/>
      <c r="M35"/>
    </row>
    <row r="36" spans="1:13" ht="25.5">
      <c r="A36"/>
      <c r="B36"/>
      <c r="C36"/>
      <c r="D36" s="63" t="s">
        <v>63</v>
      </c>
      <c r="E36" s="63" t="s">
        <v>89</v>
      </c>
      <c r="F36" s="314" t="s">
        <v>73</v>
      </c>
      <c r="G36" s="65">
        <v>0</v>
      </c>
      <c r="H36" s="65">
        <v>1</v>
      </c>
      <c r="I36" s="65"/>
      <c r="J36" s="65"/>
      <c r="K36" s="65"/>
      <c r="L36" s="65"/>
      <c r="M36" s="62"/>
    </row>
    <row r="37" spans="1:13" ht="25.5">
      <c r="A37"/>
      <c r="B37"/>
      <c r="C37"/>
      <c r="D37" s="63" t="s">
        <v>64</v>
      </c>
      <c r="E37" s="63" t="s">
        <v>89</v>
      </c>
      <c r="F37" s="314" t="s">
        <v>74</v>
      </c>
      <c r="G37" s="65">
        <v>0</v>
      </c>
      <c r="H37" s="65">
        <v>1</v>
      </c>
      <c r="I37" s="65"/>
      <c r="J37" s="65"/>
      <c r="K37" s="65"/>
      <c r="L37" s="65"/>
      <c r="M37" s="62"/>
    </row>
    <row r="38" spans="1:13" ht="25.5">
      <c r="A38"/>
      <c r="B38"/>
      <c r="C38"/>
      <c r="D38" s="63" t="s">
        <v>19</v>
      </c>
      <c r="E38" s="63" t="s">
        <v>89</v>
      </c>
      <c r="F38" s="314" t="s">
        <v>103</v>
      </c>
      <c r="G38" s="65">
        <v>1</v>
      </c>
      <c r="H38" s="65">
        <v>1</v>
      </c>
      <c r="I38" s="65"/>
      <c r="J38" s="65"/>
      <c r="K38" s="65"/>
      <c r="L38" s="65"/>
      <c r="M38" s="62"/>
    </row>
    <row r="39" spans="1:13" ht="25.5">
      <c r="A39"/>
      <c r="B39"/>
      <c r="C39"/>
      <c r="D39" s="63" t="s">
        <v>100</v>
      </c>
      <c r="E39" s="63" t="s">
        <v>89</v>
      </c>
      <c r="F39" s="314" t="s">
        <v>101</v>
      </c>
      <c r="G39" s="65">
        <v>1</v>
      </c>
      <c r="H39" s="65">
        <v>1</v>
      </c>
      <c r="I39" s="65"/>
      <c r="J39" s="65"/>
      <c r="K39" s="65"/>
      <c r="L39" s="65"/>
      <c r="M39" s="62"/>
    </row>
    <row r="40" spans="1:13" ht="25.5">
      <c r="A40"/>
      <c r="B40"/>
      <c r="C40"/>
      <c r="D40" s="63" t="s">
        <v>263</v>
      </c>
      <c r="E40" s="63" t="s">
        <v>89</v>
      </c>
      <c r="F40" s="314" t="s">
        <v>102</v>
      </c>
      <c r="G40" s="65">
        <v>0</v>
      </c>
      <c r="H40" s="65">
        <v>1</v>
      </c>
      <c r="I40" s="65"/>
      <c r="J40" s="65"/>
      <c r="K40" s="65"/>
      <c r="L40" s="65"/>
      <c r="M40" s="62"/>
    </row>
    <row r="41" spans="1:13" ht="25.5">
      <c r="A41"/>
      <c r="B41"/>
      <c r="C41"/>
      <c r="D41" s="63" t="s">
        <v>65</v>
      </c>
      <c r="E41" s="63" t="s">
        <v>89</v>
      </c>
      <c r="F41" s="314" t="s">
        <v>76</v>
      </c>
      <c r="G41" s="65">
        <v>0</v>
      </c>
      <c r="H41" s="65">
        <v>1</v>
      </c>
      <c r="I41" s="65"/>
      <c r="J41" s="65"/>
      <c r="K41" s="65"/>
      <c r="L41" s="65"/>
      <c r="M41" s="62"/>
    </row>
    <row r="42" spans="1:13" ht="25.5">
      <c r="A42"/>
      <c r="B42"/>
      <c r="C42"/>
      <c r="D42" s="63" t="s">
        <v>290</v>
      </c>
      <c r="E42" s="63" t="s">
        <v>89</v>
      </c>
      <c r="F42" s="314" t="s">
        <v>75</v>
      </c>
      <c r="G42" s="65">
        <v>0</v>
      </c>
      <c r="H42" s="65">
        <v>0</v>
      </c>
      <c r="I42" s="65"/>
      <c r="J42" s="65"/>
      <c r="K42" s="65"/>
      <c r="L42" s="65"/>
      <c r="M42" s="62"/>
    </row>
    <row r="43" spans="1:13">
      <c r="A43"/>
      <c r="B43"/>
      <c r="C43"/>
      <c r="D43"/>
      <c r="E43"/>
      <c r="F43" s="315"/>
      <c r="G43"/>
      <c r="H43"/>
      <c r="I43"/>
      <c r="J43"/>
      <c r="K43"/>
      <c r="L43"/>
      <c r="M43"/>
    </row>
    <row r="44" spans="1:13" ht="12.75">
      <c r="A44" s="72" t="s">
        <v>68</v>
      </c>
      <c r="B44"/>
      <c r="C44"/>
      <c r="D44"/>
      <c r="E44"/>
      <c r="F44" s="315"/>
      <c r="G44" s="66"/>
      <c r="H44" s="66"/>
      <c r="I44" s="66"/>
      <c r="J44" s="66"/>
      <c r="K44" s="66"/>
      <c r="L44" s="66"/>
      <c r="M44"/>
    </row>
    <row r="45" spans="1:13" ht="25.5">
      <c r="A45"/>
      <c r="B45"/>
      <c r="C45"/>
      <c r="D45" s="63" t="s">
        <v>69</v>
      </c>
      <c r="E45" s="63" t="s">
        <v>89</v>
      </c>
      <c r="F45" s="314" t="s">
        <v>77</v>
      </c>
      <c r="G45" s="65">
        <v>0</v>
      </c>
      <c r="H45" s="65">
        <v>0</v>
      </c>
      <c r="I45" s="65"/>
      <c r="J45" s="65"/>
      <c r="K45" s="65"/>
      <c r="L45" s="65"/>
      <c r="M45" s="62"/>
    </row>
    <row r="46" spans="1:13" ht="25.5">
      <c r="A46"/>
      <c r="B46"/>
      <c r="C46"/>
      <c r="D46" s="63" t="s">
        <v>99</v>
      </c>
      <c r="E46" s="63" t="s">
        <v>89</v>
      </c>
      <c r="F46" s="314" t="s">
        <v>78</v>
      </c>
      <c r="G46" s="65">
        <v>1</v>
      </c>
      <c r="H46" s="65">
        <v>1</v>
      </c>
      <c r="I46" s="65"/>
      <c r="J46" s="65"/>
      <c r="K46" s="65"/>
      <c r="L46" s="65"/>
      <c r="M46" s="62"/>
    </row>
    <row r="47" spans="1:13" ht="25.5">
      <c r="A47"/>
      <c r="B47"/>
      <c r="C47"/>
      <c r="D47" s="63" t="s">
        <v>65</v>
      </c>
      <c r="E47" s="63" t="s">
        <v>89</v>
      </c>
      <c r="F47" s="314" t="s">
        <v>79</v>
      </c>
      <c r="G47" s="65">
        <v>0</v>
      </c>
      <c r="H47" s="65">
        <v>0</v>
      </c>
      <c r="I47" s="65"/>
      <c r="J47" s="65"/>
      <c r="K47" s="65"/>
      <c r="L47" s="65"/>
      <c r="M47" s="62"/>
    </row>
    <row r="48" spans="1:13" ht="25.5">
      <c r="A48"/>
      <c r="B48"/>
      <c r="C48"/>
      <c r="D48" s="63" t="s">
        <v>66</v>
      </c>
      <c r="E48" s="63" t="s">
        <v>89</v>
      </c>
      <c r="F48" s="314" t="s">
        <v>80</v>
      </c>
      <c r="G48" s="65">
        <v>1</v>
      </c>
      <c r="H48" s="65">
        <v>1</v>
      </c>
      <c r="I48" s="65"/>
      <c r="J48" s="65"/>
      <c r="K48" s="65"/>
      <c r="L48" s="65"/>
      <c r="M48" s="62"/>
    </row>
    <row r="49" spans="1:13" ht="25.5">
      <c r="A49"/>
      <c r="B49"/>
      <c r="C49"/>
      <c r="D49" s="63" t="s">
        <v>70</v>
      </c>
      <c r="E49" s="63" t="s">
        <v>89</v>
      </c>
      <c r="F49" s="314" t="s">
        <v>81</v>
      </c>
      <c r="G49" s="65">
        <v>1</v>
      </c>
      <c r="H49" s="65">
        <v>1</v>
      </c>
      <c r="I49" s="65"/>
      <c r="J49" s="65"/>
      <c r="K49" s="65"/>
      <c r="L49" s="65"/>
      <c r="M49" s="62"/>
    </row>
    <row r="50" spans="1:13">
      <c r="A50"/>
      <c r="B50"/>
      <c r="C50"/>
      <c r="D50"/>
      <c r="E50"/>
      <c r="F50" s="315"/>
      <c r="G50"/>
      <c r="H50"/>
      <c r="I50"/>
      <c r="J50"/>
      <c r="K50"/>
      <c r="L50"/>
      <c r="M50"/>
    </row>
    <row r="51" spans="1:13" ht="23.25">
      <c r="A51" s="88" t="s">
        <v>130</v>
      </c>
      <c r="F51" s="319"/>
      <c r="G51" s="16"/>
    </row>
    <row r="52" spans="1:13" ht="12.75">
      <c r="A52" s="72" t="s">
        <v>319</v>
      </c>
      <c r="B52"/>
      <c r="C52"/>
      <c r="D52" s="58"/>
      <c r="E52" s="58"/>
      <c r="F52" s="317"/>
      <c r="G52" s="43"/>
      <c r="H52" s="43"/>
      <c r="I52" s="43"/>
      <c r="J52" s="43"/>
      <c r="K52" s="43"/>
      <c r="L52" s="43"/>
      <c r="M52"/>
    </row>
    <row r="53" spans="1:13" ht="17.25" customHeight="1">
      <c r="A53"/>
      <c r="B53"/>
      <c r="C53"/>
      <c r="D53" s="63" t="s">
        <v>320</v>
      </c>
      <c r="E53" s="196" t="s">
        <v>321</v>
      </c>
      <c r="F53" s="314" t="s">
        <v>322</v>
      </c>
      <c r="G53" s="47">
        <v>-1.7500000000000002E-2</v>
      </c>
      <c r="H53" s="47">
        <f>G53</f>
        <v>-1.7500000000000002E-2</v>
      </c>
      <c r="I53" s="47"/>
      <c r="J53" s="47"/>
      <c r="K53" s="47"/>
      <c r="L53" s="47"/>
      <c r="M53"/>
    </row>
    <row r="54" spans="1:13" ht="17.25" customHeight="1">
      <c r="A54"/>
      <c r="B54"/>
      <c r="C54"/>
      <c r="D54" s="63" t="s">
        <v>323</v>
      </c>
      <c r="E54" s="196" t="s">
        <v>321</v>
      </c>
      <c r="F54" s="314" t="s">
        <v>324</v>
      </c>
      <c r="G54" s="47">
        <v>0.05</v>
      </c>
      <c r="H54" s="47">
        <f>G54</f>
        <v>0.05</v>
      </c>
      <c r="I54" s="47"/>
      <c r="J54" s="47"/>
      <c r="K54" s="47"/>
      <c r="L54" s="47"/>
      <c r="M54"/>
    </row>
    <row r="55" spans="1:13" ht="12.75">
      <c r="A55"/>
      <c r="B55"/>
      <c r="C55"/>
      <c r="D55" s="59"/>
      <c r="E55" s="59"/>
      <c r="F55" s="317"/>
      <c r="G55" s="232"/>
      <c r="H55" s="232"/>
      <c r="I55" s="232"/>
      <c r="J55" s="232"/>
      <c r="K55" s="232"/>
      <c r="L55" s="232"/>
      <c r="M55"/>
    </row>
    <row r="56" spans="1:13" ht="12.75">
      <c r="A56"/>
      <c r="B56"/>
      <c r="C56"/>
      <c r="D56" s="58"/>
      <c r="E56" s="58"/>
      <c r="F56" s="317"/>
      <c r="G56" s="43"/>
      <c r="H56" s="43"/>
      <c r="I56" s="43"/>
      <c r="J56" s="43"/>
      <c r="K56" s="43"/>
      <c r="L56" s="43"/>
      <c r="M56"/>
    </row>
    <row r="57" spans="1:13" ht="12.75">
      <c r="A57" s="72" t="s">
        <v>325</v>
      </c>
      <c r="B57"/>
      <c r="C57"/>
      <c r="D57" s="58"/>
      <c r="E57" s="58"/>
      <c r="F57" s="317"/>
      <c r="G57" s="43"/>
      <c r="H57" s="43"/>
      <c r="I57" s="43"/>
      <c r="J57" s="43"/>
      <c r="K57" s="43"/>
      <c r="L57" s="43"/>
      <c r="M57"/>
    </row>
    <row r="58" spans="1:13" ht="17.25" customHeight="1">
      <c r="A58"/>
      <c r="B58"/>
      <c r="C58"/>
      <c r="D58" s="63" t="s">
        <v>320</v>
      </c>
      <c r="E58" s="196" t="s">
        <v>321</v>
      </c>
      <c r="F58" s="314" t="s">
        <v>326</v>
      </c>
      <c r="G58" s="47">
        <v>-1.7500000000000002E-2</v>
      </c>
      <c r="H58" s="47">
        <f>G58</f>
        <v>-1.7500000000000002E-2</v>
      </c>
      <c r="I58" s="47"/>
      <c r="J58" s="47"/>
      <c r="K58" s="47"/>
      <c r="L58" s="47"/>
      <c r="M58"/>
    </row>
    <row r="59" spans="1:13" ht="17.25" customHeight="1">
      <c r="A59"/>
      <c r="B59"/>
      <c r="C59"/>
      <c r="D59" s="63" t="s">
        <v>323</v>
      </c>
      <c r="E59" s="196" t="s">
        <v>321</v>
      </c>
      <c r="F59" s="314" t="s">
        <v>327</v>
      </c>
      <c r="G59" s="47">
        <v>0.05</v>
      </c>
      <c r="H59" s="47">
        <f>G59</f>
        <v>0.05</v>
      </c>
      <c r="I59" s="47"/>
      <c r="J59" s="47"/>
      <c r="K59" s="47"/>
      <c r="L59" s="47"/>
      <c r="M59"/>
    </row>
    <row r="60" spans="1:13" ht="12.75">
      <c r="A60"/>
      <c r="B60"/>
      <c r="C60"/>
      <c r="D60" s="59"/>
      <c r="E60" s="59"/>
      <c r="F60" s="317"/>
      <c r="G60" s="232"/>
      <c r="H60" s="232"/>
      <c r="I60" s="232"/>
      <c r="J60" s="232"/>
      <c r="K60" s="232"/>
      <c r="L60" s="232"/>
      <c r="M60"/>
    </row>
    <row r="61" spans="1:13" ht="12.75">
      <c r="A61"/>
      <c r="B61"/>
      <c r="C61"/>
      <c r="D61" s="58"/>
      <c r="E61" s="58"/>
      <c r="F61" s="317"/>
      <c r="G61" s="43"/>
      <c r="H61" s="43"/>
      <c r="I61" s="43"/>
      <c r="J61" s="43"/>
      <c r="K61" s="43"/>
      <c r="L61" s="43"/>
      <c r="M61"/>
    </row>
    <row r="62" spans="1:13" ht="12.75">
      <c r="A62" s="72" t="s">
        <v>328</v>
      </c>
      <c r="B62"/>
      <c r="C62"/>
      <c r="D62" s="58"/>
      <c r="E62" s="58"/>
      <c r="F62" s="317"/>
      <c r="G62" s="43"/>
      <c r="H62" s="43"/>
      <c r="I62" s="43"/>
      <c r="J62" s="43"/>
      <c r="K62" s="43"/>
      <c r="L62" s="43"/>
      <c r="M62"/>
    </row>
    <row r="63" spans="1:13" ht="17.25" customHeight="1">
      <c r="A63"/>
      <c r="B63"/>
      <c r="C63"/>
      <c r="D63" s="63" t="s">
        <v>320</v>
      </c>
      <c r="E63" s="196" t="s">
        <v>321</v>
      </c>
      <c r="F63" s="314" t="s">
        <v>329</v>
      </c>
      <c r="G63" s="47">
        <v>-1.7500000000000002E-2</v>
      </c>
      <c r="H63" s="47">
        <f>G63</f>
        <v>-1.7500000000000002E-2</v>
      </c>
      <c r="I63" s="47"/>
      <c r="J63" s="47"/>
      <c r="K63" s="47"/>
      <c r="L63" s="47"/>
      <c r="M63"/>
    </row>
    <row r="64" spans="1:13" ht="17.25" customHeight="1">
      <c r="A64"/>
      <c r="B64"/>
      <c r="C64"/>
      <c r="D64" s="63" t="s">
        <v>323</v>
      </c>
      <c r="E64" s="196" t="s">
        <v>321</v>
      </c>
      <c r="F64" s="314" t="s">
        <v>330</v>
      </c>
      <c r="G64" s="47">
        <v>0</v>
      </c>
      <c r="H64" s="47">
        <f>G64</f>
        <v>0</v>
      </c>
      <c r="I64" s="47"/>
      <c r="J64" s="47"/>
      <c r="K64" s="47"/>
      <c r="L64" s="47"/>
      <c r="M64"/>
    </row>
    <row r="65" spans="1:13" ht="12.75">
      <c r="A65"/>
      <c r="B65"/>
      <c r="C65"/>
      <c r="D65" s="59"/>
      <c r="E65" s="59"/>
      <c r="F65" s="317"/>
      <c r="G65" s="232"/>
      <c r="H65" s="232"/>
      <c r="I65" s="232"/>
      <c r="J65" s="232"/>
      <c r="K65" s="232"/>
      <c r="L65" s="232"/>
      <c r="M65"/>
    </row>
    <row r="66" spans="1:13" ht="12.75">
      <c r="A66"/>
      <c r="B66"/>
      <c r="C66"/>
      <c r="D66" s="58"/>
      <c r="E66" s="58"/>
      <c r="F66" s="317"/>
      <c r="G66" s="43"/>
      <c r="H66" s="43"/>
      <c r="I66" s="43"/>
      <c r="J66" s="43"/>
      <c r="K66" s="43"/>
      <c r="L66" s="43"/>
      <c r="M66"/>
    </row>
    <row r="67" spans="1:13" ht="12.75">
      <c r="A67" s="233" t="s">
        <v>331</v>
      </c>
      <c r="B67" s="1"/>
      <c r="C67" s="1"/>
      <c r="D67" s="1"/>
      <c r="E67" s="1"/>
      <c r="F67" s="315"/>
      <c r="G67" s="234"/>
      <c r="H67" s="234"/>
      <c r="I67" s="234"/>
      <c r="J67" s="234"/>
      <c r="K67" s="234"/>
      <c r="L67" s="234"/>
      <c r="M67"/>
    </row>
    <row r="68" spans="1:13" ht="15.75" customHeight="1">
      <c r="A68"/>
      <c r="B68"/>
      <c r="C68"/>
      <c r="D68" s="63" t="s">
        <v>320</v>
      </c>
      <c r="E68" s="196" t="s">
        <v>321</v>
      </c>
      <c r="F68" s="314" t="s">
        <v>332</v>
      </c>
      <c r="G68" s="105">
        <v>-1.7500000000000002E-2</v>
      </c>
      <c r="H68" s="47">
        <f>G68</f>
        <v>-1.7500000000000002E-2</v>
      </c>
      <c r="I68" s="47"/>
      <c r="J68" s="47"/>
      <c r="K68" s="47"/>
      <c r="L68" s="47"/>
      <c r="M68"/>
    </row>
    <row r="69" spans="1:13" ht="17.25" customHeight="1">
      <c r="A69"/>
      <c r="B69"/>
      <c r="C69"/>
      <c r="D69" s="63" t="s">
        <v>323</v>
      </c>
      <c r="E69" s="196" t="s">
        <v>321</v>
      </c>
      <c r="F69" s="314" t="s">
        <v>333</v>
      </c>
      <c r="G69" s="47">
        <v>0.05</v>
      </c>
      <c r="H69" s="47">
        <f>G69</f>
        <v>0.05</v>
      </c>
      <c r="I69" s="47"/>
      <c r="J69" s="47"/>
      <c r="K69" s="47"/>
      <c r="L69" s="47"/>
      <c r="M69"/>
    </row>
    <row r="70" spans="1:13" ht="12.75">
      <c r="A70"/>
      <c r="B70"/>
      <c r="C70"/>
      <c r="D70" s="59"/>
      <c r="E70" s="59"/>
      <c r="F70" s="317"/>
      <c r="G70" s="232"/>
      <c r="H70" s="232"/>
      <c r="I70" s="232"/>
      <c r="J70" s="232"/>
      <c r="K70" s="232"/>
      <c r="L70" s="232"/>
      <c r="M70"/>
    </row>
    <row r="71" spans="1:13" ht="12.75">
      <c r="A71"/>
      <c r="B71"/>
      <c r="C71"/>
      <c r="D71" s="58"/>
      <c r="E71" s="58"/>
      <c r="F71" s="317"/>
      <c r="G71" s="43"/>
      <c r="H71" s="43"/>
      <c r="I71" s="43"/>
      <c r="J71" s="43"/>
      <c r="K71" s="43"/>
      <c r="L71" s="43"/>
      <c r="M71"/>
    </row>
    <row r="72" spans="1:13" ht="13.5" thickBot="1">
      <c r="A72" s="233" t="s">
        <v>339</v>
      </c>
      <c r="B72" s="1"/>
      <c r="C72" s="1"/>
      <c r="D72" s="1"/>
      <c r="E72" s="1"/>
      <c r="F72" s="315"/>
      <c r="G72" s="234"/>
      <c r="H72" s="234"/>
      <c r="I72" s="234"/>
      <c r="J72" s="234"/>
      <c r="K72" s="234"/>
      <c r="L72" s="234"/>
      <c r="M72"/>
    </row>
    <row r="73" spans="1:13" ht="15.75" customHeight="1" thickBot="1">
      <c r="A73"/>
      <c r="B73"/>
      <c r="C73"/>
      <c r="D73" s="63" t="s">
        <v>339</v>
      </c>
      <c r="E73" s="63" t="s">
        <v>34</v>
      </c>
      <c r="F73" s="314" t="s">
        <v>342</v>
      </c>
      <c r="G73" s="303" t="s">
        <v>394</v>
      </c>
      <c r="H73" s="303" t="s">
        <v>394</v>
      </c>
      <c r="I73" s="246"/>
      <c r="J73" s="246"/>
      <c r="K73" s="47"/>
      <c r="L73" s="47"/>
      <c r="M73"/>
    </row>
    <row r="74" spans="1:13" ht="12.75">
      <c r="A74"/>
      <c r="B74"/>
      <c r="C74"/>
      <c r="D74" s="59"/>
      <c r="E74" s="59"/>
      <c r="F74" s="317"/>
      <c r="G74" s="292"/>
      <c r="H74" s="292"/>
      <c r="I74" s="232"/>
      <c r="J74" s="232"/>
      <c r="K74" s="232"/>
      <c r="L74" s="232"/>
      <c r="M74"/>
    </row>
    <row r="75" spans="1:13" ht="12.75">
      <c r="A75"/>
      <c r="B75"/>
      <c r="C75"/>
      <c r="D75" s="58"/>
      <c r="E75" s="58"/>
      <c r="F75" s="317"/>
      <c r="G75" s="293"/>
      <c r="H75" s="293"/>
      <c r="I75" s="43"/>
      <c r="J75" s="43"/>
      <c r="K75" s="43"/>
      <c r="L75" s="43"/>
      <c r="M75"/>
    </row>
    <row r="76" spans="1:13" ht="13.5" thickBot="1">
      <c r="A76" s="233" t="s">
        <v>340</v>
      </c>
      <c r="B76" s="1"/>
      <c r="C76" s="1"/>
      <c r="D76" s="1"/>
      <c r="E76" s="1"/>
      <c r="F76" s="315"/>
      <c r="G76" s="294"/>
      <c r="H76" s="294"/>
      <c r="I76" s="234"/>
      <c r="J76" s="234"/>
      <c r="K76" s="234"/>
      <c r="L76" s="234"/>
      <c r="M76"/>
    </row>
    <row r="77" spans="1:13" ht="15.75" customHeight="1" thickBot="1">
      <c r="A77"/>
      <c r="B77"/>
      <c r="C77"/>
      <c r="D77" s="63" t="s">
        <v>340</v>
      </c>
      <c r="E77" s="63" t="s">
        <v>34</v>
      </c>
      <c r="F77" s="314" t="s">
        <v>341</v>
      </c>
      <c r="G77" s="303" t="s">
        <v>394</v>
      </c>
      <c r="H77" s="303" t="s">
        <v>394</v>
      </c>
      <c r="I77" s="246"/>
      <c r="J77" s="246"/>
      <c r="K77" s="47"/>
      <c r="L77" s="47"/>
      <c r="M77"/>
    </row>
    <row r="78" spans="1:13" ht="12.75">
      <c r="A78"/>
      <c r="B78"/>
      <c r="C78"/>
      <c r="D78" s="59"/>
      <c r="E78" s="59"/>
      <c r="F78" s="317"/>
      <c r="G78" s="292"/>
      <c r="H78" s="292"/>
      <c r="I78" s="232"/>
      <c r="J78" s="232"/>
      <c r="K78" s="232"/>
      <c r="L78" s="232"/>
      <c r="M78"/>
    </row>
    <row r="79" spans="1:13" ht="13.5" thickBot="1">
      <c r="A79" s="233" t="s">
        <v>355</v>
      </c>
      <c r="B79"/>
      <c r="C79"/>
      <c r="D79" s="58"/>
      <c r="E79" s="58"/>
      <c r="F79" s="317"/>
      <c r="G79" s="293"/>
      <c r="H79" s="293"/>
      <c r="I79" s="43"/>
      <c r="J79" s="43"/>
      <c r="K79" s="43"/>
      <c r="L79" s="43"/>
      <c r="M79"/>
    </row>
    <row r="80" spans="1:13" ht="29.25" customHeight="1" thickBot="1">
      <c r="A80"/>
      <c r="B80"/>
      <c r="C80"/>
      <c r="D80" s="63" t="s">
        <v>356</v>
      </c>
      <c r="E80" s="63" t="s">
        <v>358</v>
      </c>
      <c r="F80" s="314" t="s">
        <v>357</v>
      </c>
      <c r="G80" s="304" t="s">
        <v>394</v>
      </c>
      <c r="H80" s="304" t="s">
        <v>394</v>
      </c>
      <c r="I80" s="245"/>
      <c r="J80" s="245"/>
      <c r="K80" s="245"/>
      <c r="L80" s="245"/>
      <c r="M80"/>
    </row>
    <row r="81" spans="1:13" ht="12.75">
      <c r="A81"/>
      <c r="B81"/>
      <c r="C81"/>
      <c r="D81" s="58"/>
      <c r="E81" s="58"/>
      <c r="F81" s="317"/>
      <c r="G81" s="252"/>
      <c r="H81" s="43"/>
      <c r="I81" s="43"/>
      <c r="J81" s="43"/>
      <c r="K81" s="43"/>
      <c r="L81" s="43"/>
      <c r="M81"/>
    </row>
    <row r="82" spans="1:13" ht="12.75">
      <c r="A82"/>
      <c r="B82"/>
      <c r="C82"/>
      <c r="D82" s="58"/>
      <c r="E82" s="58"/>
      <c r="F82" s="317"/>
      <c r="G82" s="43"/>
      <c r="H82" s="43"/>
      <c r="I82" s="43"/>
      <c r="J82" s="43"/>
      <c r="K82" s="43"/>
      <c r="L82" s="43"/>
      <c r="M82"/>
    </row>
    <row r="83" spans="1:13" ht="12.75">
      <c r="A83" s="72" t="s">
        <v>243</v>
      </c>
      <c r="B83"/>
      <c r="C83"/>
      <c r="D83"/>
      <c r="E83"/>
      <c r="F83" s="315"/>
      <c r="G83" s="66"/>
      <c r="H83" s="66"/>
      <c r="I83" s="66"/>
      <c r="J83" s="66"/>
      <c r="K83" s="66"/>
      <c r="L83" s="66"/>
      <c r="M83"/>
    </row>
    <row r="84" spans="1:13" ht="12.75">
      <c r="A84"/>
      <c r="B84"/>
      <c r="C84"/>
      <c r="D84" s="63" t="s">
        <v>233</v>
      </c>
      <c r="E84" s="63" t="s">
        <v>234</v>
      </c>
      <c r="F84" s="314" t="s">
        <v>235</v>
      </c>
      <c r="G84" s="298">
        <v>1979994.6994530063</v>
      </c>
      <c r="H84" s="298">
        <v>1979994.6994530063</v>
      </c>
      <c r="I84" s="198"/>
      <c r="J84" s="198"/>
      <c r="K84" s="198"/>
      <c r="L84" s="198"/>
      <c r="M84" s="62"/>
    </row>
    <row r="85" spans="1:13" ht="12.75">
      <c r="A85"/>
      <c r="B85"/>
      <c r="C85"/>
      <c r="D85" s="63" t="s">
        <v>236</v>
      </c>
      <c r="E85" s="63" t="s">
        <v>234</v>
      </c>
      <c r="F85" s="314" t="s">
        <v>239</v>
      </c>
      <c r="G85" s="298">
        <v>1894599.3219721655</v>
      </c>
      <c r="H85" s="298">
        <v>1894599.3219721655</v>
      </c>
      <c r="I85" s="198"/>
      <c r="J85" s="198"/>
      <c r="K85" s="198"/>
      <c r="L85" s="198"/>
      <c r="M85" s="62"/>
    </row>
    <row r="86" spans="1:13" ht="12.75">
      <c r="A86"/>
      <c r="B86"/>
      <c r="C86"/>
      <c r="D86" s="63" t="s">
        <v>237</v>
      </c>
      <c r="E86" s="63" t="s">
        <v>234</v>
      </c>
      <c r="F86" s="314" t="s">
        <v>240</v>
      </c>
      <c r="G86" s="298">
        <v>1812886.9697525084</v>
      </c>
      <c r="H86" s="298">
        <v>1812886.9697525084</v>
      </c>
      <c r="I86" s="198"/>
      <c r="J86" s="198"/>
      <c r="K86" s="198"/>
      <c r="L86" s="198"/>
      <c r="M86" s="62"/>
    </row>
    <row r="87" spans="1:13" ht="12.75">
      <c r="A87"/>
      <c r="B87"/>
      <c r="C87"/>
      <c r="D87" s="63" t="s">
        <v>238</v>
      </c>
      <c r="E87" s="63" t="s">
        <v>234</v>
      </c>
      <c r="F87" s="314" t="s">
        <v>241</v>
      </c>
      <c r="G87" s="298">
        <v>1734698.7972513996</v>
      </c>
      <c r="H87" s="298">
        <v>1734698.7972513996</v>
      </c>
      <c r="I87" s="198"/>
      <c r="J87" s="198"/>
      <c r="K87" s="198"/>
      <c r="L87" s="198"/>
      <c r="M87" s="62"/>
    </row>
    <row r="88" spans="1:13" ht="12.75">
      <c r="D88" s="192"/>
      <c r="E88" s="192"/>
      <c r="F88" s="320"/>
      <c r="G88" s="295"/>
      <c r="H88" s="295"/>
      <c r="I88" s="193"/>
      <c r="J88" s="193"/>
      <c r="K88" s="193"/>
      <c r="L88" s="193"/>
      <c r="M88" s="64"/>
    </row>
    <row r="89" spans="1:13" ht="12.75">
      <c r="A89" s="72" t="s">
        <v>242</v>
      </c>
      <c r="D89" s="194"/>
      <c r="E89" s="194"/>
      <c r="F89" s="321"/>
      <c r="G89" s="296"/>
      <c r="H89" s="296"/>
      <c r="I89" s="195"/>
      <c r="J89" s="195"/>
      <c r="K89" s="195"/>
      <c r="L89" s="195"/>
      <c r="M89" s="64"/>
    </row>
    <row r="90" spans="1:13" ht="12.75">
      <c r="A90"/>
      <c r="B90"/>
      <c r="C90"/>
      <c r="D90" s="63" t="s">
        <v>233</v>
      </c>
      <c r="E90" s="63" t="s">
        <v>234</v>
      </c>
      <c r="F90" s="314" t="s">
        <v>244</v>
      </c>
      <c r="G90" s="298">
        <v>115211.23215495952</v>
      </c>
      <c r="H90" s="298">
        <v>115211.23215495952</v>
      </c>
      <c r="I90" s="198"/>
      <c r="J90" s="198"/>
      <c r="K90" s="198"/>
      <c r="L90" s="198"/>
      <c r="M90" s="62"/>
    </row>
    <row r="91" spans="1:13" ht="12.75">
      <c r="A91"/>
      <c r="B91"/>
      <c r="C91"/>
      <c r="D91" s="63" t="s">
        <v>236</v>
      </c>
      <c r="E91" s="63" t="s">
        <v>234</v>
      </c>
      <c r="F91" s="314" t="s">
        <v>245</v>
      </c>
      <c r="G91" s="298">
        <v>183455.23696761933</v>
      </c>
      <c r="H91" s="298">
        <v>183455.23696761933</v>
      </c>
      <c r="I91" s="198"/>
      <c r="J91" s="198"/>
      <c r="K91" s="198"/>
      <c r="L91" s="198"/>
      <c r="M91" s="62"/>
    </row>
    <row r="92" spans="1:13" ht="12.75">
      <c r="A92"/>
      <c r="B92"/>
      <c r="C92"/>
      <c r="D92" s="63" t="s">
        <v>237</v>
      </c>
      <c r="E92" s="63" t="s">
        <v>234</v>
      </c>
      <c r="F92" s="314" t="s">
        <v>246</v>
      </c>
      <c r="G92" s="298">
        <v>175542.97881055714</v>
      </c>
      <c r="H92" s="298">
        <v>175542.97881055714</v>
      </c>
      <c r="I92" s="198"/>
      <c r="J92" s="198"/>
      <c r="K92" s="198"/>
      <c r="L92" s="198"/>
      <c r="M92" s="62"/>
    </row>
    <row r="93" spans="1:13" ht="12.75">
      <c r="A93"/>
      <c r="B93"/>
      <c r="C93"/>
      <c r="D93" s="63" t="s">
        <v>238</v>
      </c>
      <c r="E93" s="63" t="s">
        <v>234</v>
      </c>
      <c r="F93" s="314" t="s">
        <v>247</v>
      </c>
      <c r="G93" s="298">
        <v>167971.96917917792</v>
      </c>
      <c r="H93" s="298">
        <v>167971.96917917792</v>
      </c>
      <c r="I93" s="198"/>
      <c r="J93" s="198"/>
      <c r="K93" s="198"/>
      <c r="L93" s="198"/>
      <c r="M93" s="62"/>
    </row>
    <row r="94" spans="1:13" ht="12.75">
      <c r="A94"/>
      <c r="B94"/>
      <c r="C94"/>
      <c r="D94" s="192"/>
      <c r="E94" s="192"/>
      <c r="F94" s="317"/>
      <c r="G94" s="297"/>
      <c r="H94" s="297"/>
      <c r="I94" s="57"/>
      <c r="J94" s="57"/>
      <c r="K94" s="57"/>
      <c r="L94" s="57"/>
      <c r="M94" s="62"/>
    </row>
    <row r="95" spans="1:13" ht="12.75">
      <c r="A95" s="72" t="s">
        <v>254</v>
      </c>
      <c r="B95"/>
      <c r="C95"/>
      <c r="D95" s="58"/>
      <c r="E95" s="58"/>
      <c r="F95" s="317"/>
      <c r="G95" s="297"/>
      <c r="H95" s="297"/>
      <c r="I95" s="57"/>
      <c r="J95" s="57"/>
      <c r="K95" s="57"/>
      <c r="L95" s="57"/>
      <c r="M95" s="62"/>
    </row>
    <row r="96" spans="1:13" ht="12.75">
      <c r="A96"/>
      <c r="B96"/>
      <c r="C96"/>
      <c r="D96" s="63" t="s">
        <v>248</v>
      </c>
      <c r="E96" s="196" t="s">
        <v>249</v>
      </c>
      <c r="F96" s="314" t="s">
        <v>250</v>
      </c>
      <c r="G96" s="299">
        <v>-0.106453450992647</v>
      </c>
      <c r="H96" s="299">
        <v>-0.106453450992647</v>
      </c>
      <c r="I96" s="47"/>
      <c r="J96" s="47"/>
      <c r="K96" s="47"/>
      <c r="L96" s="47"/>
      <c r="M96" s="62"/>
    </row>
    <row r="97" spans="1:13" ht="12.75">
      <c r="A97"/>
      <c r="B97"/>
      <c r="C97"/>
      <c r="D97" s="63" t="s">
        <v>253</v>
      </c>
      <c r="E97" s="196" t="s">
        <v>249</v>
      </c>
      <c r="F97" s="314" t="s">
        <v>255</v>
      </c>
      <c r="G97" s="47">
        <v>0.05</v>
      </c>
      <c r="H97" s="47">
        <f>G97</f>
        <v>0.05</v>
      </c>
      <c r="I97" s="47"/>
      <c r="J97" s="47"/>
      <c r="K97" s="47"/>
      <c r="L97" s="47"/>
      <c r="M97" s="62"/>
    </row>
    <row r="98" spans="1:13" ht="15">
      <c r="A98"/>
      <c r="B98"/>
      <c r="C98"/>
      <c r="D98" s="58"/>
      <c r="E98" s="58"/>
      <c r="F98" s="317"/>
      <c r="G98" s="250"/>
      <c r="H98" s="251"/>
      <c r="I98" s="57"/>
      <c r="J98" s="57"/>
      <c r="K98" s="57"/>
      <c r="L98" s="57"/>
      <c r="M98" s="62"/>
    </row>
    <row r="99" spans="1:13" ht="12.75">
      <c r="A99" s="72" t="s">
        <v>291</v>
      </c>
      <c r="F99" s="319"/>
      <c r="G99" s="16"/>
    </row>
    <row r="100" spans="1:13" ht="12.75">
      <c r="A100"/>
      <c r="B100"/>
      <c r="C100"/>
      <c r="D100" s="63" t="s">
        <v>105</v>
      </c>
      <c r="E100" s="63" t="s">
        <v>297</v>
      </c>
      <c r="F100" s="314" t="s">
        <v>292</v>
      </c>
      <c r="G100" s="197" t="e">
        <f>InputRentals!C21</f>
        <v>#VALUE!</v>
      </c>
      <c r="H100" s="197" t="e">
        <f>G100</f>
        <v>#VALUE!</v>
      </c>
      <c r="I100" s="197"/>
      <c r="J100" s="197"/>
      <c r="K100" s="197"/>
      <c r="L100" s="197"/>
      <c r="M100" s="62"/>
    </row>
    <row r="101" spans="1:13" ht="12.75">
      <c r="A101"/>
      <c r="B101"/>
      <c r="C101"/>
      <c r="D101" s="63" t="s">
        <v>99</v>
      </c>
      <c r="E101" s="63" t="s">
        <v>297</v>
      </c>
      <c r="F101" s="314" t="s">
        <v>293</v>
      </c>
      <c r="G101" s="197" t="e">
        <f>InputConn!C12</f>
        <v>#VALUE!</v>
      </c>
      <c r="H101" s="197" t="e">
        <f>G101</f>
        <v>#VALUE!</v>
      </c>
      <c r="I101" s="197"/>
      <c r="J101" s="197"/>
      <c r="K101" s="197"/>
      <c r="L101" s="197"/>
      <c r="M101" s="62"/>
    </row>
    <row r="102" spans="1:13" ht="12.75">
      <c r="A102"/>
      <c r="B102"/>
      <c r="C102"/>
      <c r="D102" s="58"/>
      <c r="E102" s="58"/>
      <c r="F102" s="317"/>
      <c r="G102" s="57"/>
      <c r="H102" s="57"/>
      <c r="I102" s="57"/>
      <c r="J102" s="57"/>
      <c r="K102" s="57"/>
      <c r="L102" s="57"/>
      <c r="M102" s="62"/>
    </row>
    <row r="103" spans="1:13" ht="12.75">
      <c r="A103" s="72" t="s">
        <v>230</v>
      </c>
      <c r="F103" s="319"/>
      <c r="G103" s="16"/>
    </row>
    <row r="104" spans="1:13" ht="25.5">
      <c r="A104"/>
      <c r="B104"/>
      <c r="C104"/>
      <c r="D104" s="63" t="s">
        <v>131</v>
      </c>
      <c r="E104" s="63" t="s">
        <v>142</v>
      </c>
      <c r="F104" s="314" t="s">
        <v>231</v>
      </c>
      <c r="G104" s="197">
        <v>141</v>
      </c>
      <c r="H104" s="197">
        <f>G104</f>
        <v>141</v>
      </c>
      <c r="I104" s="197"/>
      <c r="J104" s="197"/>
      <c r="K104" s="197"/>
      <c r="L104" s="197"/>
      <c r="M104" s="62"/>
    </row>
    <row r="105" spans="1:13" ht="25.5">
      <c r="A105"/>
      <c r="B105"/>
      <c r="C105"/>
      <c r="D105" s="63" t="s">
        <v>132</v>
      </c>
      <c r="E105" s="63" t="s">
        <v>142</v>
      </c>
      <c r="F105" s="314" t="s">
        <v>232</v>
      </c>
      <c r="G105" s="197">
        <v>40.71</v>
      </c>
      <c r="H105" s="197">
        <f>G105</f>
        <v>40.71</v>
      </c>
      <c r="I105" s="197"/>
      <c r="J105" s="197"/>
      <c r="K105" s="197"/>
      <c r="L105" s="197"/>
      <c r="M105" s="62"/>
    </row>
    <row r="106" spans="1:13">
      <c r="G106" s="16"/>
    </row>
    <row r="107" spans="1:13">
      <c r="G107" s="16"/>
    </row>
    <row r="108" spans="1:13">
      <c r="G108" s="16"/>
    </row>
    <row r="109" spans="1:13">
      <c r="G109" s="16"/>
    </row>
    <row r="110" spans="1:13">
      <c r="G110" s="16"/>
      <c r="J110" s="40"/>
    </row>
    <row r="111" spans="1:13">
      <c r="G111" s="16"/>
    </row>
    <row r="112" spans="1:13">
      <c r="G112" s="16"/>
    </row>
    <row r="113" spans="7:7">
      <c r="G113" s="16"/>
    </row>
    <row r="114" spans="7:7">
      <c r="G114" s="16"/>
    </row>
    <row r="115" spans="7:7">
      <c r="G115" s="16"/>
    </row>
    <row r="116" spans="7:7">
      <c r="G116" s="16"/>
    </row>
    <row r="117" spans="7:7">
      <c r="G117" s="16"/>
    </row>
    <row r="118" spans="7:7">
      <c r="G118" s="16"/>
    </row>
    <row r="119" spans="7:7">
      <c r="G119" s="16"/>
    </row>
    <row r="120" spans="7:7">
      <c r="G120" s="16"/>
    </row>
    <row r="121" spans="7:7">
      <c r="G121" s="16"/>
    </row>
    <row r="122" spans="7:7">
      <c r="G122" s="16"/>
    </row>
    <row r="123" spans="7:7">
      <c r="G123" s="16"/>
    </row>
    <row r="124" spans="7:7">
      <c r="G124" s="16"/>
    </row>
    <row r="125" spans="7:7">
      <c r="G125" s="16"/>
    </row>
    <row r="126" spans="7:7">
      <c r="G126" s="16"/>
    </row>
    <row r="127" spans="7:7">
      <c r="G127" s="16"/>
    </row>
    <row r="128" spans="7:7">
      <c r="G128" s="16"/>
    </row>
    <row r="129" spans="7:7">
      <c r="G129" s="16"/>
    </row>
    <row r="130" spans="7:7">
      <c r="G130" s="16"/>
    </row>
    <row r="131" spans="7:7">
      <c r="G131" s="16"/>
    </row>
    <row r="132" spans="7:7">
      <c r="G132" s="16"/>
    </row>
    <row r="133" spans="7:7">
      <c r="G133" s="16"/>
    </row>
    <row r="134" spans="7:7">
      <c r="G134" s="16"/>
    </row>
    <row r="135" spans="7:7">
      <c r="G135" s="16"/>
    </row>
    <row r="136" spans="7:7">
      <c r="G136" s="16"/>
    </row>
    <row r="137" spans="7:7">
      <c r="G137" s="16"/>
    </row>
    <row r="138" spans="7:7">
      <c r="G138" s="16"/>
    </row>
    <row r="139" spans="7:7">
      <c r="G139" s="16"/>
    </row>
    <row r="140" spans="7:7">
      <c r="G140" s="16"/>
    </row>
    <row r="141" spans="7:7">
      <c r="G141" s="16"/>
    </row>
    <row r="142" spans="7:7">
      <c r="G142" s="16"/>
    </row>
    <row r="143" spans="7:7">
      <c r="G143" s="16"/>
    </row>
    <row r="144" spans="7:7">
      <c r="G144" s="16"/>
    </row>
    <row r="145" spans="7:7">
      <c r="G145" s="16"/>
    </row>
    <row r="146" spans="7:7">
      <c r="G146" s="16"/>
    </row>
    <row r="147" spans="7:7">
      <c r="G147" s="16"/>
    </row>
    <row r="148" spans="7:7">
      <c r="G148" s="16"/>
    </row>
    <row r="149" spans="7:7">
      <c r="G149" s="16"/>
    </row>
    <row r="150" spans="7:7">
      <c r="G150" s="16"/>
    </row>
    <row r="151" spans="7:7">
      <c r="G151" s="16"/>
    </row>
    <row r="152" spans="7:7">
      <c r="G152" s="16"/>
    </row>
    <row r="153" spans="7:7">
      <c r="G153" s="16"/>
    </row>
    <row r="154" spans="7:7">
      <c r="G154" s="16"/>
    </row>
    <row r="155" spans="7:7">
      <c r="G155" s="16"/>
    </row>
    <row r="156" spans="7:7">
      <c r="G156" s="16"/>
    </row>
    <row r="157" spans="7:7">
      <c r="G157" s="16"/>
    </row>
    <row r="158" spans="7:7">
      <c r="G158" s="16"/>
    </row>
    <row r="159" spans="7:7">
      <c r="G159" s="16"/>
    </row>
    <row r="160" spans="7:7">
      <c r="G160" s="16"/>
    </row>
    <row r="161" spans="7:7">
      <c r="G161" s="16"/>
    </row>
  </sheetData>
  <phoneticPr fontId="0" type="noConversion"/>
  <pageMargins left="0.70866141732283472" right="0.70866141732283472" top="0.51181102362204722" bottom="0.51181102362204722" header="0.51181102362204722" footer="0.35433070866141736"/>
  <pageSetup paperSize="9" scale="60" fitToHeight="2" orientation="landscape" verticalDpi="4294967292" r:id="rId1"/>
  <headerFooter alignWithMargins="0">
    <oddFooter>&amp;L&amp;A :page&amp;P&amp;COfcom Confidential&amp;R&amp;D</oddFooter>
  </headerFooter>
</worksheet>
</file>

<file path=xl/worksheets/sheet4.xml><?xml version="1.0" encoding="utf-8"?>
<worksheet xmlns="http://schemas.openxmlformats.org/spreadsheetml/2006/main" xmlns:r="http://schemas.openxmlformats.org/officeDocument/2006/relationships">
  <sheetPr>
    <pageSetUpPr autoPageBreaks="0" fitToPage="1"/>
  </sheetPr>
  <dimension ref="A1:IV156"/>
  <sheetViews>
    <sheetView showGridLines="0" defaultGridColor="0" topLeftCell="A136" colorId="22" zoomScale="85" zoomScaleNormal="85" workbookViewId="0">
      <selection activeCell="K11" sqref="K11"/>
    </sheetView>
  </sheetViews>
  <sheetFormatPr defaultColWidth="12.7109375" defaultRowHeight="12"/>
  <cols>
    <col min="1" max="1" width="2" style="17" customWidth="1"/>
    <col min="2" max="2" width="1.5703125" style="17" customWidth="1"/>
    <col min="3" max="3" width="2" style="17" customWidth="1"/>
    <col min="4" max="4" width="31.28515625" style="17" customWidth="1"/>
    <col min="5" max="5" width="2.85546875" style="17" customWidth="1"/>
    <col min="6" max="6" width="2.42578125" style="17" customWidth="1"/>
    <col min="7" max="7" width="20" style="17" customWidth="1"/>
    <col min="8" max="8" width="12.7109375" style="17"/>
    <col min="9" max="9" width="3.42578125" style="42" customWidth="1"/>
    <col min="10" max="10" width="22" style="56" customWidth="1"/>
    <col min="11" max="11" width="12.7109375" style="77"/>
    <col min="12" max="12" width="14.5703125" style="96" customWidth="1"/>
    <col min="13" max="15" width="12.7109375" style="42"/>
    <col min="16" max="16384" width="12.7109375" style="17"/>
  </cols>
  <sheetData>
    <row r="1" spans="1:15" s="81" customFormat="1" ht="27" thickBot="1">
      <c r="A1" s="78"/>
      <c r="B1" s="327" t="s">
        <v>83</v>
      </c>
      <c r="C1" s="78"/>
      <c r="D1" s="78"/>
      <c r="E1" s="78"/>
      <c r="F1" s="78"/>
      <c r="G1" s="78"/>
      <c r="H1" s="78"/>
      <c r="I1" s="78"/>
      <c r="J1" s="79"/>
      <c r="K1" s="80"/>
      <c r="L1" s="78"/>
      <c r="M1" s="78"/>
      <c r="N1" s="78"/>
      <c r="O1" s="78"/>
    </row>
    <row r="2" spans="1:15" s="16" customFormat="1" ht="14.25" thickTop="1" thickBot="1">
      <c r="A2" s="72" t="s">
        <v>84</v>
      </c>
      <c r="B2"/>
      <c r="C2"/>
      <c r="D2"/>
      <c r="E2"/>
      <c r="F2"/>
      <c r="G2"/>
      <c r="H2" s="62"/>
      <c r="I2" s="51"/>
      <c r="J2" s="54"/>
      <c r="K2" s="51"/>
      <c r="L2" s="91"/>
      <c r="M2" s="51"/>
      <c r="N2" s="51"/>
      <c r="O2" s="70"/>
    </row>
    <row r="3" spans="1:15" s="16" customFormat="1" ht="13.5" thickTop="1" thickBot="1">
      <c r="A3"/>
      <c r="B3"/>
      <c r="C3"/>
      <c r="D3" s="46" t="s">
        <v>47</v>
      </c>
      <c r="E3"/>
      <c r="F3"/>
      <c r="G3" s="74" t="s">
        <v>1</v>
      </c>
      <c r="H3" s="55" t="str">
        <f>HLOOKUP($D$3,Scenarios!$G$2:$L$3,2,FALSE)</f>
        <v>Base case</v>
      </c>
      <c r="I3" s="57"/>
      <c r="J3" s="50"/>
      <c r="K3" s="57"/>
      <c r="L3" s="92"/>
      <c r="M3" s="57"/>
      <c r="N3" s="57"/>
      <c r="O3" s="64"/>
    </row>
    <row r="4" spans="1:15" s="82" customFormat="1" ht="13.5" thickTop="1" thickBot="1">
      <c r="H4" s="83"/>
      <c r="I4" s="84"/>
      <c r="J4" s="85"/>
      <c r="K4" s="86"/>
      <c r="L4" s="93"/>
      <c r="M4" s="84"/>
      <c r="N4" s="84"/>
      <c r="O4" s="83"/>
    </row>
    <row r="5" spans="1:15" s="16" customFormat="1" ht="12.75">
      <c r="A5" s="72" t="s">
        <v>57</v>
      </c>
      <c r="B5"/>
      <c r="C5"/>
      <c r="D5"/>
      <c r="E5"/>
      <c r="F5"/>
      <c r="G5"/>
      <c r="H5" s="67"/>
      <c r="J5" s="52"/>
      <c r="K5" s="64"/>
      <c r="L5" s="94"/>
      <c r="O5" s="64"/>
    </row>
    <row r="6" spans="1:15" s="16" customFormat="1" ht="12.75">
      <c r="A6"/>
      <c r="B6"/>
      <c r="C6"/>
      <c r="D6" s="53" t="s">
        <v>58</v>
      </c>
      <c r="E6" s="58"/>
      <c r="F6" s="58"/>
      <c r="G6" s="58"/>
      <c r="H6" s="60"/>
      <c r="I6" s="57"/>
      <c r="J6" s="50"/>
      <c r="K6" s="75"/>
      <c r="L6" s="311" t="s">
        <v>3</v>
      </c>
      <c r="M6" s="57"/>
      <c r="N6" s="57"/>
      <c r="O6" s="64"/>
    </row>
    <row r="7" spans="1:15" s="16" customFormat="1" ht="12.75">
      <c r="A7"/>
      <c r="B7"/>
      <c r="C7"/>
      <c r="D7" s="58"/>
      <c r="E7" s="58"/>
      <c r="F7" s="58"/>
      <c r="G7" s="48" t="s">
        <v>59</v>
      </c>
      <c r="H7" s="48" t="s">
        <v>134</v>
      </c>
      <c r="I7" s="57"/>
      <c r="J7" s="322" t="s">
        <v>71</v>
      </c>
      <c r="K7" s="76">
        <f>VLOOKUP(J7,Scenarios!$F$6:$L$105,MATCH($D$3,Scenario_choice,0)+1,FALSE)</f>
        <v>30</v>
      </c>
      <c r="L7" s="285" t="s">
        <v>91</v>
      </c>
      <c r="M7" s="57"/>
      <c r="N7" s="57"/>
      <c r="O7" s="64"/>
    </row>
    <row r="8" spans="1:15" s="16" customFormat="1" ht="12.75">
      <c r="A8" s="61"/>
      <c r="B8" s="61"/>
      <c r="C8" s="61"/>
      <c r="D8" s="44"/>
      <c r="E8" s="44"/>
      <c r="F8" s="44"/>
      <c r="G8" s="44"/>
      <c r="H8" s="44"/>
      <c r="I8" s="44"/>
      <c r="J8" s="323"/>
      <c r="K8" s="75"/>
      <c r="L8" s="305"/>
      <c r="M8" s="44"/>
      <c r="N8" s="44"/>
      <c r="O8" s="44"/>
    </row>
    <row r="9" spans="1:15" s="16" customFormat="1" ht="12.75">
      <c r="A9" s="72" t="s">
        <v>215</v>
      </c>
      <c r="B9"/>
      <c r="C9"/>
      <c r="D9"/>
      <c r="E9"/>
      <c r="F9"/>
      <c r="G9"/>
      <c r="H9"/>
      <c r="J9" s="323"/>
      <c r="K9" s="75"/>
      <c r="L9" s="305"/>
    </row>
    <row r="10" spans="1:15" s="16" customFormat="1" ht="12.75">
      <c r="A10"/>
      <c r="B10"/>
      <c r="C10"/>
      <c r="D10" s="53" t="s">
        <v>60</v>
      </c>
      <c r="E10" s="58"/>
      <c r="F10" s="58"/>
      <c r="G10" s="58"/>
      <c r="H10" s="60"/>
      <c r="I10" s="43"/>
      <c r="J10" s="324"/>
      <c r="K10" s="75"/>
      <c r="L10" s="306"/>
      <c r="M10" s="43"/>
      <c r="N10" s="43"/>
    </row>
    <row r="11" spans="1:15" s="16" customFormat="1" ht="12.75">
      <c r="A11"/>
      <c r="B11"/>
      <c r="C11"/>
      <c r="D11" s="58"/>
      <c r="E11" s="58"/>
      <c r="F11" s="58"/>
      <c r="G11" s="48" t="s">
        <v>61</v>
      </c>
      <c r="H11" s="48" t="s">
        <v>135</v>
      </c>
      <c r="I11" s="43"/>
      <c r="J11" s="322" t="s">
        <v>90</v>
      </c>
      <c r="K11" s="120" t="e">
        <f>VLOOKUP(J11,Scenarios!$F$6:$L$105,MATCH($D$3,Scenario_choice,0)+1,FALSE)</f>
        <v>#VALUE!</v>
      </c>
      <c r="L11" s="285" t="s">
        <v>92</v>
      </c>
      <c r="M11" s="43"/>
      <c r="N11" s="43"/>
    </row>
    <row r="12" spans="1:15" s="16" customFormat="1" ht="12.75">
      <c r="A12"/>
      <c r="B12"/>
      <c r="C12"/>
      <c r="D12" s="53" t="s">
        <v>62</v>
      </c>
      <c r="E12" s="58"/>
      <c r="F12" s="58"/>
      <c r="G12" s="58"/>
      <c r="H12" s="60"/>
      <c r="I12" s="57"/>
      <c r="J12" s="325"/>
      <c r="K12" s="75"/>
      <c r="L12" s="307"/>
      <c r="M12" s="57"/>
      <c r="N12" s="57"/>
    </row>
    <row r="13" spans="1:15" s="16" customFormat="1" ht="15" customHeight="1">
      <c r="A13"/>
      <c r="B13"/>
      <c r="C13"/>
      <c r="D13" s="58"/>
      <c r="E13" s="58"/>
      <c r="F13" s="58"/>
      <c r="G13" s="48" t="s">
        <v>82</v>
      </c>
      <c r="H13" s="48" t="s">
        <v>136</v>
      </c>
      <c r="I13" s="57"/>
      <c r="J13" s="322" t="s">
        <v>72</v>
      </c>
      <c r="K13" s="106" t="e">
        <f>VLOOKUP(J13,Scenarios!$F$6:$L$105,MATCH($D$3,Scenario_choice,0)+1,FALSE)</f>
        <v>#VALUE!</v>
      </c>
      <c r="L13" s="285" t="s">
        <v>190</v>
      </c>
      <c r="M13" s="57"/>
      <c r="N13" s="57"/>
    </row>
    <row r="14" spans="1:15" s="16" customFormat="1" ht="15" customHeight="1">
      <c r="A14"/>
      <c r="B14"/>
      <c r="C14"/>
      <c r="D14" s="58"/>
      <c r="E14" s="58"/>
      <c r="F14" s="58"/>
      <c r="G14" s="49"/>
      <c r="H14" s="49"/>
      <c r="I14" s="57"/>
      <c r="J14" s="322"/>
      <c r="K14" s="161"/>
      <c r="L14" s="285"/>
      <c r="M14" s="57"/>
      <c r="N14" s="57"/>
    </row>
    <row r="15" spans="1:15" s="16" customFormat="1" ht="12.75">
      <c r="A15" s="72" t="s">
        <v>217</v>
      </c>
      <c r="B15"/>
      <c r="C15"/>
      <c r="D15"/>
      <c r="E15"/>
      <c r="F15"/>
      <c r="G15"/>
      <c r="H15"/>
      <c r="J15" s="323"/>
      <c r="K15" s="75"/>
      <c r="L15" s="305"/>
    </row>
    <row r="16" spans="1:15" s="16" customFormat="1" ht="12.75">
      <c r="A16"/>
      <c r="B16"/>
      <c r="C16"/>
      <c r="D16" s="53" t="s">
        <v>60</v>
      </c>
      <c r="E16" s="58"/>
      <c r="F16" s="58"/>
      <c r="G16" s="58"/>
      <c r="H16" s="60"/>
      <c r="I16" s="43"/>
      <c r="J16" s="324"/>
      <c r="K16" s="75"/>
      <c r="L16" s="306"/>
      <c r="M16" s="43"/>
      <c r="N16" s="43"/>
    </row>
    <row r="17" spans="1:14" s="16" customFormat="1" ht="12.75">
      <c r="A17"/>
      <c r="B17"/>
      <c r="C17"/>
      <c r="D17" s="58"/>
      <c r="E17" s="58"/>
      <c r="F17" s="58"/>
      <c r="G17" s="48" t="s">
        <v>61</v>
      </c>
      <c r="H17" s="48" t="s">
        <v>135</v>
      </c>
      <c r="I17" s="43"/>
      <c r="J17" s="322" t="s">
        <v>90</v>
      </c>
      <c r="K17" s="120" t="e">
        <f>VLOOKUP(J17,Scenarios!$F$6:$L$105,MATCH($D$3,Scenario_choice,0)+1,FALSE)</f>
        <v>#VALUE!</v>
      </c>
      <c r="L17" s="285" t="s">
        <v>92</v>
      </c>
      <c r="M17" s="43"/>
      <c r="N17" s="43"/>
    </row>
    <row r="18" spans="1:14" s="16" customFormat="1" ht="12.75">
      <c r="A18"/>
      <c r="B18"/>
      <c r="C18"/>
      <c r="D18" s="221" t="s">
        <v>298</v>
      </c>
      <c r="E18" s="58"/>
      <c r="F18" s="58"/>
      <c r="G18" s="58"/>
      <c r="H18" s="60"/>
      <c r="I18" s="57"/>
      <c r="J18" s="325"/>
      <c r="K18" s="75"/>
      <c r="L18" s="307"/>
      <c r="M18" s="57"/>
      <c r="N18" s="57"/>
    </row>
    <row r="19" spans="1:14" s="16" customFormat="1" ht="15" customHeight="1">
      <c r="A19"/>
      <c r="B19"/>
      <c r="C19"/>
      <c r="D19" s="58"/>
      <c r="E19" s="58"/>
      <c r="F19" s="58"/>
      <c r="G19" s="222" t="s">
        <v>61</v>
      </c>
      <c r="H19" s="222" t="s">
        <v>135</v>
      </c>
      <c r="I19" s="57"/>
      <c r="J19" s="322" t="s">
        <v>218</v>
      </c>
      <c r="K19" s="120" t="str">
        <f>VLOOKUP(J19,Scenarios!$F$6:$L$105,MATCH($D$3,Scenario_choice,0)+1,FALSE)</f>
        <v>Removed</v>
      </c>
      <c r="L19" s="285" t="s">
        <v>431</v>
      </c>
      <c r="M19" s="57"/>
      <c r="N19" s="57"/>
    </row>
    <row r="20" spans="1:14" s="16" customFormat="1" ht="15" customHeight="1">
      <c r="A20"/>
      <c r="B20"/>
      <c r="C20"/>
      <c r="D20" s="58"/>
      <c r="E20" s="58"/>
      <c r="F20" s="58"/>
      <c r="G20" s="49"/>
      <c r="H20" s="49"/>
      <c r="I20" s="57"/>
      <c r="J20" s="322"/>
      <c r="K20" s="161"/>
      <c r="L20" s="285"/>
      <c r="M20" s="57"/>
      <c r="N20" s="57"/>
    </row>
    <row r="21" spans="1:14" s="16" customFormat="1" ht="12.75">
      <c r="A21" s="72" t="s">
        <v>208</v>
      </c>
      <c r="B21"/>
      <c r="C21"/>
      <c r="D21"/>
      <c r="E21"/>
      <c r="F21"/>
      <c r="G21"/>
      <c r="H21"/>
      <c r="J21" s="323"/>
      <c r="K21" s="75"/>
      <c r="L21" s="305"/>
    </row>
    <row r="22" spans="1:14" s="16" customFormat="1" ht="12.75">
      <c r="A22"/>
      <c r="B22"/>
      <c r="C22"/>
      <c r="D22" s="53" t="s">
        <v>209</v>
      </c>
      <c r="E22" s="58"/>
      <c r="F22" s="58"/>
      <c r="G22" s="58"/>
      <c r="H22" s="60"/>
      <c r="I22" s="43"/>
      <c r="J22" s="324"/>
      <c r="K22" s="75"/>
      <c r="L22" s="306"/>
      <c r="M22" s="43"/>
      <c r="N22" s="43"/>
    </row>
    <row r="23" spans="1:14" s="16" customFormat="1" ht="15" customHeight="1">
      <c r="A23"/>
      <c r="B23"/>
      <c r="C23"/>
      <c r="D23" s="58"/>
      <c r="E23" s="58"/>
      <c r="F23" s="58"/>
      <c r="G23" s="48" t="s">
        <v>214</v>
      </c>
      <c r="H23" s="48"/>
      <c r="I23" s="43"/>
      <c r="J23" s="322" t="s">
        <v>213</v>
      </c>
      <c r="K23" s="76">
        <f>VLOOKUP(J23,Scenarios!$F$6:$L$105,MATCH($D$3,Scenario_choice,0)+1,FALSE)</f>
        <v>2</v>
      </c>
      <c r="L23" s="285" t="s">
        <v>432</v>
      </c>
      <c r="M23" s="43"/>
      <c r="N23" s="43"/>
    </row>
    <row r="24" spans="1:14" s="16" customFormat="1" ht="12.75">
      <c r="A24"/>
      <c r="B24"/>
      <c r="C24"/>
      <c r="D24" s="58"/>
      <c r="E24" s="58"/>
      <c r="F24" s="58"/>
      <c r="G24" s="58"/>
      <c r="H24" s="60"/>
      <c r="I24" s="57"/>
      <c r="J24" s="322"/>
      <c r="K24" s="75"/>
      <c r="L24" s="307"/>
      <c r="M24" s="57"/>
      <c r="N24" s="57"/>
    </row>
    <row r="25" spans="1:14" s="16" customFormat="1" ht="12.75">
      <c r="A25" s="72" t="s">
        <v>284</v>
      </c>
      <c r="B25"/>
      <c r="C25"/>
      <c r="D25" s="58"/>
      <c r="E25" s="58"/>
      <c r="F25" s="58"/>
      <c r="G25" s="58"/>
      <c r="H25" s="60"/>
      <c r="I25" s="57"/>
      <c r="J25" s="322"/>
      <c r="K25" s="75"/>
      <c r="L25" s="307"/>
      <c r="M25" s="57"/>
      <c r="N25" s="57"/>
    </row>
    <row r="26" spans="1:14" s="16" customFormat="1" ht="12.75">
      <c r="A26"/>
      <c r="B26"/>
      <c r="C26"/>
      <c r="D26" s="53" t="s">
        <v>279</v>
      </c>
      <c r="E26" s="58"/>
      <c r="F26" s="58"/>
      <c r="G26" s="58"/>
      <c r="H26" s="60"/>
      <c r="I26" s="57"/>
      <c r="J26" s="322"/>
      <c r="K26" s="57"/>
      <c r="L26" s="307"/>
      <c r="M26" s="57"/>
      <c r="N26" s="57"/>
    </row>
    <row r="27" spans="1:14" s="16" customFormat="1" ht="14.25" customHeight="1">
      <c r="A27"/>
      <c r="B27"/>
      <c r="C27"/>
      <c r="D27" s="58"/>
      <c r="E27" s="58"/>
      <c r="F27" s="58"/>
      <c r="G27" s="48" t="s">
        <v>61</v>
      </c>
      <c r="H27" s="48" t="s">
        <v>135</v>
      </c>
      <c r="I27" s="57"/>
      <c r="J27" s="322" t="s">
        <v>273</v>
      </c>
      <c r="K27" s="120" t="e">
        <f>VLOOKUP(J27,Scenarios!$F$6:$L$105,MATCH($D$3,Scenario_choice,0)+1,FALSE)</f>
        <v>#DIV/0!</v>
      </c>
      <c r="L27" s="272" t="s">
        <v>433</v>
      </c>
      <c r="M27" s="57"/>
      <c r="N27" s="57"/>
    </row>
    <row r="28" spans="1:14" s="16" customFormat="1" ht="12.75">
      <c r="A28"/>
      <c r="B28"/>
      <c r="C28"/>
      <c r="D28" s="53" t="s">
        <v>272</v>
      </c>
      <c r="E28" s="58"/>
      <c r="F28" s="58"/>
      <c r="G28" s="58"/>
      <c r="H28" s="60"/>
      <c r="I28" s="57"/>
      <c r="J28" s="322"/>
      <c r="K28" s="57"/>
      <c r="L28" s="307"/>
      <c r="M28" s="57"/>
      <c r="N28" s="57"/>
    </row>
    <row r="29" spans="1:14" s="16" customFormat="1" ht="15.75" customHeight="1">
      <c r="A29"/>
      <c r="B29"/>
      <c r="C29"/>
      <c r="D29" s="58"/>
      <c r="E29" s="58"/>
      <c r="F29" s="58"/>
      <c r="G29" s="48" t="s">
        <v>61</v>
      </c>
      <c r="H29" s="48" t="s">
        <v>135</v>
      </c>
      <c r="I29" s="57"/>
      <c r="J29" s="322" t="s">
        <v>274</v>
      </c>
      <c r="K29" s="120" t="e">
        <f>VLOOKUP(J29,Scenarios!$F$6:$L$105,MATCH($D$3,Scenario_choice,0)+1,FALSE)</f>
        <v>#DIV/0!</v>
      </c>
      <c r="L29" s="272" t="s">
        <v>280</v>
      </c>
      <c r="M29" s="57"/>
      <c r="N29" s="57"/>
    </row>
    <row r="30" spans="1:14" s="16" customFormat="1" ht="12.75">
      <c r="A30"/>
      <c r="B30"/>
      <c r="C30"/>
      <c r="D30" s="58"/>
      <c r="E30" s="58"/>
      <c r="F30" s="58"/>
      <c r="G30" s="58"/>
      <c r="H30" s="60"/>
      <c r="I30" s="57"/>
      <c r="J30" s="322"/>
      <c r="K30" s="57"/>
      <c r="L30" s="307"/>
      <c r="M30" s="57"/>
      <c r="N30" s="57"/>
    </row>
    <row r="31" spans="1:14" s="16" customFormat="1" ht="12.75">
      <c r="A31" s="72" t="s">
        <v>303</v>
      </c>
      <c r="B31"/>
      <c r="C31"/>
      <c r="D31" s="58"/>
      <c r="E31" s="58"/>
      <c r="F31" s="58"/>
      <c r="G31" s="58"/>
      <c r="H31" s="60"/>
      <c r="I31" s="57"/>
      <c r="J31" s="322"/>
      <c r="K31" s="57"/>
      <c r="L31" s="307"/>
      <c r="M31" s="57"/>
      <c r="N31" s="57"/>
    </row>
    <row r="32" spans="1:14" s="16" customFormat="1" ht="12.75">
      <c r="A32" s="72"/>
      <c r="B32"/>
      <c r="C32"/>
      <c r="D32" s="53" t="s">
        <v>307</v>
      </c>
      <c r="E32" s="58"/>
      <c r="F32" s="58"/>
      <c r="G32" s="58"/>
      <c r="H32" s="60"/>
      <c r="I32" s="57"/>
      <c r="J32" s="322"/>
      <c r="K32" s="57"/>
      <c r="L32" s="307"/>
      <c r="M32" s="57"/>
      <c r="N32" s="57"/>
    </row>
    <row r="33" spans="1:15" s="16" customFormat="1" ht="12.75">
      <c r="A33"/>
      <c r="B33"/>
      <c r="C33"/>
      <c r="D33" s="58"/>
      <c r="E33" s="58"/>
      <c r="F33" s="58"/>
      <c r="G33" s="48" t="s">
        <v>61</v>
      </c>
      <c r="H33" s="202" t="s">
        <v>262</v>
      </c>
      <c r="I33" s="57"/>
      <c r="J33" s="322" t="s">
        <v>194</v>
      </c>
      <c r="K33" s="120" t="str">
        <f>VLOOKUP(J33,Scenarios!$F$6:$L$105,MATCH($D$3,Scenario_choice,0)+1,FALSE)</f>
        <v>Removed</v>
      </c>
      <c r="L33" s="272" t="s">
        <v>434</v>
      </c>
      <c r="M33" s="57"/>
      <c r="N33" s="57"/>
    </row>
    <row r="34" spans="1:15" s="16" customFormat="1" ht="12.75">
      <c r="A34" s="72"/>
      <c r="B34"/>
      <c r="C34"/>
      <c r="D34" s="53" t="s">
        <v>308</v>
      </c>
      <c r="E34" s="58"/>
      <c r="F34" s="58"/>
      <c r="G34" s="58"/>
      <c r="H34" s="60"/>
      <c r="I34" s="57"/>
      <c r="J34" s="322"/>
      <c r="K34" s="57"/>
      <c r="L34" s="307"/>
      <c r="M34" s="57"/>
      <c r="N34" s="57"/>
    </row>
    <row r="35" spans="1:15" s="16" customFormat="1" ht="12.75">
      <c r="A35"/>
      <c r="B35"/>
      <c r="C35"/>
      <c r="D35" s="58"/>
      <c r="E35" s="58"/>
      <c r="F35" s="58"/>
      <c r="G35" s="48" t="s">
        <v>61</v>
      </c>
      <c r="H35" s="202" t="s">
        <v>262</v>
      </c>
      <c r="I35" s="57"/>
      <c r="J35" s="322" t="s">
        <v>306</v>
      </c>
      <c r="K35" s="120" t="str">
        <f>VLOOKUP(J35,Scenarios!$F$6:$L$105,MATCH($D$3,Scenario_choice,0)+1,FALSE)</f>
        <v>Removed</v>
      </c>
      <c r="L35" s="272" t="s">
        <v>435</v>
      </c>
      <c r="M35" s="57"/>
      <c r="N35" s="57"/>
    </row>
    <row r="36" spans="1:15" s="16" customFormat="1" ht="12.75">
      <c r="A36"/>
      <c r="B36"/>
      <c r="C36"/>
      <c r="D36" s="58"/>
      <c r="E36" s="58"/>
      <c r="F36" s="58"/>
      <c r="G36" s="58"/>
      <c r="H36" s="60"/>
      <c r="I36" s="57"/>
      <c r="J36" s="322"/>
      <c r="K36" s="57"/>
      <c r="L36" s="307"/>
      <c r="M36" s="57"/>
      <c r="N36" s="57"/>
    </row>
    <row r="37" spans="1:15" s="16" customFormat="1" ht="12.75">
      <c r="A37" s="72" t="s">
        <v>86</v>
      </c>
      <c r="B37"/>
      <c r="C37"/>
      <c r="D37"/>
      <c r="E37"/>
      <c r="F37"/>
      <c r="G37"/>
      <c r="H37"/>
      <c r="J37" s="322"/>
      <c r="K37" s="75"/>
      <c r="L37" s="307"/>
      <c r="M37" s="57"/>
      <c r="N37" s="57"/>
    </row>
    <row r="38" spans="1:15" s="16" customFormat="1" ht="12.75">
      <c r="A38"/>
      <c r="B38"/>
      <c r="C38"/>
      <c r="D38" s="53" t="s">
        <v>183</v>
      </c>
      <c r="E38" s="58"/>
      <c r="F38" s="58"/>
      <c r="G38" s="58"/>
      <c r="H38" s="60"/>
      <c r="I38" s="57"/>
      <c r="J38" s="322"/>
      <c r="K38" s="57"/>
      <c r="L38" s="307"/>
      <c r="M38" s="57"/>
      <c r="N38" s="57"/>
    </row>
    <row r="39" spans="1:15" s="16" customFormat="1" ht="12.75">
      <c r="A39"/>
      <c r="B39"/>
      <c r="C39"/>
      <c r="D39" s="58"/>
      <c r="E39" s="58"/>
      <c r="F39" s="58"/>
      <c r="G39" s="48" t="s">
        <v>61</v>
      </c>
      <c r="H39" s="48" t="s">
        <v>135</v>
      </c>
      <c r="I39" s="57"/>
      <c r="J39" s="322" t="s">
        <v>87</v>
      </c>
      <c r="K39" s="120" t="str">
        <f>VLOOKUP(J39,Scenarios!$F$6:$L$105,MATCH($D$3,Scenario_choice,0)+1,FALSE)</f>
        <v>Removed</v>
      </c>
      <c r="L39" s="272" t="s">
        <v>186</v>
      </c>
      <c r="M39" s="57"/>
      <c r="N39" s="57"/>
    </row>
    <row r="40" spans="1:15" s="16" customFormat="1" ht="12.75">
      <c r="A40"/>
      <c r="B40"/>
      <c r="C40"/>
      <c r="D40" s="53" t="s">
        <v>184</v>
      </c>
      <c r="E40" s="58"/>
      <c r="F40" s="58"/>
      <c r="G40" s="58"/>
      <c r="H40" s="60"/>
      <c r="I40" s="57"/>
      <c r="J40" s="322"/>
      <c r="K40" s="147"/>
      <c r="L40" s="272"/>
      <c r="M40" s="57"/>
      <c r="N40" s="57"/>
    </row>
    <row r="41" spans="1:15" s="16" customFormat="1" ht="12.75">
      <c r="A41"/>
      <c r="B41"/>
      <c r="C41"/>
      <c r="D41" s="58"/>
      <c r="E41" s="58"/>
      <c r="F41" s="58"/>
      <c r="G41" s="48" t="s">
        <v>61</v>
      </c>
      <c r="H41" s="48" t="s">
        <v>135</v>
      </c>
      <c r="I41" s="57"/>
      <c r="J41" s="322" t="s">
        <v>88</v>
      </c>
      <c r="K41" s="120" t="str">
        <f>VLOOKUP(J41,Scenarios!$F$6:$L$105,MATCH($D$3,Scenario_choice,0)+1,FALSE)</f>
        <v>Removed</v>
      </c>
      <c r="L41" s="272" t="s">
        <v>187</v>
      </c>
      <c r="M41" s="57"/>
      <c r="N41" s="57"/>
    </row>
    <row r="42" spans="1:15" s="16" customFormat="1" ht="12.75">
      <c r="A42"/>
      <c r="B42"/>
      <c r="C42"/>
      <c r="D42" s="53" t="s">
        <v>185</v>
      </c>
      <c r="E42" s="58"/>
      <c r="F42" s="58"/>
      <c r="G42" s="49"/>
      <c r="H42" s="60"/>
      <c r="I42" s="57"/>
      <c r="J42" s="322"/>
      <c r="K42" s="147"/>
      <c r="L42" s="272"/>
      <c r="M42" s="57"/>
      <c r="N42" s="57"/>
    </row>
    <row r="43" spans="1:15" s="16" customFormat="1" ht="12.75">
      <c r="A43"/>
      <c r="B43"/>
      <c r="C43"/>
      <c r="D43" s="58"/>
      <c r="E43" s="58"/>
      <c r="F43" s="58"/>
      <c r="G43" s="48" t="s">
        <v>61</v>
      </c>
      <c r="H43" s="48" t="s">
        <v>135</v>
      </c>
      <c r="I43" s="57"/>
      <c r="J43" s="322" t="s">
        <v>189</v>
      </c>
      <c r="K43" s="120" t="str">
        <f>VLOOKUP(J43,Scenarios!$F$6:$L$105,MATCH($D$3,Scenario_choice,0)+1,FALSE)</f>
        <v>Removed</v>
      </c>
      <c r="L43" s="272" t="s">
        <v>188</v>
      </c>
      <c r="M43" s="57"/>
      <c r="N43" s="57"/>
    </row>
    <row r="44" spans="1:15" s="16" customFormat="1">
      <c r="J44" s="322"/>
      <c r="K44" s="64"/>
      <c r="L44" s="305"/>
    </row>
    <row r="45" spans="1:15" s="16" customFormat="1" ht="12.75">
      <c r="A45" s="72" t="s">
        <v>67</v>
      </c>
      <c r="B45"/>
      <c r="C45"/>
      <c r="D45"/>
      <c r="E45"/>
      <c r="F45"/>
      <c r="G45"/>
      <c r="H45"/>
      <c r="J45" s="322"/>
      <c r="K45" s="64"/>
      <c r="L45" s="272" t="s">
        <v>436</v>
      </c>
    </row>
    <row r="46" spans="1:15" s="16" customFormat="1" ht="12.75">
      <c r="A46"/>
      <c r="B46"/>
      <c r="C46"/>
      <c r="D46" s="58" t="s">
        <v>63</v>
      </c>
      <c r="E46" s="58"/>
      <c r="F46" s="58"/>
      <c r="G46" s="58"/>
      <c r="H46" s="60"/>
      <c r="I46" s="57"/>
      <c r="J46" s="322"/>
      <c r="K46" s="57"/>
      <c r="L46" s="307"/>
      <c r="M46" s="57"/>
      <c r="N46" s="57"/>
      <c r="O46" s="64"/>
    </row>
    <row r="47" spans="1:15" s="16" customFormat="1" ht="12.75">
      <c r="A47"/>
      <c r="B47"/>
      <c r="C47"/>
      <c r="D47" s="58"/>
      <c r="E47" s="58"/>
      <c r="F47" s="58"/>
      <c r="G47" s="48">
        <v>0</v>
      </c>
      <c r="H47" s="48" t="s">
        <v>15</v>
      </c>
      <c r="I47" s="57"/>
      <c r="J47" s="322" t="s">
        <v>73</v>
      </c>
      <c r="K47" s="76">
        <f>VLOOKUP(J47,Scenarios!$F$6:$L$105,MATCH($D$3,Scenario_choice,0)+1,FALSE)</f>
        <v>0</v>
      </c>
      <c r="L47" s="285"/>
      <c r="M47" s="57"/>
      <c r="N47" s="57"/>
      <c r="O47" s="64"/>
    </row>
    <row r="48" spans="1:15" s="16" customFormat="1" ht="12.75">
      <c r="A48"/>
      <c r="B48"/>
      <c r="C48"/>
      <c r="D48" s="58"/>
      <c r="E48" s="58"/>
      <c r="F48" s="58"/>
      <c r="G48" s="48">
        <v>1</v>
      </c>
      <c r="H48" s="48" t="s">
        <v>13</v>
      </c>
      <c r="I48" s="57"/>
      <c r="J48" s="322"/>
      <c r="K48" s="57"/>
      <c r="L48" s="307"/>
      <c r="M48" s="57"/>
      <c r="N48" s="57"/>
      <c r="O48" s="64"/>
    </row>
    <row r="49" spans="1:15" s="16" customFormat="1" ht="12.75">
      <c r="A49"/>
      <c r="B49"/>
      <c r="C49"/>
      <c r="D49" s="58" t="s">
        <v>64</v>
      </c>
      <c r="E49" s="58"/>
      <c r="F49" s="58"/>
      <c r="G49" s="58"/>
      <c r="H49" s="60"/>
      <c r="I49" s="57"/>
      <c r="J49" s="322"/>
      <c r="K49" s="57"/>
      <c r="L49" s="307"/>
      <c r="M49" s="57"/>
      <c r="N49" s="57"/>
      <c r="O49" s="64"/>
    </row>
    <row r="50" spans="1:15" s="16" customFormat="1" ht="12.75">
      <c r="A50"/>
      <c r="B50"/>
      <c r="C50"/>
      <c r="D50" s="58"/>
      <c r="E50" s="58"/>
      <c r="F50" s="58"/>
      <c r="G50" s="48">
        <v>0</v>
      </c>
      <c r="H50" s="48" t="s">
        <v>15</v>
      </c>
      <c r="I50" s="57"/>
      <c r="J50" s="322" t="s">
        <v>74</v>
      </c>
      <c r="K50" s="76">
        <f>VLOOKUP(J50,Scenarios!$F$6:$L$105,MATCH($D$3,Scenario_choice,0)+1,FALSE)</f>
        <v>0</v>
      </c>
      <c r="L50" s="285"/>
      <c r="M50" s="57"/>
      <c r="N50" s="57"/>
      <c r="O50" s="64"/>
    </row>
    <row r="51" spans="1:15" s="16" customFormat="1" ht="12.75">
      <c r="A51"/>
      <c r="B51"/>
      <c r="C51"/>
      <c r="D51" s="58"/>
      <c r="E51" s="58"/>
      <c r="F51" s="58"/>
      <c r="G51" s="48">
        <v>1</v>
      </c>
      <c r="H51" s="48" t="s">
        <v>13</v>
      </c>
      <c r="I51" s="57"/>
      <c r="J51" s="322"/>
      <c r="K51" s="57"/>
      <c r="L51" s="307"/>
      <c r="M51" s="57"/>
      <c r="N51" s="57"/>
      <c r="O51" s="64"/>
    </row>
    <row r="52" spans="1:15" s="16" customFormat="1" ht="12.75">
      <c r="A52"/>
      <c r="B52"/>
      <c r="C52"/>
      <c r="D52" s="58" t="s">
        <v>19</v>
      </c>
      <c r="E52" s="58"/>
      <c r="F52" s="58"/>
      <c r="G52" s="49"/>
      <c r="H52" s="49"/>
      <c r="I52" s="57"/>
      <c r="J52" s="322"/>
      <c r="K52" s="57"/>
      <c r="L52" s="307"/>
      <c r="M52" s="57"/>
      <c r="N52" s="57"/>
      <c r="O52" s="64"/>
    </row>
    <row r="53" spans="1:15" s="16" customFormat="1" ht="12.75">
      <c r="A53"/>
      <c r="B53"/>
      <c r="C53"/>
      <c r="D53" s="58"/>
      <c r="E53" s="58"/>
      <c r="F53" s="58"/>
      <c r="G53" s="48">
        <v>0</v>
      </c>
      <c r="H53" s="48" t="s">
        <v>15</v>
      </c>
      <c r="I53" s="57"/>
      <c r="J53" s="322" t="s">
        <v>103</v>
      </c>
      <c r="K53" s="76">
        <f>VLOOKUP(J53,Scenarios!$F$6:$L$105,MATCH($D$3,Scenario_choice,0)+1,FALSE)</f>
        <v>1</v>
      </c>
      <c r="L53" s="307"/>
      <c r="M53" s="57"/>
      <c r="N53" s="57"/>
      <c r="O53" s="64"/>
    </row>
    <row r="54" spans="1:15" s="16" customFormat="1" ht="12.75">
      <c r="A54"/>
      <c r="B54"/>
      <c r="C54"/>
      <c r="D54" s="58"/>
      <c r="E54" s="58"/>
      <c r="F54" s="58"/>
      <c r="G54" s="48">
        <v>1</v>
      </c>
      <c r="H54" s="48" t="s">
        <v>13</v>
      </c>
      <c r="I54" s="57"/>
      <c r="J54" s="322"/>
      <c r="K54" s="57"/>
      <c r="L54" s="307"/>
      <c r="M54" s="57"/>
      <c r="N54" s="57"/>
      <c r="O54" s="64"/>
    </row>
    <row r="55" spans="1:15" s="16" customFormat="1" ht="12.75">
      <c r="A55"/>
      <c r="B55"/>
      <c r="C55"/>
      <c r="D55" s="58" t="s">
        <v>94</v>
      </c>
      <c r="E55" s="58"/>
      <c r="F55" s="58"/>
      <c r="G55" s="49"/>
      <c r="H55" s="49"/>
      <c r="I55" s="57"/>
      <c r="J55" s="322"/>
      <c r="K55" s="57"/>
      <c r="L55" s="307"/>
      <c r="M55" s="57"/>
      <c r="N55" s="57"/>
      <c r="O55" s="64"/>
    </row>
    <row r="56" spans="1:15" s="16" customFormat="1" ht="12.75">
      <c r="A56"/>
      <c r="B56"/>
      <c r="C56"/>
      <c r="D56" s="58"/>
      <c r="E56" s="58"/>
      <c r="F56" s="58"/>
      <c r="G56" s="48">
        <v>0</v>
      </c>
      <c r="H56" s="48" t="s">
        <v>15</v>
      </c>
      <c r="I56" s="57"/>
      <c r="J56" s="322" t="s">
        <v>101</v>
      </c>
      <c r="K56" s="76">
        <f>VLOOKUP(J56,Scenarios!$F$6:$L$105,MATCH($D$3,Scenario_choice,0)+1,FALSE)</f>
        <v>1</v>
      </c>
      <c r="L56" s="307"/>
      <c r="M56" s="57"/>
      <c r="N56" s="57"/>
      <c r="O56" s="64"/>
    </row>
    <row r="57" spans="1:15" s="16" customFormat="1" ht="12.75">
      <c r="A57"/>
      <c r="B57"/>
      <c r="C57"/>
      <c r="D57" s="58"/>
      <c r="E57" s="58"/>
      <c r="F57" s="58"/>
      <c r="G57" s="48">
        <v>1</v>
      </c>
      <c r="H57" s="48" t="s">
        <v>13</v>
      </c>
      <c r="I57" s="57"/>
      <c r="J57" s="322"/>
      <c r="K57" s="57"/>
      <c r="L57" s="307"/>
      <c r="M57" s="57"/>
      <c r="N57" s="57"/>
      <c r="O57" s="64"/>
    </row>
    <row r="58" spans="1:15" s="16" customFormat="1" ht="12.75">
      <c r="A58"/>
      <c r="B58"/>
      <c r="C58"/>
      <c r="D58" s="53" t="s">
        <v>95</v>
      </c>
      <c r="E58" s="58"/>
      <c r="F58" s="58"/>
      <c r="G58" s="58"/>
      <c r="H58" s="60"/>
      <c r="I58" s="57"/>
      <c r="J58" s="322"/>
      <c r="K58" s="57"/>
      <c r="L58" s="307"/>
      <c r="M58" s="57"/>
      <c r="N58" s="57"/>
      <c r="O58" s="64"/>
    </row>
    <row r="59" spans="1:15" s="16" customFormat="1" ht="12.75">
      <c r="A59"/>
      <c r="B59"/>
      <c r="C59"/>
      <c r="D59" s="58"/>
      <c r="E59" s="58"/>
      <c r="F59" s="58"/>
      <c r="G59" s="48">
        <v>0</v>
      </c>
      <c r="H59" s="48" t="s">
        <v>15</v>
      </c>
      <c r="I59" s="57"/>
      <c r="J59" s="322" t="s">
        <v>102</v>
      </c>
      <c r="K59" s="76">
        <f>VLOOKUP(J59,Scenarios!$F$6:$L$105,MATCH($D$3,Scenario_choice,0)+1,FALSE)</f>
        <v>0</v>
      </c>
      <c r="L59" s="285"/>
      <c r="M59" s="57"/>
      <c r="N59" s="57"/>
      <c r="O59" s="64"/>
    </row>
    <row r="60" spans="1:15" s="16" customFormat="1" ht="12.75">
      <c r="A60"/>
      <c r="B60"/>
      <c r="C60"/>
      <c r="D60" s="58"/>
      <c r="E60" s="58"/>
      <c r="F60" s="58"/>
      <c r="G60" s="48">
        <v>1</v>
      </c>
      <c r="H60" s="48" t="s">
        <v>13</v>
      </c>
      <c r="I60" s="57"/>
      <c r="J60" s="322"/>
      <c r="K60" s="57"/>
      <c r="L60" s="307"/>
      <c r="M60" s="57"/>
      <c r="N60" s="57"/>
      <c r="O60" s="64"/>
    </row>
    <row r="61" spans="1:15" s="16" customFormat="1" ht="12.75">
      <c r="A61"/>
      <c r="B61"/>
      <c r="C61"/>
      <c r="D61" s="58" t="s">
        <v>65</v>
      </c>
      <c r="E61" s="58"/>
      <c r="F61" s="58"/>
      <c r="G61" s="58"/>
      <c r="H61" s="60"/>
      <c r="I61" s="57"/>
      <c r="J61" s="322"/>
      <c r="K61" s="57"/>
      <c r="L61" s="307"/>
      <c r="M61" s="57"/>
      <c r="N61" s="57"/>
      <c r="O61" s="64"/>
    </row>
    <row r="62" spans="1:15" s="16" customFormat="1" ht="12.75">
      <c r="A62"/>
      <c r="B62"/>
      <c r="C62"/>
      <c r="D62" s="58"/>
      <c r="E62" s="58"/>
      <c r="F62" s="58"/>
      <c r="G62" s="48">
        <v>0</v>
      </c>
      <c r="H62" s="48" t="s">
        <v>15</v>
      </c>
      <c r="I62" s="57"/>
      <c r="J62" s="322" t="s">
        <v>76</v>
      </c>
      <c r="K62" s="76">
        <f>VLOOKUP(J62,Scenarios!$F$6:$L$105,MATCH($D$3,Scenario_choice,0)+1,FALSE)</f>
        <v>0</v>
      </c>
      <c r="L62" s="285"/>
      <c r="M62" s="57"/>
      <c r="N62" s="57"/>
      <c r="O62" s="64"/>
    </row>
    <row r="63" spans="1:15" s="16" customFormat="1" ht="12.75">
      <c r="A63"/>
      <c r="B63"/>
      <c r="C63"/>
      <c r="D63" s="58"/>
      <c r="E63" s="58"/>
      <c r="F63" s="58"/>
      <c r="G63" s="48">
        <v>1</v>
      </c>
      <c r="H63" s="48" t="s">
        <v>13</v>
      </c>
      <c r="I63" s="57"/>
      <c r="J63" s="322"/>
      <c r="K63" s="57"/>
      <c r="L63" s="307"/>
      <c r="M63" s="57"/>
      <c r="N63" s="57"/>
      <c r="O63" s="64"/>
    </row>
    <row r="64" spans="1:15" s="16" customFormat="1" ht="12.75">
      <c r="A64"/>
      <c r="B64"/>
      <c r="C64"/>
      <c r="D64" s="53" t="s">
        <v>66</v>
      </c>
      <c r="E64" s="58"/>
      <c r="F64" s="58"/>
      <c r="G64" s="58"/>
      <c r="H64" s="60"/>
      <c r="I64" s="57"/>
      <c r="J64" s="325"/>
      <c r="K64" s="57"/>
      <c r="L64" s="307"/>
      <c r="M64" s="57"/>
      <c r="N64" s="57"/>
      <c r="O64" s="64"/>
    </row>
    <row r="65" spans="1:15" s="16" customFormat="1" ht="12.75">
      <c r="A65"/>
      <c r="B65"/>
      <c r="C65"/>
      <c r="D65" s="58"/>
      <c r="E65" s="58"/>
      <c r="F65" s="58"/>
      <c r="G65" s="48">
        <v>0</v>
      </c>
      <c r="H65" s="48" t="s">
        <v>15</v>
      </c>
      <c r="I65" s="57"/>
      <c r="J65" s="322" t="s">
        <v>75</v>
      </c>
      <c r="K65" s="76">
        <f>VLOOKUP(J65,Scenarios!$F$6:$L$105,MATCH($D$3,Scenario_choice,0)+1,FALSE)</f>
        <v>0</v>
      </c>
      <c r="L65" s="285"/>
      <c r="M65" s="57"/>
      <c r="N65" s="57"/>
      <c r="O65" s="64"/>
    </row>
    <row r="66" spans="1:15" s="16" customFormat="1" ht="12.75">
      <c r="A66"/>
      <c r="B66"/>
      <c r="C66"/>
      <c r="D66" s="58"/>
      <c r="E66" s="58"/>
      <c r="F66" s="58"/>
      <c r="G66" s="48">
        <v>1</v>
      </c>
      <c r="H66" s="48" t="s">
        <v>13</v>
      </c>
      <c r="I66" s="57"/>
      <c r="J66" s="325"/>
      <c r="K66" s="57"/>
      <c r="L66" s="307"/>
      <c r="M66" s="57"/>
      <c r="N66" s="57"/>
      <c r="O66" s="64"/>
    </row>
    <row r="67" spans="1:15" s="16" customFormat="1">
      <c r="A67"/>
      <c r="B67"/>
      <c r="C67"/>
      <c r="D67"/>
      <c r="E67"/>
      <c r="F67"/>
      <c r="G67"/>
      <c r="H67"/>
      <c r="J67" s="323"/>
      <c r="K67" s="64"/>
      <c r="L67" s="305"/>
    </row>
    <row r="68" spans="1:15" s="16" customFormat="1" ht="12.75">
      <c r="A68" s="72" t="s">
        <v>68</v>
      </c>
      <c r="B68"/>
      <c r="C68"/>
      <c r="D68"/>
      <c r="E68"/>
      <c r="F68"/>
      <c r="G68"/>
      <c r="H68"/>
      <c r="J68" s="323"/>
      <c r="K68" s="64"/>
      <c r="L68" s="272" t="s">
        <v>437</v>
      </c>
    </row>
    <row r="69" spans="1:15" s="16" customFormat="1" ht="12.75">
      <c r="A69"/>
      <c r="B69"/>
      <c r="C69"/>
      <c r="D69" s="58" t="s">
        <v>69</v>
      </c>
      <c r="E69" s="58"/>
      <c r="F69" s="58"/>
      <c r="G69" s="58"/>
      <c r="H69" s="60"/>
      <c r="I69" s="57"/>
      <c r="J69" s="322"/>
      <c r="K69" s="57"/>
      <c r="L69" s="307"/>
      <c r="M69" s="57"/>
      <c r="N69" s="57"/>
      <c r="O69" s="64"/>
    </row>
    <row r="70" spans="1:15" s="16" customFormat="1" ht="12.75">
      <c r="A70"/>
      <c r="B70"/>
      <c r="C70"/>
      <c r="D70" s="58"/>
      <c r="E70" s="58"/>
      <c r="F70" s="58"/>
      <c r="G70" s="48">
        <v>0</v>
      </c>
      <c r="H70" s="48" t="s">
        <v>15</v>
      </c>
      <c r="I70" s="57"/>
      <c r="J70" s="322" t="s">
        <v>77</v>
      </c>
      <c r="K70" s="76">
        <f>VLOOKUP(J70,Scenarios!$F$6:$L$105,MATCH($D$3,Scenario_choice,0)+1,FALSE)</f>
        <v>0</v>
      </c>
      <c r="L70" s="285"/>
      <c r="M70" s="57"/>
      <c r="N70" s="57"/>
      <c r="O70" s="64"/>
    </row>
    <row r="71" spans="1:15" s="16" customFormat="1" ht="12.75">
      <c r="A71"/>
      <c r="B71"/>
      <c r="C71"/>
      <c r="D71" s="58"/>
      <c r="E71" s="58"/>
      <c r="F71" s="58"/>
      <c r="G71" s="48">
        <v>1</v>
      </c>
      <c r="H71" s="48" t="s">
        <v>13</v>
      </c>
      <c r="I71" s="57"/>
      <c r="J71" s="322"/>
      <c r="K71" s="57"/>
      <c r="L71" s="307"/>
      <c r="M71" s="57"/>
      <c r="N71" s="57"/>
      <c r="O71" s="64"/>
    </row>
    <row r="72" spans="1:15" s="16" customFormat="1" ht="12.75">
      <c r="A72"/>
      <c r="B72"/>
      <c r="C72"/>
      <c r="D72" s="58" t="s">
        <v>99</v>
      </c>
      <c r="E72" s="58"/>
      <c r="F72" s="58"/>
      <c r="G72" s="49"/>
      <c r="H72" s="49"/>
      <c r="I72" s="57"/>
      <c r="J72" s="322"/>
      <c r="K72" s="57"/>
      <c r="L72" s="307"/>
      <c r="M72" s="57"/>
      <c r="N72" s="57"/>
      <c r="O72" s="64"/>
    </row>
    <row r="73" spans="1:15" s="16" customFormat="1" ht="12.75">
      <c r="A73"/>
      <c r="B73"/>
      <c r="C73"/>
      <c r="D73" s="58"/>
      <c r="E73" s="58"/>
      <c r="F73" s="58"/>
      <c r="G73" s="48">
        <v>0</v>
      </c>
      <c r="H73" s="48" t="s">
        <v>15</v>
      </c>
      <c r="I73" s="57"/>
      <c r="J73" s="322" t="s">
        <v>78</v>
      </c>
      <c r="K73" s="76">
        <f>VLOOKUP(J73,Scenarios!$F$6:$L$105,MATCH($D$3,Scenario_choice,0)+1,FALSE)</f>
        <v>1</v>
      </c>
      <c r="L73" s="285"/>
      <c r="M73" s="57"/>
      <c r="N73" s="57"/>
      <c r="O73" s="64"/>
    </row>
    <row r="74" spans="1:15" s="16" customFormat="1" ht="12.75">
      <c r="A74"/>
      <c r="B74"/>
      <c r="C74"/>
      <c r="D74" s="58"/>
      <c r="E74" s="58"/>
      <c r="F74" s="58"/>
      <c r="G74" s="48">
        <v>1</v>
      </c>
      <c r="H74" s="48" t="s">
        <v>13</v>
      </c>
      <c r="I74" s="57"/>
      <c r="J74" s="322"/>
      <c r="K74" s="57"/>
      <c r="L74" s="307"/>
      <c r="M74" s="57"/>
      <c r="N74" s="57"/>
      <c r="O74" s="64"/>
    </row>
    <row r="75" spans="1:15" s="16" customFormat="1" ht="12.75">
      <c r="A75"/>
      <c r="B75"/>
      <c r="C75"/>
      <c r="D75" s="58" t="s">
        <v>65</v>
      </c>
      <c r="E75" s="58"/>
      <c r="F75" s="58"/>
      <c r="G75" s="58"/>
      <c r="H75" s="60"/>
      <c r="I75" s="57"/>
      <c r="J75" s="322"/>
      <c r="K75" s="57"/>
      <c r="L75" s="307"/>
      <c r="M75" s="57"/>
      <c r="N75" s="57"/>
      <c r="O75" s="64"/>
    </row>
    <row r="76" spans="1:15" s="16" customFormat="1" ht="12.75">
      <c r="A76"/>
      <c r="B76"/>
      <c r="C76"/>
      <c r="D76" s="58"/>
      <c r="E76" s="58"/>
      <c r="F76" s="58"/>
      <c r="G76" s="48">
        <v>0</v>
      </c>
      <c r="H76" s="48" t="s">
        <v>15</v>
      </c>
      <c r="I76" s="57"/>
      <c r="J76" s="322" t="s">
        <v>79</v>
      </c>
      <c r="K76" s="76">
        <f>VLOOKUP(J76,Scenarios!$F$6:$L$105,MATCH($D$3,Scenario_choice,0)+1,FALSE)</f>
        <v>0</v>
      </c>
      <c r="L76" s="285"/>
      <c r="M76" s="57"/>
      <c r="N76" s="57"/>
      <c r="O76" s="64"/>
    </row>
    <row r="77" spans="1:15" s="16" customFormat="1" ht="12.75">
      <c r="A77"/>
      <c r="B77"/>
      <c r="C77"/>
      <c r="D77" s="58"/>
      <c r="E77" s="58"/>
      <c r="F77" s="58"/>
      <c r="G77" s="48">
        <v>1</v>
      </c>
      <c r="H77" s="48" t="s">
        <v>13</v>
      </c>
      <c r="I77" s="57"/>
      <c r="J77" s="322"/>
      <c r="K77" s="57"/>
      <c r="L77" s="307"/>
      <c r="M77" s="57"/>
      <c r="N77" s="57"/>
      <c r="O77" s="64"/>
    </row>
    <row r="78" spans="1:15" s="16" customFormat="1" ht="12.75">
      <c r="A78"/>
      <c r="B78"/>
      <c r="C78"/>
      <c r="D78" s="53" t="s">
        <v>66</v>
      </c>
      <c r="E78" s="58"/>
      <c r="F78" s="58"/>
      <c r="G78" s="58"/>
      <c r="H78" s="60"/>
      <c r="I78" s="57"/>
      <c r="J78" s="325"/>
      <c r="K78" s="57"/>
      <c r="L78" s="307"/>
      <c r="M78" s="57"/>
      <c r="N78" s="57"/>
      <c r="O78" s="64"/>
    </row>
    <row r="79" spans="1:15" s="16" customFormat="1" ht="12.75">
      <c r="A79"/>
      <c r="B79"/>
      <c r="C79"/>
      <c r="D79" s="58"/>
      <c r="E79" s="58"/>
      <c r="F79" s="58"/>
      <c r="G79" s="48">
        <v>0</v>
      </c>
      <c r="H79" s="48" t="s">
        <v>15</v>
      </c>
      <c r="I79" s="57"/>
      <c r="J79" s="322" t="s">
        <v>80</v>
      </c>
      <c r="K79" s="76">
        <f>VLOOKUP(J79,Scenarios!$F$6:$L$105,MATCH($D$3,Scenario_choice,0)+1,FALSE)</f>
        <v>1</v>
      </c>
      <c r="L79" s="285"/>
      <c r="M79" s="57"/>
      <c r="N79" s="57"/>
      <c r="O79" s="64"/>
    </row>
    <row r="80" spans="1:15" s="16" customFormat="1" ht="12.75">
      <c r="A80"/>
      <c r="B80"/>
      <c r="C80"/>
      <c r="D80" s="58"/>
      <c r="E80" s="58"/>
      <c r="F80" s="58"/>
      <c r="G80" s="48">
        <v>1</v>
      </c>
      <c r="H80" s="48" t="s">
        <v>13</v>
      </c>
      <c r="I80" s="57"/>
      <c r="J80" s="325"/>
      <c r="K80" s="57"/>
      <c r="L80" s="307"/>
      <c r="M80" s="57"/>
      <c r="N80" s="57"/>
      <c r="O80" s="64"/>
    </row>
    <row r="81" spans="1:15" s="16" customFormat="1" ht="12.75">
      <c r="A81"/>
      <c r="B81"/>
      <c r="C81"/>
      <c r="D81" s="58" t="s">
        <v>70</v>
      </c>
      <c r="E81" s="58"/>
      <c r="F81" s="58"/>
      <c r="G81" s="58"/>
      <c r="H81" s="60"/>
      <c r="I81" s="57"/>
      <c r="J81" s="325"/>
      <c r="K81" s="57"/>
      <c r="L81" s="307"/>
      <c r="M81" s="57"/>
      <c r="N81" s="57"/>
      <c r="O81" s="64"/>
    </row>
    <row r="82" spans="1:15" ht="12.75" customHeight="1">
      <c r="G82" s="48">
        <v>0</v>
      </c>
      <c r="H82" s="48" t="s">
        <v>15</v>
      </c>
      <c r="J82" s="322" t="s">
        <v>81</v>
      </c>
      <c r="K82" s="76">
        <f>VLOOKUP(J82,Scenarios!$F$6:$L$105,MATCH($D$3,Scenario_choice,0)+1,FALSE)</f>
        <v>1</v>
      </c>
      <c r="L82" s="308"/>
    </row>
    <row r="83" spans="1:15" ht="12.75">
      <c r="G83" s="48">
        <v>1</v>
      </c>
      <c r="H83" s="48" t="s">
        <v>13</v>
      </c>
      <c r="J83" s="326"/>
      <c r="L83" s="308"/>
    </row>
    <row r="84" spans="1:15" ht="12.75">
      <c r="G84" s="49"/>
      <c r="H84" s="49"/>
      <c r="J84" s="326"/>
      <c r="L84" s="308"/>
    </row>
    <row r="85" spans="1:15" s="16" customFormat="1" ht="12.75">
      <c r="A85" s="72" t="s">
        <v>319</v>
      </c>
      <c r="B85"/>
      <c r="C85"/>
      <c r="D85"/>
      <c r="E85"/>
      <c r="F85"/>
      <c r="G85"/>
      <c r="H85"/>
      <c r="J85" s="322"/>
      <c r="K85" s="75"/>
      <c r="L85" s="307"/>
      <c r="M85" s="57"/>
      <c r="N85" s="57"/>
    </row>
    <row r="86" spans="1:15" s="16" customFormat="1" ht="12.75">
      <c r="A86"/>
      <c r="B86"/>
      <c r="C86"/>
      <c r="D86" s="58" t="s">
        <v>320</v>
      </c>
      <c r="E86" s="58"/>
      <c r="F86" s="58"/>
      <c r="G86" s="58"/>
      <c r="H86" s="60"/>
      <c r="I86" s="57"/>
      <c r="J86" s="322"/>
      <c r="K86" s="57"/>
      <c r="L86" s="307"/>
      <c r="M86" s="57"/>
      <c r="N86" s="57"/>
    </row>
    <row r="87" spans="1:15" s="16" customFormat="1" ht="12.75">
      <c r="A87"/>
      <c r="B87"/>
      <c r="C87"/>
      <c r="D87" s="58"/>
      <c r="E87" s="58"/>
      <c r="F87" s="58"/>
      <c r="G87" s="202" t="s">
        <v>334</v>
      </c>
      <c r="H87" s="48" t="s">
        <v>135</v>
      </c>
      <c r="I87" s="57"/>
      <c r="J87" s="322" t="s">
        <v>322</v>
      </c>
      <c r="K87" s="235">
        <f>VLOOKUP(J87,Scenarios!$F$6:$L$152,MATCH($D$3,Scenario_choice,0)+1,FALSE)</f>
        <v>-1.7500000000000002E-2</v>
      </c>
      <c r="L87" s="309" t="s">
        <v>335</v>
      </c>
      <c r="M87" s="57"/>
      <c r="N87" s="57"/>
    </row>
    <row r="88" spans="1:15" s="16" customFormat="1" ht="12.75">
      <c r="A88"/>
      <c r="B88"/>
      <c r="C88"/>
      <c r="D88" s="58" t="s">
        <v>323</v>
      </c>
      <c r="E88" s="58"/>
      <c r="F88" s="58"/>
      <c r="G88" s="58"/>
      <c r="H88" s="60"/>
      <c r="I88" s="57"/>
      <c r="J88" s="322"/>
      <c r="K88" s="57"/>
      <c r="L88" s="307"/>
      <c r="M88" s="57"/>
      <c r="N88" s="57"/>
    </row>
    <row r="89" spans="1:15" s="16" customFormat="1" ht="12.75">
      <c r="A89"/>
      <c r="B89"/>
      <c r="C89"/>
      <c r="D89" s="58"/>
      <c r="E89" s="58"/>
      <c r="F89" s="58"/>
      <c r="G89" s="202" t="s">
        <v>334</v>
      </c>
      <c r="H89" s="48" t="s">
        <v>135</v>
      </c>
      <c r="I89" s="57"/>
      <c r="J89" s="322" t="s">
        <v>324</v>
      </c>
      <c r="K89" s="235">
        <f>VLOOKUP(J89,Scenarios!$F$6:$L$152,MATCH($D$3,Scenario_choice,0)+1,FALSE)</f>
        <v>0.05</v>
      </c>
      <c r="L89" s="309" t="s">
        <v>335</v>
      </c>
      <c r="M89" s="57"/>
      <c r="N89" s="57"/>
    </row>
    <row r="90" spans="1:15" ht="12.75">
      <c r="G90" s="49"/>
      <c r="H90" s="49"/>
      <c r="J90" s="326"/>
      <c r="L90" s="308"/>
    </row>
    <row r="91" spans="1:15" s="16" customFormat="1" ht="12.75">
      <c r="A91" s="72" t="s">
        <v>325</v>
      </c>
      <c r="B91"/>
      <c r="C91"/>
      <c r="D91"/>
      <c r="E91"/>
      <c r="F91"/>
      <c r="G91"/>
      <c r="H91"/>
      <c r="J91" s="322"/>
      <c r="K91" s="64"/>
      <c r="L91" s="272"/>
    </row>
    <row r="92" spans="1:15" s="16" customFormat="1" ht="12.75">
      <c r="A92"/>
      <c r="B92"/>
      <c r="C92"/>
      <c r="D92" s="58" t="s">
        <v>320</v>
      </c>
      <c r="E92" s="58"/>
      <c r="F92" s="58"/>
      <c r="G92" s="58"/>
      <c r="H92" s="60"/>
      <c r="I92" s="57"/>
      <c r="J92" s="322"/>
      <c r="K92" s="57"/>
      <c r="L92" s="307"/>
      <c r="M92" s="57"/>
      <c r="N92" s="57"/>
      <c r="O92" s="64"/>
    </row>
    <row r="93" spans="1:15" s="16" customFormat="1" ht="12.75">
      <c r="A93"/>
      <c r="B93"/>
      <c r="C93"/>
      <c r="D93" s="58"/>
      <c r="E93" s="58"/>
      <c r="F93" s="58"/>
      <c r="G93" s="202" t="s">
        <v>334</v>
      </c>
      <c r="H93" s="48" t="s">
        <v>135</v>
      </c>
      <c r="I93" s="57"/>
      <c r="J93" s="322" t="s">
        <v>326</v>
      </c>
      <c r="K93" s="235">
        <f>VLOOKUP(J93,Scenarios!$F$6:$L$152,MATCH($D$3,Scenario_choice,0)+1,FALSE)</f>
        <v>-1.7500000000000002E-2</v>
      </c>
      <c r="L93" s="309" t="s">
        <v>335</v>
      </c>
      <c r="M93" s="57"/>
      <c r="N93" s="57"/>
      <c r="O93" s="64"/>
    </row>
    <row r="94" spans="1:15" s="16" customFormat="1" ht="12.75">
      <c r="A94"/>
      <c r="B94"/>
      <c r="C94"/>
      <c r="D94" s="58" t="s">
        <v>323</v>
      </c>
      <c r="E94" s="58"/>
      <c r="F94" s="58"/>
      <c r="G94" s="58"/>
      <c r="H94" s="60"/>
      <c r="I94" s="57"/>
      <c r="J94" s="322"/>
      <c r="K94" s="57"/>
      <c r="L94" s="307"/>
      <c r="M94" s="57"/>
      <c r="N94" s="57"/>
      <c r="O94" s="64"/>
    </row>
    <row r="95" spans="1:15" s="16" customFormat="1" ht="12.75">
      <c r="A95"/>
      <c r="B95"/>
      <c r="C95"/>
      <c r="D95" s="58"/>
      <c r="E95" s="58"/>
      <c r="F95" s="58"/>
      <c r="G95" s="202" t="s">
        <v>334</v>
      </c>
      <c r="H95" s="48" t="s">
        <v>135</v>
      </c>
      <c r="I95" s="57"/>
      <c r="J95" s="322" t="s">
        <v>327</v>
      </c>
      <c r="K95" s="235">
        <f>VLOOKUP(J95,Scenarios!$F$6:$L$152,MATCH($D$3,Scenario_choice,0)+1,FALSE)</f>
        <v>0.05</v>
      </c>
      <c r="L95" s="309" t="s">
        <v>335</v>
      </c>
      <c r="M95" s="57"/>
      <c r="N95" s="57"/>
      <c r="O95" s="64"/>
    </row>
    <row r="96" spans="1:15" ht="12.75">
      <c r="G96" s="49"/>
      <c r="H96" s="49"/>
      <c r="J96" s="326"/>
      <c r="L96" s="308"/>
    </row>
    <row r="97" spans="1:14" s="16" customFormat="1" ht="12.75">
      <c r="A97" s="72" t="s">
        <v>328</v>
      </c>
      <c r="B97"/>
      <c r="C97"/>
      <c r="D97"/>
      <c r="E97"/>
      <c r="F97"/>
      <c r="G97"/>
      <c r="H97"/>
      <c r="J97" s="323"/>
      <c r="K97" s="75"/>
      <c r="L97" s="305"/>
    </row>
    <row r="98" spans="1:14" s="16" customFormat="1" ht="12.75">
      <c r="A98"/>
      <c r="B98"/>
      <c r="C98"/>
      <c r="D98" s="58" t="s">
        <v>320</v>
      </c>
      <c r="E98" s="58"/>
      <c r="F98" s="58"/>
      <c r="G98" s="58"/>
      <c r="H98" s="60"/>
      <c r="I98" s="43"/>
      <c r="J98" s="324"/>
      <c r="K98" s="75"/>
      <c r="L98" s="306"/>
      <c r="M98" s="43"/>
      <c r="N98" s="43"/>
    </row>
    <row r="99" spans="1:14" s="16" customFormat="1" ht="12.75">
      <c r="A99"/>
      <c r="B99"/>
      <c r="C99"/>
      <c r="D99" s="58"/>
      <c r="E99" s="58"/>
      <c r="F99" s="58"/>
      <c r="G99" s="202" t="s">
        <v>334</v>
      </c>
      <c r="H99" s="48" t="s">
        <v>135</v>
      </c>
      <c r="I99" s="43"/>
      <c r="J99" s="322" t="s">
        <v>329</v>
      </c>
      <c r="K99" s="235">
        <f>VLOOKUP(J99,Scenarios!$F$6:$L$152,MATCH($D$3,Scenario_choice,0)+1,FALSE)</f>
        <v>-1.7500000000000002E-2</v>
      </c>
      <c r="L99" s="309" t="s">
        <v>335</v>
      </c>
      <c r="M99" s="43"/>
      <c r="N99" s="43"/>
    </row>
    <row r="100" spans="1:14" s="16" customFormat="1" ht="12.75">
      <c r="A100"/>
      <c r="B100"/>
      <c r="C100"/>
      <c r="D100" s="58" t="s">
        <v>323</v>
      </c>
      <c r="E100" s="58"/>
      <c r="F100" s="58"/>
      <c r="G100" s="58"/>
      <c r="H100" s="60"/>
      <c r="I100" s="43"/>
      <c r="J100" s="322"/>
      <c r="K100" s="75"/>
      <c r="L100" s="306"/>
      <c r="M100" s="43"/>
      <c r="N100" s="43"/>
    </row>
    <row r="101" spans="1:14" s="16" customFormat="1" ht="12.75">
      <c r="A101"/>
      <c r="B101"/>
      <c r="C101"/>
      <c r="D101" s="58"/>
      <c r="E101" s="58"/>
      <c r="F101" s="58"/>
      <c r="G101" s="202" t="s">
        <v>334</v>
      </c>
      <c r="H101" s="48" t="s">
        <v>135</v>
      </c>
      <c r="I101" s="43"/>
      <c r="J101" s="322" t="s">
        <v>330</v>
      </c>
      <c r="K101" s="235">
        <f>VLOOKUP(J101,Scenarios!$F$6:$L$152,MATCH($D$3,Scenario_choice,0)+1,FALSE)</f>
        <v>0</v>
      </c>
      <c r="L101" s="309" t="s">
        <v>335</v>
      </c>
      <c r="M101" s="43"/>
      <c r="N101" s="43"/>
    </row>
    <row r="102" spans="1:14" ht="12.75">
      <c r="G102" s="49"/>
      <c r="H102" s="49"/>
      <c r="J102" s="326"/>
      <c r="L102" s="308"/>
    </row>
    <row r="103" spans="1:14" s="16" customFormat="1" ht="12.75">
      <c r="A103" s="233" t="s">
        <v>331</v>
      </c>
      <c r="B103"/>
      <c r="C103"/>
      <c r="D103"/>
      <c r="E103"/>
      <c r="F103"/>
      <c r="G103"/>
      <c r="H103"/>
      <c r="J103" s="322"/>
      <c r="K103" s="75"/>
      <c r="L103" s="272"/>
    </row>
    <row r="104" spans="1:14" s="16" customFormat="1" ht="12.75">
      <c r="A104"/>
      <c r="B104"/>
      <c r="C104"/>
      <c r="D104" s="58" t="s">
        <v>320</v>
      </c>
      <c r="E104" s="58"/>
      <c r="F104" s="58"/>
      <c r="G104" s="58"/>
      <c r="H104" s="60"/>
      <c r="I104" s="57"/>
      <c r="J104" s="322"/>
      <c r="K104" s="57"/>
      <c r="L104" s="307"/>
      <c r="M104" s="57"/>
      <c r="N104" s="57"/>
    </row>
    <row r="105" spans="1:14" s="16" customFormat="1" ht="12.75">
      <c r="A105"/>
      <c r="B105"/>
      <c r="C105"/>
      <c r="D105" s="58"/>
      <c r="E105" s="58"/>
      <c r="F105" s="58"/>
      <c r="G105" s="202" t="s">
        <v>334</v>
      </c>
      <c r="H105" s="48" t="s">
        <v>135</v>
      </c>
      <c r="I105" s="57"/>
      <c r="J105" s="322" t="s">
        <v>332</v>
      </c>
      <c r="K105" s="235">
        <f>VLOOKUP(J105,Scenarios!$F$6:$L$152,MATCH($D$3,Scenario_choice,0)+1,FALSE)</f>
        <v>-1.7500000000000002E-2</v>
      </c>
      <c r="L105" s="309" t="s">
        <v>335</v>
      </c>
      <c r="M105" s="57"/>
      <c r="N105" s="57"/>
    </row>
    <row r="106" spans="1:14" s="16" customFormat="1" ht="12.75">
      <c r="A106"/>
      <c r="B106"/>
      <c r="C106"/>
      <c r="D106" s="58" t="s">
        <v>323</v>
      </c>
      <c r="E106" s="58"/>
      <c r="F106" s="58"/>
      <c r="G106" s="58"/>
      <c r="H106" s="60"/>
      <c r="I106" s="57"/>
      <c r="J106" s="322"/>
      <c r="K106" s="57"/>
      <c r="L106" s="310"/>
      <c r="M106" s="57"/>
      <c r="N106" s="57"/>
    </row>
    <row r="107" spans="1:14" s="16" customFormat="1" ht="12.75">
      <c r="A107"/>
      <c r="B107"/>
      <c r="C107"/>
      <c r="D107" s="58"/>
      <c r="E107" s="58"/>
      <c r="F107" s="58"/>
      <c r="G107" s="202" t="s">
        <v>334</v>
      </c>
      <c r="H107" s="48" t="s">
        <v>135</v>
      </c>
      <c r="I107" s="57"/>
      <c r="J107" s="322" t="s">
        <v>333</v>
      </c>
      <c r="K107" s="235">
        <f>VLOOKUP(J107,Scenarios!$F$6:$L$152,MATCH($D$3,Scenario_choice,0)+1,FALSE)</f>
        <v>0.05</v>
      </c>
      <c r="L107" s="309" t="s">
        <v>335</v>
      </c>
      <c r="M107" s="57"/>
      <c r="N107" s="57"/>
    </row>
    <row r="108" spans="1:14" ht="12.75">
      <c r="G108" s="49"/>
      <c r="H108" s="49"/>
      <c r="J108" s="326"/>
      <c r="L108" s="308"/>
    </row>
    <row r="109" spans="1:14" ht="12.75">
      <c r="A109" s="233" t="s">
        <v>339</v>
      </c>
      <c r="G109" s="49"/>
      <c r="H109" s="49"/>
      <c r="J109" s="326"/>
      <c r="L109" s="308"/>
    </row>
    <row r="110" spans="1:14" s="16" customFormat="1" ht="12.75">
      <c r="A110"/>
      <c r="B110"/>
      <c r="C110"/>
      <c r="D110" s="58" t="s">
        <v>339</v>
      </c>
      <c r="E110" s="58"/>
      <c r="F110" s="58"/>
      <c r="G110" s="58"/>
      <c r="H110" s="60"/>
      <c r="I110" s="57"/>
      <c r="J110" s="322"/>
      <c r="K110" s="57"/>
      <c r="L110" s="307"/>
      <c r="M110" s="57"/>
      <c r="N110" s="57"/>
    </row>
    <row r="111" spans="1:14" s="16" customFormat="1" ht="12.75">
      <c r="A111"/>
      <c r="B111"/>
      <c r="C111"/>
      <c r="D111" s="58"/>
      <c r="E111" s="58"/>
      <c r="F111" s="58"/>
      <c r="G111" s="48" t="s">
        <v>34</v>
      </c>
      <c r="H111" s="48"/>
      <c r="I111" s="57"/>
      <c r="J111" s="322" t="s">
        <v>342</v>
      </c>
      <c r="K111" s="203" t="str">
        <f>VLOOKUP(J111,Scenarios!$F$6:$L$105,MATCH($D$3,Scenario_choice,0)+1,FALSE)</f>
        <v>Removed</v>
      </c>
      <c r="L111" s="309" t="s">
        <v>438</v>
      </c>
      <c r="M111" s="57"/>
      <c r="N111" s="57"/>
    </row>
    <row r="112" spans="1:14" s="16" customFormat="1" ht="12.75">
      <c r="A112"/>
      <c r="B112"/>
      <c r="C112"/>
      <c r="D112" s="58"/>
      <c r="E112" s="58"/>
      <c r="F112" s="58"/>
      <c r="G112" s="49"/>
      <c r="H112" s="49"/>
      <c r="I112" s="57"/>
      <c r="J112" s="322"/>
      <c r="K112" s="240"/>
      <c r="L112" s="309"/>
      <c r="M112" s="57"/>
      <c r="N112" s="57"/>
    </row>
    <row r="113" spans="1:256" ht="12.75">
      <c r="A113" s="233" t="s">
        <v>340</v>
      </c>
      <c r="G113" s="49"/>
      <c r="H113" s="49"/>
      <c r="J113" s="326"/>
      <c r="L113" s="308"/>
    </row>
    <row r="114" spans="1:256" ht="12.75">
      <c r="D114" s="97" t="s">
        <v>340</v>
      </c>
      <c r="G114" s="48" t="s">
        <v>34</v>
      </c>
      <c r="H114" s="48"/>
      <c r="J114" s="322" t="s">
        <v>341</v>
      </c>
      <c r="K114" s="203" t="str">
        <f>VLOOKUP(J114,Scenarios!$F$6:$L$105,MATCH($D$3,Scenario_choice,0)+1,FALSE)</f>
        <v>Removed</v>
      </c>
      <c r="L114" s="309" t="s">
        <v>439</v>
      </c>
    </row>
    <row r="115" spans="1:256" ht="12.75">
      <c r="D115" s="97"/>
      <c r="G115" s="49"/>
      <c r="H115" s="49"/>
      <c r="J115" s="322"/>
      <c r="K115" s="240"/>
      <c r="L115" s="309"/>
    </row>
    <row r="116" spans="1:256" ht="12.75">
      <c r="A116" s="233" t="s">
        <v>355</v>
      </c>
      <c r="D116" s="97"/>
      <c r="G116" s="49"/>
      <c r="H116" s="49"/>
      <c r="J116" s="322"/>
      <c r="K116" s="240"/>
      <c r="L116" s="309"/>
    </row>
    <row r="117" spans="1:256" ht="12.75">
      <c r="A117" s="233"/>
      <c r="B117" s="233"/>
      <c r="C117" s="233"/>
      <c r="D117" s="97" t="s">
        <v>356</v>
      </c>
      <c r="E117" s="233"/>
      <c r="F117" s="233"/>
      <c r="G117" s="48" t="s">
        <v>359</v>
      </c>
      <c r="H117" s="48"/>
      <c r="I117" s="233"/>
      <c r="J117" s="322" t="s">
        <v>357</v>
      </c>
      <c r="K117" s="235" t="str">
        <f>VLOOKUP(J117,Scenarios!$F$6:$L$152,MATCH($D$3,Scenario_choice,0)+1,FALSE)</f>
        <v>Removed</v>
      </c>
      <c r="L117" s="309" t="s">
        <v>440</v>
      </c>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233"/>
      <c r="AP117" s="233"/>
      <c r="AQ117" s="233"/>
      <c r="AR117" s="233"/>
      <c r="AS117" s="233"/>
      <c r="AT117" s="233"/>
      <c r="AU117" s="233"/>
      <c r="AV117" s="233"/>
      <c r="AW117" s="233"/>
      <c r="AX117" s="233"/>
      <c r="AY117" s="233"/>
      <c r="AZ117" s="233"/>
      <c r="BA117" s="233"/>
      <c r="BB117" s="233"/>
      <c r="BC117" s="233"/>
      <c r="BD117" s="233"/>
      <c r="BE117" s="233"/>
      <c r="BF117" s="233"/>
      <c r="BG117" s="233"/>
      <c r="BH117" s="233"/>
      <c r="BI117" s="233"/>
      <c r="BJ117" s="233"/>
      <c r="BK117" s="233"/>
      <c r="BL117" s="233"/>
      <c r="BM117" s="233"/>
      <c r="BN117" s="233"/>
      <c r="BO117" s="233"/>
      <c r="BP117" s="233"/>
      <c r="BQ117" s="233"/>
      <c r="BR117" s="233"/>
      <c r="BS117" s="233"/>
      <c r="BT117" s="233"/>
      <c r="BU117" s="233"/>
      <c r="BV117" s="233"/>
      <c r="BW117" s="233"/>
      <c r="BX117" s="233"/>
      <c r="BY117" s="233"/>
      <c r="BZ117" s="233"/>
      <c r="CA117" s="233"/>
      <c r="CB117" s="233"/>
      <c r="CC117" s="233"/>
      <c r="CD117" s="233"/>
      <c r="CE117" s="233"/>
      <c r="CF117" s="233"/>
      <c r="CG117" s="233"/>
      <c r="CH117" s="233"/>
      <c r="CI117" s="233"/>
      <c r="CJ117" s="233"/>
      <c r="CK117" s="233"/>
      <c r="CL117" s="233"/>
      <c r="CM117" s="233"/>
      <c r="CN117" s="233"/>
      <c r="CO117" s="233"/>
      <c r="CP117" s="233"/>
      <c r="CQ117" s="233"/>
      <c r="CR117" s="233"/>
      <c r="CS117" s="233"/>
      <c r="CT117" s="233"/>
      <c r="CU117" s="233"/>
      <c r="CV117" s="233"/>
      <c r="CW117" s="233"/>
      <c r="CX117" s="233"/>
      <c r="CY117" s="233"/>
      <c r="CZ117" s="233"/>
      <c r="DA117" s="233"/>
      <c r="DB117" s="233"/>
      <c r="DC117" s="233"/>
      <c r="DD117" s="233"/>
      <c r="DE117" s="233"/>
      <c r="DF117" s="233"/>
      <c r="DG117" s="233"/>
      <c r="DH117" s="233"/>
      <c r="DI117" s="233"/>
      <c r="DJ117" s="233"/>
      <c r="DK117" s="233"/>
      <c r="DL117" s="233"/>
      <c r="DM117" s="233"/>
      <c r="DN117" s="233"/>
      <c r="DO117" s="233"/>
      <c r="DP117" s="233"/>
      <c r="DQ117" s="233"/>
      <c r="DR117" s="233"/>
      <c r="DS117" s="233"/>
      <c r="DT117" s="233"/>
      <c r="DU117" s="233"/>
      <c r="DV117" s="233"/>
      <c r="DW117" s="233"/>
      <c r="DX117" s="233"/>
      <c r="DY117" s="233"/>
      <c r="DZ117" s="233"/>
      <c r="EA117" s="233"/>
      <c r="EB117" s="233"/>
      <c r="EC117" s="233"/>
      <c r="ED117" s="233"/>
      <c r="EE117" s="233"/>
      <c r="EF117" s="233"/>
      <c r="EG117" s="233"/>
      <c r="EH117" s="233"/>
      <c r="EI117" s="233"/>
      <c r="EJ117" s="233"/>
      <c r="EK117" s="233"/>
      <c r="EL117" s="233"/>
      <c r="EM117" s="233"/>
      <c r="EN117" s="233"/>
      <c r="EO117" s="233"/>
      <c r="EP117" s="233"/>
      <c r="EQ117" s="233"/>
      <c r="ER117" s="233"/>
      <c r="ES117" s="233"/>
      <c r="ET117" s="233"/>
      <c r="EU117" s="233"/>
      <c r="EV117" s="233"/>
      <c r="EW117" s="233"/>
      <c r="EX117" s="233"/>
      <c r="EY117" s="233"/>
      <c r="EZ117" s="233"/>
      <c r="FA117" s="233"/>
      <c r="FB117" s="233"/>
      <c r="FC117" s="233"/>
      <c r="FD117" s="233"/>
      <c r="FE117" s="233"/>
      <c r="FF117" s="233"/>
      <c r="FG117" s="233"/>
      <c r="FH117" s="233"/>
      <c r="FI117" s="233"/>
      <c r="FJ117" s="233"/>
      <c r="FK117" s="233"/>
      <c r="FL117" s="233"/>
      <c r="FM117" s="233"/>
      <c r="FN117" s="233"/>
      <c r="FO117" s="233"/>
      <c r="FP117" s="233"/>
      <c r="FQ117" s="233"/>
      <c r="FR117" s="233"/>
      <c r="FS117" s="233"/>
      <c r="FT117" s="233"/>
      <c r="FU117" s="233"/>
      <c r="FV117" s="233"/>
      <c r="FW117" s="233"/>
      <c r="FX117" s="233"/>
      <c r="FY117" s="233"/>
      <c r="FZ117" s="233"/>
      <c r="GA117" s="233"/>
      <c r="GB117" s="233"/>
      <c r="GC117" s="233"/>
      <c r="GD117" s="233"/>
      <c r="GE117" s="233"/>
      <c r="GF117" s="233"/>
      <c r="GG117" s="233"/>
      <c r="GH117" s="233"/>
      <c r="GI117" s="233"/>
      <c r="GJ117" s="233"/>
      <c r="GK117" s="233"/>
      <c r="GL117" s="233"/>
      <c r="GM117" s="233"/>
      <c r="GN117" s="233"/>
      <c r="GO117" s="233"/>
      <c r="GP117" s="233"/>
      <c r="GQ117" s="233"/>
      <c r="GR117" s="233"/>
      <c r="GS117" s="233"/>
      <c r="GT117" s="233"/>
      <c r="GU117" s="233"/>
      <c r="GV117" s="233"/>
      <c r="GW117" s="233"/>
      <c r="GX117" s="233"/>
      <c r="GY117" s="233"/>
      <c r="GZ117" s="233"/>
      <c r="HA117" s="233"/>
      <c r="HB117" s="233"/>
      <c r="HC117" s="233"/>
      <c r="HD117" s="233"/>
      <c r="HE117" s="233"/>
      <c r="HF117" s="233"/>
      <c r="HG117" s="233"/>
      <c r="HH117" s="233"/>
      <c r="HI117" s="233"/>
      <c r="HJ117" s="233"/>
      <c r="HK117" s="233"/>
      <c r="HL117" s="233"/>
      <c r="HM117" s="233"/>
      <c r="HN117" s="233"/>
      <c r="HO117" s="233"/>
      <c r="HP117" s="233"/>
      <c r="HQ117" s="233"/>
      <c r="HR117" s="233"/>
      <c r="HS117" s="233"/>
      <c r="HT117" s="233"/>
      <c r="HU117" s="233"/>
      <c r="HV117" s="233"/>
      <c r="HW117" s="233"/>
      <c r="HX117" s="233"/>
      <c r="HY117" s="233"/>
      <c r="HZ117" s="233"/>
      <c r="IA117" s="233"/>
      <c r="IB117" s="233"/>
      <c r="IC117" s="233"/>
      <c r="ID117" s="233"/>
      <c r="IE117" s="233"/>
      <c r="IF117" s="233"/>
      <c r="IG117" s="233"/>
      <c r="IH117" s="233"/>
      <c r="II117" s="233"/>
      <c r="IJ117" s="233"/>
      <c r="IK117" s="233"/>
      <c r="IL117" s="233"/>
      <c r="IM117" s="233"/>
      <c r="IN117" s="233"/>
      <c r="IO117" s="233"/>
      <c r="IP117" s="233"/>
      <c r="IQ117" s="233"/>
      <c r="IR117" s="233"/>
      <c r="IS117" s="233"/>
      <c r="IT117" s="233"/>
      <c r="IU117" s="233"/>
      <c r="IV117" s="233"/>
    </row>
    <row r="118" spans="1:256">
      <c r="J118" s="326"/>
      <c r="L118" s="308"/>
    </row>
    <row r="119" spans="1:256" ht="12.75">
      <c r="A119" s="72" t="s">
        <v>446</v>
      </c>
      <c r="J119" s="326"/>
      <c r="L119" s="272" t="s">
        <v>441</v>
      </c>
    </row>
    <row r="120" spans="1:256" ht="12.75">
      <c r="D120" s="53" t="s">
        <v>251</v>
      </c>
      <c r="E120" s="58"/>
      <c r="F120" s="58"/>
      <c r="G120" s="58"/>
      <c r="H120" s="60"/>
      <c r="J120" s="326"/>
      <c r="L120" s="308"/>
    </row>
    <row r="121" spans="1:256" ht="12.75">
      <c r="D121" s="58"/>
      <c r="E121" s="58"/>
      <c r="F121" s="58"/>
      <c r="G121" s="48" t="s">
        <v>233</v>
      </c>
      <c r="H121" s="48" t="s">
        <v>134</v>
      </c>
      <c r="J121" s="322" t="s">
        <v>235</v>
      </c>
      <c r="K121" s="201">
        <f>VLOOKUP(J121,Scenarios!$F$6:$L$105,MATCH($D$3,Scenario_choice,0)+1,FALSE)</f>
        <v>1979994.6994530063</v>
      </c>
      <c r="L121" s="308"/>
    </row>
    <row r="122" spans="1:256" ht="12.75">
      <c r="D122" s="53" t="s">
        <v>251</v>
      </c>
      <c r="E122" s="58"/>
      <c r="F122" s="58"/>
      <c r="G122" s="58"/>
      <c r="H122" s="60"/>
      <c r="J122" s="322"/>
      <c r="K122" s="199"/>
      <c r="L122" s="308"/>
    </row>
    <row r="123" spans="1:256" ht="12.75">
      <c r="D123" s="58"/>
      <c r="E123" s="58"/>
      <c r="F123" s="58"/>
      <c r="G123" s="48" t="s">
        <v>236</v>
      </c>
      <c r="H123" s="48" t="s">
        <v>134</v>
      </c>
      <c r="J123" s="322" t="s">
        <v>239</v>
      </c>
      <c r="K123" s="201">
        <f>VLOOKUP(J123,Scenarios!$F$6:$L$105,MATCH($D$3,Scenario_choice,0)+1,FALSE)</f>
        <v>1894599.3219721655</v>
      </c>
      <c r="L123" s="308"/>
    </row>
    <row r="124" spans="1:256" s="16" customFormat="1" ht="12.75">
      <c r="A124"/>
      <c r="B124"/>
      <c r="C124"/>
      <c r="D124" s="53" t="s">
        <v>251</v>
      </c>
      <c r="E124" s="58"/>
      <c r="F124" s="58"/>
      <c r="G124" s="58"/>
      <c r="H124" s="60"/>
      <c r="I124" s="57"/>
      <c r="J124" s="322"/>
      <c r="K124" s="200"/>
      <c r="L124" s="307"/>
      <c r="M124" s="57"/>
      <c r="N124" s="57"/>
    </row>
    <row r="125" spans="1:256" s="16" customFormat="1" ht="12.75">
      <c r="A125"/>
      <c r="B125"/>
      <c r="C125"/>
      <c r="D125" s="58"/>
      <c r="E125" s="58"/>
      <c r="F125" s="58"/>
      <c r="G125" s="48" t="s">
        <v>237</v>
      </c>
      <c r="H125" s="48" t="s">
        <v>134</v>
      </c>
      <c r="I125" s="57"/>
      <c r="J125" s="322" t="s">
        <v>240</v>
      </c>
      <c r="K125" s="201">
        <f>VLOOKUP(J125,Scenarios!$F$6:$L$105,MATCH($D$3,Scenario_choice,0)+1,FALSE)</f>
        <v>1812886.9697525084</v>
      </c>
      <c r="L125" s="272"/>
      <c r="M125" s="57"/>
      <c r="N125" s="57"/>
    </row>
    <row r="126" spans="1:256" s="16" customFormat="1" ht="12.75">
      <c r="A126"/>
      <c r="B126"/>
      <c r="C126"/>
      <c r="D126" s="53" t="s">
        <v>251</v>
      </c>
      <c r="E126" s="58"/>
      <c r="F126" s="58"/>
      <c r="G126" s="58"/>
      <c r="H126" s="60"/>
      <c r="I126" s="57"/>
      <c r="J126" s="322"/>
      <c r="K126" s="200"/>
      <c r="L126" s="307"/>
      <c r="M126" s="57"/>
      <c r="N126" s="57"/>
    </row>
    <row r="127" spans="1:256" s="16" customFormat="1" ht="12.75">
      <c r="A127"/>
      <c r="B127"/>
      <c r="C127"/>
      <c r="D127" s="58"/>
      <c r="E127" s="58"/>
      <c r="F127" s="58"/>
      <c r="G127" s="48" t="s">
        <v>238</v>
      </c>
      <c r="H127" s="48" t="s">
        <v>134</v>
      </c>
      <c r="I127" s="57"/>
      <c r="J127" s="322" t="s">
        <v>241</v>
      </c>
      <c r="K127" s="201">
        <f>VLOOKUP(J127,Scenarios!$F$6:$L$105,MATCH($D$3,Scenario_choice,0)+1,FALSE)</f>
        <v>1734698.7972513996</v>
      </c>
      <c r="L127" s="272"/>
      <c r="M127" s="57"/>
      <c r="N127" s="57"/>
    </row>
    <row r="128" spans="1:256">
      <c r="J128" s="326"/>
      <c r="L128" s="308"/>
    </row>
    <row r="129" spans="1:14" ht="12.75">
      <c r="A129" s="72" t="s">
        <v>445</v>
      </c>
      <c r="J129" s="326"/>
      <c r="L129" s="272" t="s">
        <v>441</v>
      </c>
    </row>
    <row r="130" spans="1:14" ht="12.75">
      <c r="D130" s="53" t="s">
        <v>251</v>
      </c>
      <c r="E130" s="58"/>
      <c r="F130" s="58"/>
      <c r="G130" s="58"/>
      <c r="H130" s="60"/>
      <c r="J130" s="326"/>
      <c r="L130" s="308"/>
    </row>
    <row r="131" spans="1:14" ht="12.75">
      <c r="D131" s="58"/>
      <c r="E131" s="58"/>
      <c r="F131" s="58"/>
      <c r="G131" s="48" t="s">
        <v>233</v>
      </c>
      <c r="H131" s="48" t="s">
        <v>134</v>
      </c>
      <c r="J131" s="322" t="s">
        <v>244</v>
      </c>
      <c r="K131" s="201">
        <f>VLOOKUP(J131,Scenarios!$F$6:$L$105,MATCH($D$3,Scenario_choice,0)+1,FALSE)</f>
        <v>115211.23215495952</v>
      </c>
      <c r="L131" s="308"/>
    </row>
    <row r="132" spans="1:14" ht="12.75">
      <c r="D132" s="53" t="s">
        <v>251</v>
      </c>
      <c r="E132" s="58"/>
      <c r="F132" s="58"/>
      <c r="G132" s="58"/>
      <c r="H132" s="60"/>
      <c r="J132" s="322"/>
      <c r="K132" s="199"/>
      <c r="L132" s="308"/>
    </row>
    <row r="133" spans="1:14" ht="12.75">
      <c r="D133" s="58"/>
      <c r="E133" s="58"/>
      <c r="F133" s="58"/>
      <c r="G133" s="48" t="s">
        <v>236</v>
      </c>
      <c r="H133" s="48" t="s">
        <v>134</v>
      </c>
      <c r="J133" s="322" t="s">
        <v>245</v>
      </c>
      <c r="K133" s="201">
        <f>VLOOKUP(J133,Scenarios!$F$6:$L$105,MATCH($D$3,Scenario_choice,0)+1,FALSE)</f>
        <v>183455.23696761933</v>
      </c>
      <c r="L133" s="308"/>
    </row>
    <row r="134" spans="1:14" s="16" customFormat="1" ht="12.75">
      <c r="A134"/>
      <c r="B134"/>
      <c r="C134"/>
      <c r="D134" s="53" t="s">
        <v>251</v>
      </c>
      <c r="E134" s="58"/>
      <c r="F134" s="58"/>
      <c r="G134" s="58"/>
      <c r="H134" s="60"/>
      <c r="I134" s="57"/>
      <c r="J134" s="322"/>
      <c r="K134" s="200"/>
      <c r="L134" s="307"/>
      <c r="M134" s="57"/>
      <c r="N134" s="57"/>
    </row>
    <row r="135" spans="1:14" s="16" customFormat="1" ht="12.75">
      <c r="A135"/>
      <c r="B135"/>
      <c r="C135"/>
      <c r="D135" s="58"/>
      <c r="E135" s="58"/>
      <c r="F135" s="58"/>
      <c r="G135" s="48" t="s">
        <v>237</v>
      </c>
      <c r="H135" s="48" t="s">
        <v>134</v>
      </c>
      <c r="I135" s="57"/>
      <c r="J135" s="322" t="s">
        <v>246</v>
      </c>
      <c r="K135" s="201">
        <f>VLOOKUP(J135,Scenarios!$F$6:$L$105,MATCH($D$3,Scenario_choice,0)+1,FALSE)</f>
        <v>175542.97881055714</v>
      </c>
      <c r="L135" s="272"/>
      <c r="M135" s="57"/>
      <c r="N135" s="57"/>
    </row>
    <row r="136" spans="1:14" s="16" customFormat="1" ht="12.75">
      <c r="A136"/>
      <c r="B136"/>
      <c r="C136"/>
      <c r="D136" s="53" t="s">
        <v>251</v>
      </c>
      <c r="E136" s="58"/>
      <c r="F136" s="58"/>
      <c r="G136" s="58"/>
      <c r="H136" s="60"/>
      <c r="I136" s="57"/>
      <c r="J136" s="322"/>
      <c r="K136" s="200"/>
      <c r="L136" s="307"/>
      <c r="M136" s="57"/>
      <c r="N136" s="57"/>
    </row>
    <row r="137" spans="1:14" s="16" customFormat="1" ht="12.75">
      <c r="A137"/>
      <c r="B137"/>
      <c r="C137"/>
      <c r="D137" s="58"/>
      <c r="E137" s="58"/>
      <c r="F137" s="58"/>
      <c r="G137" s="48" t="s">
        <v>238</v>
      </c>
      <c r="H137" s="48" t="s">
        <v>134</v>
      </c>
      <c r="I137" s="57"/>
      <c r="J137" s="322" t="s">
        <v>247</v>
      </c>
      <c r="K137" s="201">
        <f>VLOOKUP(J137,Scenarios!$F$6:$L$105,MATCH($D$3,Scenario_choice,0)+1,FALSE)</f>
        <v>167971.96917917792</v>
      </c>
      <c r="L137" s="272"/>
      <c r="M137" s="57"/>
      <c r="N137" s="57"/>
    </row>
    <row r="138" spans="1:14">
      <c r="J138" s="326"/>
      <c r="L138" s="308"/>
    </row>
    <row r="139" spans="1:14" ht="12.75">
      <c r="A139" s="72" t="s">
        <v>442</v>
      </c>
      <c r="J139" s="326"/>
      <c r="L139" s="272"/>
    </row>
    <row r="140" spans="1:14" ht="12.75">
      <c r="D140" s="53" t="s">
        <v>443</v>
      </c>
      <c r="E140" s="58"/>
      <c r="F140" s="58"/>
      <c r="G140" s="58"/>
      <c r="H140" s="60"/>
      <c r="J140" s="326"/>
      <c r="L140" s="308"/>
    </row>
    <row r="141" spans="1:14" ht="12.75">
      <c r="D141" s="58"/>
      <c r="E141" s="58"/>
      <c r="F141" s="58"/>
      <c r="G141" s="48" t="s">
        <v>252</v>
      </c>
      <c r="H141" s="202" t="s">
        <v>249</v>
      </c>
      <c r="J141" s="322" t="s">
        <v>250</v>
      </c>
      <c r="K141" s="120">
        <f>VLOOKUP(J141,Scenarios!$F$6:$L$105,MATCH($D$3,Scenario_choice,0)+1,FALSE)</f>
        <v>-0.106453450992647</v>
      </c>
      <c r="L141" s="308"/>
    </row>
    <row r="142" spans="1:14" ht="12.75">
      <c r="D142" s="53" t="s">
        <v>256</v>
      </c>
      <c r="E142" s="58"/>
      <c r="F142" s="58"/>
      <c r="G142" s="58"/>
      <c r="H142" s="60"/>
      <c r="J142" s="326"/>
      <c r="L142" s="308"/>
    </row>
    <row r="143" spans="1:14" ht="12.75">
      <c r="D143" s="58"/>
      <c r="E143" s="58"/>
      <c r="F143" s="58"/>
      <c r="G143" s="48" t="s">
        <v>252</v>
      </c>
      <c r="H143" s="202" t="s">
        <v>249</v>
      </c>
      <c r="J143" s="322" t="s">
        <v>255</v>
      </c>
      <c r="K143" s="120">
        <f>VLOOKUP(J143,Scenarios!$F$6:$L$105,MATCH($D$3,Scenario_choice,0)+1,FALSE)</f>
        <v>0.05</v>
      </c>
      <c r="L143" s="308"/>
    </row>
    <row r="144" spans="1:14">
      <c r="J144" s="326"/>
      <c r="L144" s="308"/>
    </row>
    <row r="145" spans="1:12" ht="12.75">
      <c r="A145" s="72" t="s">
        <v>291</v>
      </c>
      <c r="J145" s="326"/>
      <c r="L145" s="272"/>
    </row>
    <row r="146" spans="1:12" ht="12.75">
      <c r="D146" s="53" t="s">
        <v>294</v>
      </c>
      <c r="E146" s="58"/>
      <c r="F146" s="58"/>
      <c r="G146" s="58"/>
      <c r="H146" s="60"/>
      <c r="J146" s="326"/>
      <c r="L146" s="308"/>
    </row>
    <row r="147" spans="1:12" ht="12.75">
      <c r="D147" s="58"/>
      <c r="E147" s="58"/>
      <c r="F147" s="58"/>
      <c r="G147" s="48" t="s">
        <v>34</v>
      </c>
      <c r="H147" s="48"/>
      <c r="J147" s="322" t="s">
        <v>292</v>
      </c>
      <c r="K147" s="203" t="e">
        <f>VLOOKUP(J147,Scenarios!$F$6:$L$105,MATCH($D$3,Scenario_choice,0)+1,FALSE)</f>
        <v>#VALUE!</v>
      </c>
      <c r="L147" s="308"/>
    </row>
    <row r="148" spans="1:12" ht="12.75">
      <c r="D148" s="53" t="s">
        <v>99</v>
      </c>
      <c r="E148" s="58"/>
      <c r="F148" s="58"/>
      <c r="G148" s="58"/>
      <c r="H148" s="60"/>
      <c r="J148" s="322"/>
      <c r="K148" s="199"/>
      <c r="L148" s="308"/>
    </row>
    <row r="149" spans="1:12" ht="12.75">
      <c r="D149" s="58"/>
      <c r="E149" s="58"/>
      <c r="F149" s="58"/>
      <c r="G149" s="48" t="s">
        <v>34</v>
      </c>
      <c r="H149" s="48"/>
      <c r="J149" s="322" t="s">
        <v>293</v>
      </c>
      <c r="K149" s="203" t="e">
        <f>VLOOKUP(J149,Scenarios!$F$6:$L$105,MATCH($D$3,Scenario_choice,0)+1,FALSE)</f>
        <v>#VALUE!</v>
      </c>
      <c r="L149" s="308"/>
    </row>
    <row r="150" spans="1:12">
      <c r="J150" s="326"/>
      <c r="L150" s="308"/>
    </row>
    <row r="151" spans="1:12">
      <c r="J151" s="326"/>
      <c r="L151" s="308"/>
    </row>
    <row r="152" spans="1:12" ht="12.75">
      <c r="A152" s="72" t="s">
        <v>444</v>
      </c>
      <c r="J152" s="326"/>
      <c r="L152" s="272"/>
    </row>
    <row r="153" spans="1:12" ht="12.75">
      <c r="D153" s="53" t="s">
        <v>131</v>
      </c>
      <c r="E153" s="58"/>
      <c r="F153" s="58"/>
      <c r="G153" s="58"/>
      <c r="H153" s="60"/>
      <c r="J153" s="326"/>
      <c r="L153" s="308"/>
    </row>
    <row r="154" spans="1:12" ht="12.75">
      <c r="D154" s="58"/>
      <c r="E154" s="58"/>
      <c r="F154" s="58"/>
      <c r="G154" s="48" t="s">
        <v>34</v>
      </c>
      <c r="H154" s="48"/>
      <c r="J154" s="322" t="s">
        <v>231</v>
      </c>
      <c r="K154" s="203">
        <f>VLOOKUP(J154,Scenarios!$F$6:$L$105,MATCH($D$3,Scenario_choice,0)+1,FALSE)</f>
        <v>141</v>
      </c>
      <c r="L154" s="308"/>
    </row>
    <row r="155" spans="1:12" ht="12.75">
      <c r="D155" s="53" t="s">
        <v>132</v>
      </c>
      <c r="E155" s="58"/>
      <c r="F155" s="58"/>
      <c r="G155" s="58"/>
      <c r="H155" s="60"/>
      <c r="J155" s="322"/>
      <c r="K155" s="199"/>
      <c r="L155" s="308"/>
    </row>
    <row r="156" spans="1:12" ht="12.75">
      <c r="D156" s="58"/>
      <c r="E156" s="58"/>
      <c r="F156" s="58"/>
      <c r="G156" s="48" t="s">
        <v>34</v>
      </c>
      <c r="H156" s="48"/>
      <c r="J156" s="322" t="s">
        <v>232</v>
      </c>
      <c r="K156" s="203">
        <f>VLOOKUP(J156,Scenarios!$F$6:$L$105,MATCH($D$3,Scenario_choice,0)+1,FALSE)</f>
        <v>40.71</v>
      </c>
      <c r="L156" s="308"/>
    </row>
  </sheetData>
  <dataValidations count="1">
    <dataValidation type="list" showInputMessage="1" showErrorMessage="1" sqref="D3">
      <formula1>" &lt;Enter scenario HERE&gt;, Base,&lt;Enter scenario 2&gt;, &lt;Enter scenario 3&gt;, &lt;Enter scenario 4&gt;, &lt;Enter scenario 5&gt;, &lt;Enter scenario 6&gt;,"</formula1>
    </dataValidation>
  </dataValidations>
  <pageMargins left="0.74803149606299213" right="0.74803149606299213" top="0.98425196850393704" bottom="0.98425196850393704" header="0.51181102362204722" footer="0.51181102362204722"/>
  <pageSetup paperSize="9" scale="60" fitToWidth="2" fitToHeight="2" orientation="portrait" r:id="rId1"/>
  <headerFooter alignWithMargins="0">
    <oddFooter>&amp;L&amp;A :page&amp;P&amp;COfcom Confidential&amp;R&amp;D</oddFooter>
  </headerFooter>
</worksheet>
</file>

<file path=xl/worksheets/sheet5.xml><?xml version="1.0" encoding="utf-8"?>
<worksheet xmlns="http://schemas.openxmlformats.org/spreadsheetml/2006/main" xmlns:r="http://schemas.openxmlformats.org/officeDocument/2006/relationships">
  <sheetPr>
    <pageSetUpPr autoPageBreaks="0" fitToPage="1"/>
  </sheetPr>
  <dimension ref="A1:M80"/>
  <sheetViews>
    <sheetView defaultGridColor="0" colorId="22" zoomScale="85" zoomScaleNormal="85" workbookViewId="0">
      <pane ySplit="1" topLeftCell="A44" activePane="bottomLeft" state="frozen"/>
      <selection pane="bottomLeft"/>
    </sheetView>
  </sheetViews>
  <sheetFormatPr defaultColWidth="12.7109375" defaultRowHeight="12"/>
  <cols>
    <col min="1" max="1" width="39.42578125" style="17" customWidth="1"/>
    <col min="2" max="2" width="9.42578125" style="17" customWidth="1"/>
    <col min="3" max="3" width="8.7109375" style="17" customWidth="1"/>
    <col min="4" max="4" width="9" style="17" customWidth="1"/>
    <col min="5" max="5" width="12.140625" style="17" customWidth="1"/>
    <col min="6" max="6" width="2.140625" style="17" customWidth="1"/>
    <col min="7" max="7" width="34.85546875" style="17" customWidth="1"/>
    <col min="8" max="8" width="9.5703125" style="17" customWidth="1"/>
    <col min="9" max="9" width="8.5703125" style="17" customWidth="1"/>
    <col min="10" max="10" width="10.140625" style="17" customWidth="1"/>
    <col min="11" max="11" width="10.85546875" style="17" customWidth="1"/>
    <col min="12" max="16384" width="12.7109375" style="17"/>
  </cols>
  <sheetData>
    <row r="1" spans="1:13" s="41" customFormat="1" ht="27" thickBot="1">
      <c r="A1" s="327" t="s">
        <v>133</v>
      </c>
      <c r="B1" s="73"/>
      <c r="C1" s="73"/>
      <c r="D1" s="73"/>
      <c r="E1" s="73"/>
      <c r="F1" s="73"/>
      <c r="G1" s="73"/>
      <c r="H1" s="73"/>
      <c r="I1" s="73"/>
      <c r="J1" s="73"/>
      <c r="K1" s="73"/>
      <c r="L1" s="73"/>
      <c r="M1" s="73"/>
    </row>
    <row r="2" spans="1:13" ht="12.75" thickTop="1"/>
    <row r="3" spans="1:13" ht="12.75">
      <c r="A3" s="72" t="s">
        <v>159</v>
      </c>
      <c r="G3" s="72" t="s">
        <v>160</v>
      </c>
    </row>
    <row r="5" spans="1:13">
      <c r="A5" s="22"/>
      <c r="B5" s="339" t="s">
        <v>38</v>
      </c>
      <c r="C5" s="339"/>
      <c r="D5" s="339"/>
      <c r="E5" s="336" t="s">
        <v>98</v>
      </c>
      <c r="G5" s="18"/>
      <c r="H5" s="339" t="s">
        <v>38</v>
      </c>
      <c r="I5" s="339"/>
      <c r="J5" s="339"/>
      <c r="K5" s="342" t="s">
        <v>98</v>
      </c>
    </row>
    <row r="6" spans="1:13">
      <c r="A6" s="22"/>
      <c r="B6" s="339" t="s">
        <v>32</v>
      </c>
      <c r="C6" s="339"/>
      <c r="D6" s="87" t="s">
        <v>36</v>
      </c>
      <c r="E6" s="337"/>
      <c r="H6" s="339" t="s">
        <v>32</v>
      </c>
      <c r="I6" s="339"/>
      <c r="J6" s="87" t="s">
        <v>36</v>
      </c>
      <c r="K6" s="343"/>
    </row>
    <row r="7" spans="1:13">
      <c r="A7" s="29" t="s">
        <v>93</v>
      </c>
      <c r="B7" s="29" t="s">
        <v>34</v>
      </c>
      <c r="C7" s="29" t="s">
        <v>35</v>
      </c>
      <c r="D7" s="29" t="s">
        <v>35</v>
      </c>
      <c r="E7" s="338"/>
      <c r="G7" s="29" t="s">
        <v>33</v>
      </c>
      <c r="H7" s="29" t="s">
        <v>34</v>
      </c>
      <c r="I7" s="29" t="s">
        <v>35</v>
      </c>
      <c r="J7" s="29" t="s">
        <v>35</v>
      </c>
      <c r="K7" s="344"/>
    </row>
    <row r="8" spans="1:13">
      <c r="A8" s="103" t="s">
        <v>63</v>
      </c>
      <c r="B8" s="149" t="e">
        <f>CalcRental!I5</f>
        <v>#VALUE!</v>
      </c>
      <c r="C8" s="149" t="e">
        <f>CalcRental!J5</f>
        <v>#VALUE!</v>
      </c>
      <c r="D8" s="149" t="e">
        <f>CalcRental!K5</f>
        <v>#VALUE!</v>
      </c>
      <c r="E8" s="104" t="e">
        <f>CalcRental!M5</f>
        <v>#VALUE!</v>
      </c>
      <c r="G8" s="34" t="s">
        <v>39</v>
      </c>
      <c r="H8" s="98" t="e">
        <f>CalcConn!I5</f>
        <v>#VALUE!</v>
      </c>
      <c r="I8" s="98" t="e">
        <f>CalcConn!J5</f>
        <v>#VALUE!</v>
      </c>
      <c r="J8" s="98" t="e">
        <f>CalcConn!K5</f>
        <v>#VALUE!</v>
      </c>
      <c r="K8" s="101" t="e">
        <f>CalcConn!M5</f>
        <v>#VALUE!</v>
      </c>
    </row>
    <row r="9" spans="1:13">
      <c r="A9" s="100" t="s">
        <v>64</v>
      </c>
      <c r="B9" s="149" t="e">
        <f>CalcRental!I6</f>
        <v>#VALUE!</v>
      </c>
      <c r="C9" s="149" t="e">
        <f>CalcRental!J6</f>
        <v>#VALUE!</v>
      </c>
      <c r="D9" s="149" t="e">
        <f>CalcRental!K6</f>
        <v>#VALUE!</v>
      </c>
      <c r="E9" s="104" t="e">
        <f>CalcRental!M6</f>
        <v>#VALUE!</v>
      </c>
      <c r="G9" s="102" t="s">
        <v>99</v>
      </c>
      <c r="H9" s="98" t="e">
        <f>CalcConn!I6</f>
        <v>#VALUE!</v>
      </c>
      <c r="I9" s="98" t="e">
        <f>CalcConn!J6</f>
        <v>#VALUE!</v>
      </c>
      <c r="J9" s="98" t="e">
        <f>CalcConn!K6</f>
        <v>#VALUE!</v>
      </c>
      <c r="K9" s="101" t="e">
        <f>CalcConn!M6</f>
        <v>#VALUE!</v>
      </c>
    </row>
    <row r="10" spans="1:13">
      <c r="A10" s="100" t="s">
        <v>19</v>
      </c>
      <c r="B10" s="149" t="e">
        <f>CalcRental!I7</f>
        <v>#VALUE!</v>
      </c>
      <c r="C10" s="149" t="e">
        <f>CalcRental!J7</f>
        <v>#VALUE!</v>
      </c>
      <c r="D10" s="149" t="e">
        <f>CalcRental!K7</f>
        <v>#VALUE!</v>
      </c>
      <c r="E10" s="104" t="e">
        <f>CalcRental!M7</f>
        <v>#VALUE!</v>
      </c>
      <c r="G10" s="102" t="s">
        <v>65</v>
      </c>
      <c r="H10" s="98" t="e">
        <f>CalcConn!I7</f>
        <v>#VALUE!</v>
      </c>
      <c r="I10" s="98" t="e">
        <f>CalcConn!J7</f>
        <v>#VALUE!</v>
      </c>
      <c r="J10" s="98" t="e">
        <f>CalcConn!K7</f>
        <v>#VALUE!</v>
      </c>
      <c r="K10" s="101" t="e">
        <f>CalcConn!M7</f>
        <v>#VALUE!</v>
      </c>
    </row>
    <row r="11" spans="1:13">
      <c r="A11" s="100" t="s">
        <v>94</v>
      </c>
      <c r="B11" s="149" t="e">
        <f>CalcRental!I8</f>
        <v>#VALUE!</v>
      </c>
      <c r="C11" s="149" t="e">
        <f>CalcRental!J8</f>
        <v>#VALUE!</v>
      </c>
      <c r="D11" s="149" t="e">
        <f>CalcRental!K8</f>
        <v>#VALUE!</v>
      </c>
      <c r="E11" s="104" t="e">
        <f>CalcRental!M8</f>
        <v>#VALUE!</v>
      </c>
      <c r="G11" s="102" t="s">
        <v>96</v>
      </c>
      <c r="H11" s="98" t="e">
        <f>CalcConn!I8</f>
        <v>#VALUE!</v>
      </c>
      <c r="I11" s="98" t="e">
        <f>CalcConn!J8</f>
        <v>#VALUE!</v>
      </c>
      <c r="J11" s="98" t="e">
        <f>CalcConn!K8</f>
        <v>#VALUE!</v>
      </c>
      <c r="K11" s="101" t="e">
        <f>CalcConn!M8</f>
        <v>#VALUE!</v>
      </c>
    </row>
    <row r="12" spans="1:13">
      <c r="A12" s="100" t="s">
        <v>263</v>
      </c>
      <c r="B12" s="149" t="e">
        <f>CalcRental!I9</f>
        <v>#VALUE!</v>
      </c>
      <c r="C12" s="149" t="e">
        <f>CalcRental!J9</f>
        <v>#VALUE!</v>
      </c>
      <c r="D12" s="149" t="e">
        <f>CalcRental!K9</f>
        <v>#VALUE!</v>
      </c>
      <c r="E12" s="104" t="e">
        <f>CalcRental!M9</f>
        <v>#VALUE!</v>
      </c>
      <c r="G12" s="102" t="s">
        <v>70</v>
      </c>
      <c r="H12" s="98" t="e">
        <f>CalcConn!I9</f>
        <v>#VALUE!</v>
      </c>
      <c r="I12" s="98" t="e">
        <f>CalcConn!J9</f>
        <v>#VALUE!</v>
      </c>
      <c r="J12" s="98" t="e">
        <f>CalcConn!K9</f>
        <v>#VALUE!</v>
      </c>
      <c r="K12" s="101" t="e">
        <f>CalcConn!M9</f>
        <v>#VALUE!</v>
      </c>
    </row>
    <row r="13" spans="1:13">
      <c r="A13" s="100" t="s">
        <v>65</v>
      </c>
      <c r="B13" s="149" t="e">
        <f>CalcRental!I10</f>
        <v>#VALUE!</v>
      </c>
      <c r="C13" s="149" t="e">
        <f>CalcRental!J10</f>
        <v>#VALUE!</v>
      </c>
      <c r="D13" s="149" t="e">
        <f>CalcRental!K10</f>
        <v>#VALUE!</v>
      </c>
      <c r="E13" s="104" t="e">
        <f>CalcRental!M10</f>
        <v>#VALUE!</v>
      </c>
      <c r="G13" s="102" t="s">
        <v>31</v>
      </c>
      <c r="H13" s="98" t="e">
        <f>CalcConn!I10</f>
        <v>#VALUE!</v>
      </c>
      <c r="I13" s="98" t="e">
        <f>CalcConn!J10</f>
        <v>#VALUE!</v>
      </c>
      <c r="J13" s="98" t="e">
        <f>CalcConn!K10</f>
        <v>#VALUE!</v>
      </c>
      <c r="K13" s="101" t="e">
        <f>CalcConn!M10</f>
        <v>#VALUE!</v>
      </c>
    </row>
    <row r="14" spans="1:13">
      <c r="A14" s="100" t="s">
        <v>290</v>
      </c>
      <c r="B14" s="149" t="e">
        <f>CalcRental!I11</f>
        <v>#VALUE!</v>
      </c>
      <c r="C14" s="149" t="e">
        <f>CalcRental!J11</f>
        <v>#VALUE!</v>
      </c>
      <c r="D14" s="149" t="e">
        <f>CalcRental!K11</f>
        <v>#VALUE!</v>
      </c>
      <c r="E14" s="104" t="e">
        <f>CalcRental!M11</f>
        <v>#VALUE!</v>
      </c>
    </row>
    <row r="15" spans="1:13">
      <c r="A15" s="100" t="s">
        <v>31</v>
      </c>
      <c r="B15" s="149" t="e">
        <f>CalcRental!I12</f>
        <v>#VALUE!</v>
      </c>
      <c r="C15" s="149" t="e">
        <f>CalcRental!J12</f>
        <v>#VALUE!</v>
      </c>
      <c r="D15" s="149" t="e">
        <f>CalcRental!K12</f>
        <v>#VALUE!</v>
      </c>
      <c r="E15" s="104" t="e">
        <f>CalcRental!M12</f>
        <v>#VALUE!</v>
      </c>
    </row>
    <row r="17" spans="1:10">
      <c r="C17" s="218"/>
      <c r="E17" s="218"/>
    </row>
    <row r="18" spans="1:10" ht="16.5" thickBot="1">
      <c r="A18" s="241" t="s">
        <v>125</v>
      </c>
      <c r="B18" s="242"/>
      <c r="C18" s="242"/>
      <c r="D18" s="242"/>
      <c r="E18" s="242"/>
    </row>
    <row r="19" spans="1:10" ht="13.5" thickTop="1">
      <c r="A19" s="72"/>
      <c r="H19" s="218"/>
      <c r="I19" s="218"/>
      <c r="J19" s="218"/>
    </row>
    <row r="20" spans="1:10" ht="15.75">
      <c r="A20" s="170" t="s">
        <v>296</v>
      </c>
      <c r="B20" s="171"/>
      <c r="C20" s="171"/>
      <c r="D20" s="171"/>
      <c r="E20" s="171"/>
    </row>
    <row r="21" spans="1:10" ht="15.75">
      <c r="A21" s="173"/>
      <c r="B21" s="174"/>
      <c r="C21" s="174"/>
      <c r="D21" s="174"/>
    </row>
    <row r="22" spans="1:10" ht="15.75">
      <c r="A22" s="107"/>
      <c r="B22" s="336" t="s">
        <v>119</v>
      </c>
      <c r="C22" s="341" t="s">
        <v>125</v>
      </c>
      <c r="D22" s="341"/>
      <c r="E22" s="341"/>
    </row>
    <row r="23" spans="1:10" ht="24">
      <c r="B23" s="340"/>
      <c r="C23" s="124" t="s">
        <v>105</v>
      </c>
      <c r="D23" s="124" t="s">
        <v>99</v>
      </c>
      <c r="E23" s="124" t="s">
        <v>120</v>
      </c>
    </row>
    <row r="24" spans="1:10">
      <c r="A24" s="119" t="s">
        <v>122</v>
      </c>
      <c r="B24" s="116" t="str">
        <f>'2009-2010'!B8</f>
        <v>N/a</v>
      </c>
      <c r="C24" s="249" t="e">
        <f>'2009-2010'!C8</f>
        <v>#VALUE!</v>
      </c>
      <c r="D24" s="249" t="e">
        <f>'2009-2010'!D8</f>
        <v>#VALUE!</v>
      </c>
      <c r="E24" s="249" t="e">
        <f>'2009-2010'!E8</f>
        <v>#VALUE!</v>
      </c>
    </row>
    <row r="25" spans="1:10">
      <c r="A25" s="119" t="s">
        <v>116</v>
      </c>
      <c r="B25" s="116">
        <f>'2009-2010'!B9</f>
        <v>627.25</v>
      </c>
      <c r="C25" s="249">
        <f>'2009-2010'!C9</f>
        <v>627.25</v>
      </c>
      <c r="D25" s="249" t="str">
        <f>'2009-2010'!D9</f>
        <v>N/a</v>
      </c>
      <c r="E25" s="249">
        <f>'2009-2010'!E9</f>
        <v>627.25</v>
      </c>
    </row>
    <row r="26" spans="1:10">
      <c r="A26" s="119" t="s">
        <v>117</v>
      </c>
      <c r="B26" s="116">
        <f>'2009-2010'!B10</f>
        <v>458.47</v>
      </c>
      <c r="C26" s="249" t="e">
        <f>'2009-2010'!C10</f>
        <v>#VALUE!</v>
      </c>
      <c r="D26" s="249" t="str">
        <f>'2009-2010'!D10</f>
        <v>N/a</v>
      </c>
      <c r="E26" s="249" t="e">
        <f>'2009-2010'!E10</f>
        <v>#VALUE!</v>
      </c>
    </row>
    <row r="27" spans="1:10">
      <c r="A27" s="119" t="s">
        <v>118</v>
      </c>
      <c r="B27" s="116">
        <f>'2009-2010'!B11</f>
        <v>51.57</v>
      </c>
      <c r="C27" s="249" t="e">
        <f>'2009-2010'!C11</f>
        <v>#VALUE!</v>
      </c>
      <c r="D27" s="249" t="str">
        <f>'2009-2010'!D11</f>
        <v>N/a</v>
      </c>
      <c r="E27" s="249" t="e">
        <f>'2009-2010'!E11</f>
        <v>#VALUE!</v>
      </c>
    </row>
    <row r="28" spans="1:10">
      <c r="A28" s="119" t="s">
        <v>129</v>
      </c>
      <c r="B28" s="116">
        <f>'2009-2010'!B12</f>
        <v>1864.54</v>
      </c>
      <c r="C28" s="249" t="str">
        <f>'2009-2010'!C12</f>
        <v>N/a</v>
      </c>
      <c r="D28" s="249" t="e">
        <f>'2009-2010'!D12</f>
        <v>#VALUE!</v>
      </c>
      <c r="E28" s="249" t="e">
        <f>'2009-2010'!E12</f>
        <v>#VALUE!</v>
      </c>
    </row>
    <row r="29" spans="1:10">
      <c r="A29" s="119" t="s">
        <v>126</v>
      </c>
      <c r="B29" s="116" t="str">
        <f>'2009-2010'!B13</f>
        <v>N/a</v>
      </c>
      <c r="C29" s="249" t="e">
        <f>'2009-2010'!C13</f>
        <v>#VALUE!</v>
      </c>
      <c r="D29" s="249" t="e">
        <f>'2009-2010'!D13</f>
        <v>#VALUE!</v>
      </c>
      <c r="E29" s="249" t="e">
        <f>'2009-2010'!E13</f>
        <v>#VALUE!</v>
      </c>
    </row>
    <row r="30" spans="1:10">
      <c r="A30" s="119" t="s">
        <v>97</v>
      </c>
      <c r="B30" s="116" t="str">
        <f>'2009-2010'!B14</f>
        <v>N/a</v>
      </c>
      <c r="C30" s="249" t="e">
        <f>'2009-2010'!C14</f>
        <v>#VALUE!</v>
      </c>
      <c r="D30" s="249" t="e">
        <f>'2009-2010'!D14</f>
        <v>#VALUE!</v>
      </c>
      <c r="E30" s="249" t="e">
        <f>'2009-2010'!E14</f>
        <v>#VALUE!</v>
      </c>
    </row>
    <row r="31" spans="1:10">
      <c r="A31" s="119" t="s">
        <v>121</v>
      </c>
      <c r="B31" s="116" t="str">
        <f>'2009-2010'!B15</f>
        <v>N/a</v>
      </c>
      <c r="C31" s="249" t="e">
        <f>'2009-2010'!C15</f>
        <v>#VALUE!</v>
      </c>
      <c r="D31" s="249" t="e">
        <f>'2009-2010'!D15</f>
        <v>#VALUE!</v>
      </c>
      <c r="E31" s="249" t="e">
        <f>'2009-2010'!E15</f>
        <v>#VALUE!</v>
      </c>
    </row>
    <row r="32" spans="1:10">
      <c r="A32" s="119" t="s">
        <v>123</v>
      </c>
      <c r="B32" s="116" t="str">
        <f>'2009-2010'!B16</f>
        <v>N/a</v>
      </c>
      <c r="C32" s="249" t="e">
        <f>'2009-2010'!C16</f>
        <v>#VALUE!</v>
      </c>
      <c r="D32" s="249" t="e">
        <f>'2009-2010'!D16</f>
        <v>#VALUE!</v>
      </c>
      <c r="E32" s="249" t="e">
        <f>'2009-2010'!E16</f>
        <v>#VALUE!</v>
      </c>
      <c r="G32" s="121"/>
    </row>
    <row r="33" spans="1:7">
      <c r="A33" s="119" t="s">
        <v>124</v>
      </c>
      <c r="B33" s="116" t="str">
        <f>'2009-2010'!B17</f>
        <v>N/a</v>
      </c>
      <c r="C33" s="206" t="e">
        <f>'2009-2010'!C17</f>
        <v>#VALUE!</v>
      </c>
      <c r="D33" s="206" t="e">
        <f>'2009-2010'!D17</f>
        <v>#VALUE!</v>
      </c>
      <c r="E33" s="206" t="e">
        <f>'2009-2010'!E17</f>
        <v>#VALUE!</v>
      </c>
    </row>
    <row r="36" spans="1:7" ht="15.75">
      <c r="A36" s="170" t="s">
        <v>353</v>
      </c>
      <c r="B36" s="171"/>
      <c r="C36" s="171"/>
      <c r="D36" s="171"/>
      <c r="E36" s="171"/>
    </row>
    <row r="37" spans="1:7" ht="15.75">
      <c r="A37" s="173"/>
      <c r="B37" s="174"/>
      <c r="C37" s="174"/>
      <c r="D37" s="174"/>
    </row>
    <row r="38" spans="1:7" ht="15.75">
      <c r="A38" s="107"/>
      <c r="B38" s="336" t="s">
        <v>119</v>
      </c>
      <c r="C38" s="341" t="s">
        <v>125</v>
      </c>
      <c r="D38" s="341"/>
      <c r="E38" s="341"/>
    </row>
    <row r="39" spans="1:7" ht="24">
      <c r="B39" s="340"/>
      <c r="C39" s="124" t="s">
        <v>105</v>
      </c>
      <c r="D39" s="124" t="s">
        <v>99</v>
      </c>
      <c r="E39" s="124" t="s">
        <v>120</v>
      </c>
    </row>
    <row r="40" spans="1:7">
      <c r="A40" s="119" t="s">
        <v>122</v>
      </c>
      <c r="B40" s="204" t="str">
        <f>'2013-2014'!B13</f>
        <v>N/a</v>
      </c>
      <c r="C40" s="204">
        <f>'2013-2014'!C13</f>
        <v>3017.8101364333634</v>
      </c>
      <c r="D40" s="204">
        <f>'2013-2014'!D13</f>
        <v>871.31241598724978</v>
      </c>
      <c r="E40" s="204">
        <f>'2013-2014'!E13</f>
        <v>3889.1225524206129</v>
      </c>
    </row>
    <row r="41" spans="1:7">
      <c r="A41" s="119" t="s">
        <v>116</v>
      </c>
      <c r="B41" s="204">
        <f>'2013-2014'!B14</f>
        <v>648.51573515625012</v>
      </c>
      <c r="C41" s="204">
        <f>'2013-2014'!C14</f>
        <v>648.51573515625012</v>
      </c>
      <c r="D41" s="204" t="str">
        <f>'2013-2014'!D14</f>
        <v>N/a</v>
      </c>
      <c r="E41" s="204">
        <f>'2013-2014'!E14</f>
        <v>648.51573515625012</v>
      </c>
    </row>
    <row r="42" spans="1:7">
      <c r="A42" s="119" t="s">
        <v>117</v>
      </c>
      <c r="B42" s="204" t="e">
        <f>'2013-2014'!B15</f>
        <v>#VALUE!</v>
      </c>
      <c r="C42" s="204" t="e">
        <f>'2013-2014'!C15</f>
        <v>#VALUE!</v>
      </c>
      <c r="D42" s="204" t="str">
        <f>'2013-2014'!D15</f>
        <v>N/a</v>
      </c>
      <c r="E42" s="204" t="e">
        <f>'2013-2014'!E15</f>
        <v>#VALUE!</v>
      </c>
    </row>
    <row r="43" spans="1:7">
      <c r="A43" s="119" t="s">
        <v>118</v>
      </c>
      <c r="B43" s="204" t="e">
        <f>'2013-2014'!B16</f>
        <v>#VALUE!</v>
      </c>
      <c r="C43" s="204" t="e">
        <f>'2013-2014'!C16</f>
        <v>#VALUE!</v>
      </c>
      <c r="D43" s="204" t="str">
        <f>'2013-2014'!D16</f>
        <v>N/a</v>
      </c>
      <c r="E43" s="204" t="e">
        <f>'2013-2014'!E16</f>
        <v>#VALUE!</v>
      </c>
    </row>
    <row r="44" spans="1:7">
      <c r="A44" s="119" t="s">
        <v>129</v>
      </c>
      <c r="B44" s="204" t="e">
        <f>'2013-2014'!B17</f>
        <v>#VALUE!</v>
      </c>
      <c r="C44" s="204" t="str">
        <f>'2013-2014'!C17</f>
        <v>N/a</v>
      </c>
      <c r="D44" s="204" t="e">
        <f>'2013-2014'!D17</f>
        <v>#VALUE!</v>
      </c>
      <c r="E44" s="204" t="e">
        <f>'2013-2014'!E17</f>
        <v>#VALUE!</v>
      </c>
    </row>
    <row r="45" spans="1:7">
      <c r="A45" s="119" t="s">
        <v>126</v>
      </c>
      <c r="B45" s="204" t="str">
        <f>'2013-2014'!B18</f>
        <v>N/a</v>
      </c>
      <c r="C45" s="204" t="e">
        <f>'2013-2014'!C18</f>
        <v>#VALUE!</v>
      </c>
      <c r="D45" s="204" t="e">
        <f>'2013-2014'!D18</f>
        <v>#VALUE!</v>
      </c>
      <c r="E45" s="204" t="e">
        <f>'2013-2014'!E18</f>
        <v>#VALUE!</v>
      </c>
    </row>
    <row r="46" spans="1:7">
      <c r="A46" s="119" t="s">
        <v>97</v>
      </c>
      <c r="B46" s="204" t="str">
        <f>'2013-2014'!B19</f>
        <v>N/a</v>
      </c>
      <c r="C46" s="204" t="e">
        <f>'2013-2014'!C19</f>
        <v>#VALUE!</v>
      </c>
      <c r="D46" s="204" t="e">
        <f>'2013-2014'!D19</f>
        <v>#VALUE!</v>
      </c>
      <c r="E46" s="204" t="e">
        <f>'2013-2014'!E19</f>
        <v>#VALUE!</v>
      </c>
    </row>
    <row r="47" spans="1:7">
      <c r="A47" s="119" t="s">
        <v>121</v>
      </c>
      <c r="B47" s="204" t="str">
        <f>'2013-2014'!B20</f>
        <v>N/a</v>
      </c>
      <c r="C47" s="204" t="e">
        <f>'2013-2014'!C20</f>
        <v>#VALUE!</v>
      </c>
      <c r="D47" s="204" t="e">
        <f>'2013-2014'!D20</f>
        <v>#VALUE!</v>
      </c>
      <c r="E47" s="204" t="e">
        <f>'2013-2014'!E20</f>
        <v>#VALUE!</v>
      </c>
    </row>
    <row r="48" spans="1:7">
      <c r="A48" s="119" t="s">
        <v>123</v>
      </c>
      <c r="B48" s="204" t="str">
        <f>'2013-2014'!B21</f>
        <v>N/a</v>
      </c>
      <c r="C48" s="204" t="e">
        <f>'2013-2014'!C21</f>
        <v>#VALUE!</v>
      </c>
      <c r="D48" s="204" t="e">
        <f>'2013-2014'!D21</f>
        <v>#VALUE!</v>
      </c>
      <c r="E48" s="204" t="e">
        <f>'2013-2014'!E21</f>
        <v>#VALUE!</v>
      </c>
      <c r="G48" s="121"/>
    </row>
    <row r="49" spans="1:5">
      <c r="A49" s="119" t="s">
        <v>124</v>
      </c>
      <c r="B49" s="116" t="str">
        <f>'2013-2014'!B22</f>
        <v>N/a</v>
      </c>
      <c r="C49" s="243" t="e">
        <f>'2013-2014'!C22</f>
        <v>#VALUE!</v>
      </c>
      <c r="D49" s="243" t="e">
        <f>'2013-2014'!D22</f>
        <v>#VALUE!</v>
      </c>
      <c r="E49" s="243" t="e">
        <f>'2013-2014'!E22</f>
        <v>#VALUE!</v>
      </c>
    </row>
    <row r="52" spans="1:5" ht="15.75">
      <c r="A52" s="170" t="s">
        <v>354</v>
      </c>
      <c r="B52" s="171"/>
      <c r="C52" s="171"/>
      <c r="D52" s="171"/>
      <c r="E52" s="171"/>
    </row>
    <row r="54" spans="1:5" ht="15.75">
      <c r="A54" s="107"/>
      <c r="B54" s="336" t="s">
        <v>119</v>
      </c>
      <c r="C54" s="341" t="s">
        <v>125</v>
      </c>
      <c r="D54" s="341"/>
      <c r="E54" s="341"/>
    </row>
    <row r="55" spans="1:5" ht="24">
      <c r="B55" s="340"/>
      <c r="C55" s="124" t="s">
        <v>105</v>
      </c>
      <c r="D55" s="124" t="s">
        <v>99</v>
      </c>
      <c r="E55" s="124" t="s">
        <v>120</v>
      </c>
    </row>
    <row r="56" spans="1:5">
      <c r="A56" s="119" t="s">
        <v>122</v>
      </c>
      <c r="B56" s="204" t="str">
        <f>'2013-2014'!B29</f>
        <v>N/a</v>
      </c>
      <c r="C56" s="204">
        <f>'2013-2014'!C29</f>
        <v>2971.1753956449102</v>
      </c>
      <c r="D56" s="204">
        <f>'2013-2014'!D29</f>
        <v>1413.8074125000003</v>
      </c>
      <c r="E56" s="204">
        <f>'2013-2014'!E29</f>
        <v>4384.9828081449105</v>
      </c>
    </row>
    <row r="57" spans="1:5">
      <c r="A57" s="119" t="s">
        <v>116</v>
      </c>
      <c r="B57" s="204">
        <f>'2013-2014'!B30</f>
        <v>648.51573515625012</v>
      </c>
      <c r="C57" s="204">
        <f>'2013-2014'!C30</f>
        <v>648.51573515625012</v>
      </c>
      <c r="D57" s="204" t="str">
        <f>'2013-2014'!D30</f>
        <v>N/a</v>
      </c>
      <c r="E57" s="204">
        <f>'2013-2014'!E30</f>
        <v>648.51573515625012</v>
      </c>
    </row>
    <row r="58" spans="1:5">
      <c r="A58" s="119" t="s">
        <v>117</v>
      </c>
      <c r="B58" s="204" t="e">
        <f>'2013-2014'!B31</f>
        <v>#VALUE!</v>
      </c>
      <c r="C58" s="204" t="e">
        <f>'2013-2014'!C31</f>
        <v>#VALUE!</v>
      </c>
      <c r="D58" s="204" t="str">
        <f>'2013-2014'!D31</f>
        <v>N/a</v>
      </c>
      <c r="E58" s="204" t="e">
        <f>'2013-2014'!E31</f>
        <v>#VALUE!</v>
      </c>
    </row>
    <row r="59" spans="1:5">
      <c r="A59" s="119" t="s">
        <v>118</v>
      </c>
      <c r="B59" s="204" t="e">
        <f>'2013-2014'!B32</f>
        <v>#VALUE!</v>
      </c>
      <c r="C59" s="204" t="e">
        <f>'2013-2014'!C32</f>
        <v>#VALUE!</v>
      </c>
      <c r="D59" s="204" t="str">
        <f>'2013-2014'!D32</f>
        <v>N/a</v>
      </c>
      <c r="E59" s="204" t="e">
        <f>'2013-2014'!E32</f>
        <v>#VALUE!</v>
      </c>
    </row>
    <row r="60" spans="1:5">
      <c r="A60" s="119" t="s">
        <v>129</v>
      </c>
      <c r="B60" s="204" t="e">
        <f>'2013-2014'!B33</f>
        <v>#VALUE!</v>
      </c>
      <c r="C60" s="204" t="str">
        <f>'2013-2014'!C33</f>
        <v>N/a</v>
      </c>
      <c r="D60" s="204" t="e">
        <f>'2013-2014'!D33</f>
        <v>#VALUE!</v>
      </c>
      <c r="E60" s="204" t="e">
        <f>'2013-2014'!E33</f>
        <v>#VALUE!</v>
      </c>
    </row>
    <row r="61" spans="1:5">
      <c r="A61" s="119" t="s">
        <v>126</v>
      </c>
      <c r="B61" s="204" t="str">
        <f>'2013-2014'!B34</f>
        <v>N/a</v>
      </c>
      <c r="C61" s="204" t="e">
        <f>'2013-2014'!C34</f>
        <v>#VALUE!</v>
      </c>
      <c r="D61" s="204" t="e">
        <f>'2013-2014'!D34</f>
        <v>#VALUE!</v>
      </c>
      <c r="E61" s="204" t="e">
        <f>'2013-2014'!E34</f>
        <v>#VALUE!</v>
      </c>
    </row>
    <row r="62" spans="1:5">
      <c r="A62" s="119" t="s">
        <v>97</v>
      </c>
      <c r="B62" s="204" t="str">
        <f>'2013-2014'!B35</f>
        <v>N/a</v>
      </c>
      <c r="C62" s="204" t="e">
        <f>'2013-2014'!C35</f>
        <v>#VALUE!</v>
      </c>
      <c r="D62" s="204" t="e">
        <f>'2013-2014'!D35</f>
        <v>#VALUE!</v>
      </c>
      <c r="E62" s="204" t="e">
        <f>'2013-2014'!E35</f>
        <v>#VALUE!</v>
      </c>
    </row>
    <row r="63" spans="1:5">
      <c r="A63" s="119" t="s">
        <v>121</v>
      </c>
      <c r="B63" s="204" t="str">
        <f>'2013-2014'!B36</f>
        <v>N/a</v>
      </c>
      <c r="C63" s="204" t="e">
        <f>'2013-2014'!C36</f>
        <v>#VALUE!</v>
      </c>
      <c r="D63" s="204" t="e">
        <f>'2013-2014'!D36</f>
        <v>#VALUE!</v>
      </c>
      <c r="E63" s="204" t="e">
        <f>'2013-2014'!E36</f>
        <v>#VALUE!</v>
      </c>
    </row>
    <row r="64" spans="1:5">
      <c r="A64" s="119" t="s">
        <v>123</v>
      </c>
      <c r="B64" s="204" t="str">
        <f>'2013-2014'!B37</f>
        <v>N/a</v>
      </c>
      <c r="C64" s="204" t="e">
        <f>'2013-2014'!C37</f>
        <v>#VALUE!</v>
      </c>
      <c r="D64" s="204" t="e">
        <f>'2013-2014'!D37</f>
        <v>#VALUE!</v>
      </c>
      <c r="E64" s="204" t="e">
        <f>'2013-2014'!E37</f>
        <v>#VALUE!</v>
      </c>
    </row>
    <row r="65" spans="1:7">
      <c r="A65" s="119" t="s">
        <v>124</v>
      </c>
      <c r="B65" s="204" t="str">
        <f>'2013-2014'!B38</f>
        <v>N/a</v>
      </c>
      <c r="C65" s="205" t="e">
        <f>'2013-2014'!C38</f>
        <v>#VALUE!</v>
      </c>
      <c r="D65" s="205" t="e">
        <f>'2013-2014'!D38</f>
        <v>#VALUE!</v>
      </c>
      <c r="E65" s="205" t="e">
        <f>'2013-2014'!E38</f>
        <v>#VALUE!</v>
      </c>
    </row>
    <row r="75" spans="1:7">
      <c r="B75" s="207"/>
      <c r="G75" s="97"/>
    </row>
    <row r="76" spans="1:7">
      <c r="B76" s="207"/>
      <c r="E76" s="97"/>
    </row>
    <row r="77" spans="1:7">
      <c r="D77" s="97"/>
    </row>
    <row r="78" spans="1:7">
      <c r="B78" s="207"/>
      <c r="D78" s="97"/>
    </row>
    <row r="79" spans="1:7">
      <c r="D79" s="97"/>
    </row>
    <row r="80" spans="1:7">
      <c r="B80" s="207"/>
    </row>
  </sheetData>
  <mergeCells count="12">
    <mergeCell ref="H5:J5"/>
    <mergeCell ref="K5:K7"/>
    <mergeCell ref="H6:I6"/>
    <mergeCell ref="B38:B39"/>
    <mergeCell ref="C38:E38"/>
    <mergeCell ref="B5:D5"/>
    <mergeCell ref="E5:E7"/>
    <mergeCell ref="B6:C6"/>
    <mergeCell ref="B22:B23"/>
    <mergeCell ref="C22:E22"/>
    <mergeCell ref="B54:B55"/>
    <mergeCell ref="C54:E54"/>
  </mergeCells>
  <pageMargins left="0.74803149606299213" right="0.74803149606299213" top="0.98425196850393704" bottom="0.98425196850393704" header="0.51181102362204722" footer="0.51181102362204722"/>
  <pageSetup paperSize="9" scale="94" fitToHeight="2" orientation="landscape" r:id="rId1"/>
  <headerFooter alignWithMargins="0">
    <oddFooter>&amp;L&amp;A :page&amp;P&amp;COfcom Confidential&amp;R&amp;D</oddFooter>
  </headerFooter>
</worksheet>
</file>

<file path=xl/worksheets/sheet6.xml><?xml version="1.0" encoding="utf-8"?>
<worksheet xmlns="http://schemas.openxmlformats.org/spreadsheetml/2006/main" xmlns:r="http://schemas.openxmlformats.org/officeDocument/2006/relationships">
  <sheetPr codeName="Sheet4">
    <tabColor rgb="FFFFF200"/>
    <pageSetUpPr autoPageBreaks="0"/>
  </sheetPr>
  <dimension ref="A1:L4"/>
  <sheetViews>
    <sheetView defaultGridColor="0" colorId="22" workbookViewId="0">
      <pane ySplit="1" topLeftCell="A2" activePane="bottomLeft" state="frozen"/>
      <selection pane="bottomLeft"/>
    </sheetView>
  </sheetViews>
  <sheetFormatPr defaultColWidth="12.7109375" defaultRowHeight="12"/>
  <cols>
    <col min="1" max="1" width="12.7109375" customWidth="1"/>
  </cols>
  <sheetData>
    <row r="1" spans="1:12" s="1" customFormat="1" ht="28.5" customHeight="1">
      <c r="A1" s="328" t="s">
        <v>401</v>
      </c>
      <c r="L1" s="1" t="s">
        <v>9</v>
      </c>
    </row>
    <row r="3" spans="1:12">
      <c r="A3" s="95"/>
    </row>
    <row r="4" spans="1:12">
      <c r="A4" s="148"/>
    </row>
  </sheetData>
  <phoneticPr fontId="0" type="noConversion"/>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worksheet>
</file>

<file path=xl/worksheets/sheet7.xml><?xml version="1.0" encoding="utf-8"?>
<worksheet xmlns="http://schemas.openxmlformats.org/spreadsheetml/2006/main" xmlns:r="http://schemas.openxmlformats.org/officeDocument/2006/relationships">
  <sheetPr>
    <pageSetUpPr autoPageBreaks="0" fitToPage="1"/>
  </sheetPr>
  <dimension ref="A1:J50"/>
  <sheetViews>
    <sheetView defaultGridColor="0" colorId="22" zoomScale="85" zoomScaleNormal="85" workbookViewId="0">
      <pane ySplit="1" topLeftCell="A14" activePane="bottomLeft" state="frozen"/>
      <selection pane="bottomLeft" activeCell="D5" sqref="D5"/>
    </sheetView>
  </sheetViews>
  <sheetFormatPr defaultRowHeight="14.25"/>
  <cols>
    <col min="1" max="1" width="32.140625" style="22" customWidth="1"/>
    <col min="2" max="2" width="8.7109375" style="22" bestFit="1" customWidth="1"/>
    <col min="3" max="3" width="8.7109375" style="22" customWidth="1"/>
    <col min="4" max="4" width="10.7109375" style="22" bestFit="1" customWidth="1"/>
    <col min="5" max="5" width="8.5703125" style="22" bestFit="1" customWidth="1"/>
    <col min="6" max="6" width="9" style="22" bestFit="1" customWidth="1"/>
    <col min="7" max="7" width="8.5703125" style="22" bestFit="1" customWidth="1"/>
    <col min="8" max="8" width="8.5703125" style="138" customWidth="1"/>
    <col min="9" max="9" width="9.85546875" style="24" customWidth="1"/>
    <col min="10" max="16384" width="9.140625" style="20"/>
  </cols>
  <sheetData>
    <row r="1" spans="1:10" s="19" customFormat="1" ht="40.5" customHeight="1">
      <c r="A1" s="329" t="s">
        <v>143</v>
      </c>
      <c r="B1" s="21"/>
      <c r="C1" s="21"/>
      <c r="D1" s="21"/>
      <c r="E1" s="21"/>
      <c r="F1" s="21"/>
      <c r="G1" s="21"/>
      <c r="H1" s="21"/>
      <c r="I1" s="23"/>
    </row>
    <row r="2" spans="1:10">
      <c r="B2" s="339" t="s">
        <v>37</v>
      </c>
      <c r="C2" s="339"/>
      <c r="D2" s="339"/>
      <c r="E2" s="339" t="s">
        <v>38</v>
      </c>
      <c r="F2" s="339"/>
      <c r="G2" s="339"/>
      <c r="H2" s="342" t="s">
        <v>163</v>
      </c>
      <c r="I2" s="342" t="s">
        <v>164</v>
      </c>
    </row>
    <row r="3" spans="1:10">
      <c r="B3" s="339" t="s">
        <v>32</v>
      </c>
      <c r="C3" s="339"/>
      <c r="D3" s="29" t="s">
        <v>36</v>
      </c>
      <c r="E3" s="339" t="s">
        <v>32</v>
      </c>
      <c r="F3" s="339"/>
      <c r="G3" s="30" t="s">
        <v>36</v>
      </c>
      <c r="H3" s="348"/>
      <c r="I3" s="343"/>
    </row>
    <row r="4" spans="1:10" ht="40.5" customHeight="1" thickBot="1">
      <c r="A4" s="29" t="s">
        <v>33</v>
      </c>
      <c r="B4" s="29" t="s">
        <v>34</v>
      </c>
      <c r="C4" s="29" t="s">
        <v>35</v>
      </c>
      <c r="D4" s="29" t="s">
        <v>35</v>
      </c>
      <c r="E4" s="29" t="s">
        <v>34</v>
      </c>
      <c r="F4" s="29" t="s">
        <v>35</v>
      </c>
      <c r="G4" s="29" t="s">
        <v>35</v>
      </c>
      <c r="H4" s="349"/>
      <c r="I4" s="344"/>
      <c r="J4" s="273" t="s">
        <v>3</v>
      </c>
    </row>
    <row r="5" spans="1:10" ht="15" thickBot="1">
      <c r="A5" s="32" t="s">
        <v>12</v>
      </c>
      <c r="B5" s="267" t="s">
        <v>394</v>
      </c>
      <c r="C5" s="27" t="e">
        <f t="shared" ref="C5:C20" si="0">B5*opt_ISDNChUti</f>
        <v>#VALUE!</v>
      </c>
      <c r="D5" s="162" t="str">
        <f>IF(opt_BackhaulModel=1,D42,D49)</f>
        <v>Removed</v>
      </c>
      <c r="E5" s="27" t="e">
        <f t="shared" ref="E5:E10" si="1">B5*H5</f>
        <v>#VALUE!</v>
      </c>
      <c r="F5" s="27" t="e">
        <f t="shared" ref="F5:F20" si="2">E5*opt_ISDNChUti</f>
        <v>#VALUE!</v>
      </c>
      <c r="G5" s="137" t="e">
        <f t="shared" ref="G5:G16" si="3">D5*I5</f>
        <v>#VALUE!</v>
      </c>
      <c r="H5" s="268" t="s">
        <v>394</v>
      </c>
      <c r="I5" s="268" t="s">
        <v>394</v>
      </c>
      <c r="J5" s="272" t="s">
        <v>395</v>
      </c>
    </row>
    <row r="6" spans="1:10" ht="15" thickBot="1">
      <c r="A6" s="32" t="s">
        <v>14</v>
      </c>
      <c r="B6" s="267" t="s">
        <v>394</v>
      </c>
      <c r="C6" s="27" t="e">
        <f t="shared" si="0"/>
        <v>#VALUE!</v>
      </c>
      <c r="D6" s="267" t="s">
        <v>394</v>
      </c>
      <c r="E6" s="27" t="e">
        <f t="shared" si="1"/>
        <v>#VALUE!</v>
      </c>
      <c r="F6" s="27" t="e">
        <f t="shared" si="2"/>
        <v>#VALUE!</v>
      </c>
      <c r="G6" s="28" t="e">
        <f t="shared" si="3"/>
        <v>#VALUE!</v>
      </c>
      <c r="H6" s="268" t="s">
        <v>394</v>
      </c>
      <c r="I6" s="269" t="s">
        <v>394</v>
      </c>
    </row>
    <row r="7" spans="1:10" ht="15" thickBot="1">
      <c r="A7" s="32" t="s">
        <v>16</v>
      </c>
      <c r="B7" s="267" t="s">
        <v>394</v>
      </c>
      <c r="C7" s="27" t="e">
        <f t="shared" si="0"/>
        <v>#VALUE!</v>
      </c>
      <c r="D7" s="267" t="s">
        <v>394</v>
      </c>
      <c r="E7" s="27" t="e">
        <f t="shared" si="1"/>
        <v>#VALUE!</v>
      </c>
      <c r="F7" s="27" t="e">
        <f t="shared" si="2"/>
        <v>#VALUE!</v>
      </c>
      <c r="G7" s="28" t="e">
        <f t="shared" si="3"/>
        <v>#VALUE!</v>
      </c>
      <c r="H7" s="269" t="s">
        <v>394</v>
      </c>
      <c r="I7" s="269" t="s">
        <v>394</v>
      </c>
    </row>
    <row r="8" spans="1:10" ht="15" thickBot="1">
      <c r="A8" s="32" t="s">
        <v>17</v>
      </c>
      <c r="B8" s="267" t="s">
        <v>394</v>
      </c>
      <c r="C8" s="27" t="e">
        <f t="shared" si="0"/>
        <v>#VALUE!</v>
      </c>
      <c r="D8" s="267" t="s">
        <v>394</v>
      </c>
      <c r="E8" s="27" t="e">
        <f t="shared" si="1"/>
        <v>#VALUE!</v>
      </c>
      <c r="F8" s="27" t="e">
        <f t="shared" si="2"/>
        <v>#VALUE!</v>
      </c>
      <c r="G8" s="28" t="e">
        <f t="shared" si="3"/>
        <v>#VALUE!</v>
      </c>
      <c r="H8" s="269" t="s">
        <v>394</v>
      </c>
      <c r="I8" s="269" t="s">
        <v>394</v>
      </c>
    </row>
    <row r="9" spans="1:10" ht="15" thickBot="1">
      <c r="A9" s="32" t="s">
        <v>18</v>
      </c>
      <c r="B9" s="267" t="s">
        <v>394</v>
      </c>
      <c r="C9" s="27" t="e">
        <f t="shared" si="0"/>
        <v>#VALUE!</v>
      </c>
      <c r="D9" s="267" t="s">
        <v>394</v>
      </c>
      <c r="E9" s="27" t="e">
        <f t="shared" si="1"/>
        <v>#VALUE!</v>
      </c>
      <c r="F9" s="27" t="e">
        <f t="shared" si="2"/>
        <v>#VALUE!</v>
      </c>
      <c r="G9" s="28" t="e">
        <f t="shared" si="3"/>
        <v>#VALUE!</v>
      </c>
      <c r="H9" s="269" t="s">
        <v>394</v>
      </c>
      <c r="I9" s="269" t="s">
        <v>394</v>
      </c>
    </row>
    <row r="10" spans="1:10" ht="15" thickBot="1">
      <c r="A10" s="32" t="s">
        <v>19</v>
      </c>
      <c r="B10" s="267" t="s">
        <v>394</v>
      </c>
      <c r="C10" s="27" t="e">
        <f t="shared" si="0"/>
        <v>#VALUE!</v>
      </c>
      <c r="D10" s="267" t="s">
        <v>394</v>
      </c>
      <c r="E10" s="27" t="e">
        <f t="shared" si="1"/>
        <v>#VALUE!</v>
      </c>
      <c r="F10" s="27" t="e">
        <f t="shared" si="2"/>
        <v>#VALUE!</v>
      </c>
      <c r="G10" s="28" t="e">
        <f t="shared" si="3"/>
        <v>#VALUE!</v>
      </c>
      <c r="H10" s="268" t="s">
        <v>394</v>
      </c>
      <c r="I10" s="268" t="s">
        <v>394</v>
      </c>
    </row>
    <row r="11" spans="1:10" ht="15" thickBot="1">
      <c r="A11" s="32" t="s">
        <v>20</v>
      </c>
      <c r="B11" s="267" t="s">
        <v>394</v>
      </c>
      <c r="C11" s="27" t="e">
        <f t="shared" si="0"/>
        <v>#VALUE!</v>
      </c>
      <c r="D11" s="267" t="s">
        <v>394</v>
      </c>
      <c r="E11" s="27" t="e">
        <f t="shared" ref="E11:E20" si="4">B11*H11</f>
        <v>#VALUE!</v>
      </c>
      <c r="F11" s="27" t="e">
        <f t="shared" si="2"/>
        <v>#VALUE!</v>
      </c>
      <c r="G11" s="28" t="e">
        <f t="shared" si="3"/>
        <v>#VALUE!</v>
      </c>
      <c r="H11" s="268" t="s">
        <v>394</v>
      </c>
      <c r="I11" s="268" t="s">
        <v>394</v>
      </c>
      <c r="J11" s="272" t="s">
        <v>196</v>
      </c>
    </row>
    <row r="12" spans="1:10" ht="15" thickBot="1">
      <c r="A12" s="32" t="s">
        <v>21</v>
      </c>
      <c r="B12" s="267" t="s">
        <v>394</v>
      </c>
      <c r="C12" s="27" t="e">
        <f t="shared" si="0"/>
        <v>#VALUE!</v>
      </c>
      <c r="D12" s="162" t="str">
        <f>IF(opt_BackhaulModel=1,D43,D50)</f>
        <v>Removed</v>
      </c>
      <c r="E12" s="27" t="e">
        <f t="shared" si="4"/>
        <v>#VALUE!</v>
      </c>
      <c r="F12" s="27" t="e">
        <f t="shared" si="2"/>
        <v>#VALUE!</v>
      </c>
      <c r="G12" s="137" t="e">
        <f t="shared" si="3"/>
        <v>#VALUE!</v>
      </c>
      <c r="H12" s="268" t="s">
        <v>394</v>
      </c>
      <c r="I12" s="268" t="s">
        <v>394</v>
      </c>
      <c r="J12" s="272" t="s">
        <v>396</v>
      </c>
    </row>
    <row r="13" spans="1:10" ht="15" thickBot="1">
      <c r="A13" s="32" t="s">
        <v>22</v>
      </c>
      <c r="B13" s="267" t="s">
        <v>394</v>
      </c>
      <c r="C13" s="27" t="e">
        <f t="shared" si="0"/>
        <v>#VALUE!</v>
      </c>
      <c r="D13" s="267" t="s">
        <v>394</v>
      </c>
      <c r="E13" s="27" t="e">
        <f t="shared" si="4"/>
        <v>#VALUE!</v>
      </c>
      <c r="F13" s="27" t="e">
        <f t="shared" si="2"/>
        <v>#VALUE!</v>
      </c>
      <c r="G13" s="26" t="e">
        <f t="shared" si="3"/>
        <v>#VALUE!</v>
      </c>
      <c r="H13" s="268" t="s">
        <v>394</v>
      </c>
      <c r="I13" s="269" t="s">
        <v>394</v>
      </c>
      <c r="J13" s="135"/>
    </row>
    <row r="14" spans="1:10" ht="15" thickBot="1">
      <c r="A14" s="32" t="s">
        <v>23</v>
      </c>
      <c r="B14" s="267" t="s">
        <v>394</v>
      </c>
      <c r="C14" s="27" t="e">
        <f t="shared" si="0"/>
        <v>#VALUE!</v>
      </c>
      <c r="D14" s="152">
        <f>SUM(D29,D31)</f>
        <v>0</v>
      </c>
      <c r="E14" s="27" t="e">
        <f t="shared" si="4"/>
        <v>#VALUE!</v>
      </c>
      <c r="F14" s="27" t="e">
        <f t="shared" si="2"/>
        <v>#VALUE!</v>
      </c>
      <c r="G14" s="28" t="e">
        <f t="shared" si="3"/>
        <v>#VALUE!</v>
      </c>
      <c r="H14" s="268" t="s">
        <v>394</v>
      </c>
      <c r="I14" s="268" t="s">
        <v>394</v>
      </c>
      <c r="J14" s="272" t="s">
        <v>278</v>
      </c>
    </row>
    <row r="15" spans="1:10" ht="15" thickBot="1">
      <c r="A15" s="32" t="s">
        <v>24</v>
      </c>
      <c r="B15" s="267" t="s">
        <v>394</v>
      </c>
      <c r="C15" s="27" t="e">
        <f t="shared" si="0"/>
        <v>#VALUE!</v>
      </c>
      <c r="D15" s="152" t="str">
        <f>D30</f>
        <v>Removed</v>
      </c>
      <c r="E15" s="27" t="e">
        <f t="shared" si="4"/>
        <v>#VALUE!</v>
      </c>
      <c r="F15" s="27" t="e">
        <f t="shared" si="2"/>
        <v>#VALUE!</v>
      </c>
      <c r="G15" s="28" t="e">
        <f t="shared" si="3"/>
        <v>#VALUE!</v>
      </c>
      <c r="H15" s="268" t="s">
        <v>394</v>
      </c>
      <c r="I15" s="268" t="s">
        <v>394</v>
      </c>
      <c r="J15" s="272" t="s">
        <v>145</v>
      </c>
    </row>
    <row r="16" spans="1:10" ht="15" thickBot="1">
      <c r="A16" s="32" t="s">
        <v>25</v>
      </c>
      <c r="B16" s="267" t="s">
        <v>394</v>
      </c>
      <c r="C16" s="27" t="e">
        <f t="shared" si="0"/>
        <v>#VALUE!</v>
      </c>
      <c r="D16" s="267" t="s">
        <v>394</v>
      </c>
      <c r="E16" s="27" t="e">
        <f t="shared" si="4"/>
        <v>#VALUE!</v>
      </c>
      <c r="F16" s="27" t="e">
        <f t="shared" si="2"/>
        <v>#VALUE!</v>
      </c>
      <c r="G16" s="28" t="e">
        <f t="shared" si="3"/>
        <v>#VALUE!</v>
      </c>
      <c r="H16" s="268" t="s">
        <v>394</v>
      </c>
      <c r="I16" s="268" t="s">
        <v>394</v>
      </c>
    </row>
    <row r="17" spans="1:10" ht="15" thickBot="1">
      <c r="A17" s="32" t="s">
        <v>27</v>
      </c>
      <c r="B17" s="267" t="s">
        <v>394</v>
      </c>
      <c r="C17" s="131" t="e">
        <f t="shared" si="0"/>
        <v>#VALUE!</v>
      </c>
      <c r="D17" s="267" t="s">
        <v>394</v>
      </c>
      <c r="E17" s="27" t="e">
        <f t="shared" si="4"/>
        <v>#VALUE!</v>
      </c>
      <c r="F17" s="27" t="e">
        <f t="shared" si="2"/>
        <v>#VALUE!</v>
      </c>
      <c r="G17" s="26" t="e">
        <f>D17*0.5</f>
        <v>#VALUE!</v>
      </c>
      <c r="H17" s="268" t="s">
        <v>394</v>
      </c>
      <c r="I17" s="269" t="s">
        <v>394</v>
      </c>
      <c r="J17" s="135"/>
    </row>
    <row r="18" spans="1:10" ht="15" thickBot="1">
      <c r="A18" s="32" t="s">
        <v>28</v>
      </c>
      <c r="B18" s="267" t="s">
        <v>394</v>
      </c>
      <c r="C18" s="131" t="e">
        <f t="shared" si="0"/>
        <v>#VALUE!</v>
      </c>
      <c r="D18" s="267" t="s">
        <v>394</v>
      </c>
      <c r="E18" s="27" t="e">
        <f t="shared" si="4"/>
        <v>#VALUE!</v>
      </c>
      <c r="F18" s="27" t="e">
        <f t="shared" si="2"/>
        <v>#VALUE!</v>
      </c>
      <c r="G18" s="28" t="e">
        <f>D18*I18</f>
        <v>#VALUE!</v>
      </c>
      <c r="H18" s="268" t="s">
        <v>394</v>
      </c>
      <c r="I18" s="268" t="s">
        <v>394</v>
      </c>
    </row>
    <row r="19" spans="1:10" ht="15" thickBot="1">
      <c r="A19" s="32" t="s">
        <v>29</v>
      </c>
      <c r="B19" s="267" t="s">
        <v>394</v>
      </c>
      <c r="C19" s="131" t="e">
        <f t="shared" si="0"/>
        <v>#VALUE!</v>
      </c>
      <c r="D19" s="267" t="s">
        <v>394</v>
      </c>
      <c r="E19" s="27" t="e">
        <f t="shared" si="4"/>
        <v>#VALUE!</v>
      </c>
      <c r="F19" s="27" t="e">
        <f t="shared" si="2"/>
        <v>#VALUE!</v>
      </c>
      <c r="G19" s="28" t="e">
        <f>D19*I19</f>
        <v>#VALUE!</v>
      </c>
      <c r="H19" s="268" t="s">
        <v>394</v>
      </c>
      <c r="I19" s="268" t="s">
        <v>394</v>
      </c>
    </row>
    <row r="20" spans="1:10" ht="15" thickBot="1">
      <c r="A20" s="32" t="s">
        <v>30</v>
      </c>
      <c r="B20" s="267" t="s">
        <v>394</v>
      </c>
      <c r="C20" s="131" t="e">
        <f t="shared" si="0"/>
        <v>#VALUE!</v>
      </c>
      <c r="D20" s="267" t="s">
        <v>394</v>
      </c>
      <c r="E20" s="27" t="e">
        <f t="shared" si="4"/>
        <v>#VALUE!</v>
      </c>
      <c r="F20" s="27" t="e">
        <f t="shared" si="2"/>
        <v>#VALUE!</v>
      </c>
      <c r="G20" s="137" t="e">
        <f>D20*I20</f>
        <v>#VALUE!</v>
      </c>
      <c r="H20" s="268" t="s">
        <v>394</v>
      </c>
      <c r="I20" s="268" t="s">
        <v>394</v>
      </c>
    </row>
    <row r="21" spans="1:10">
      <c r="A21" s="33" t="s">
        <v>31</v>
      </c>
      <c r="B21" s="31">
        <f t="shared" ref="B21:G21" si="5">SUM(B5:B20)</f>
        <v>0</v>
      </c>
      <c r="C21" s="27" t="e">
        <f t="shared" si="5"/>
        <v>#VALUE!</v>
      </c>
      <c r="D21" s="136">
        <f t="shared" si="5"/>
        <v>0</v>
      </c>
      <c r="E21" s="25" t="e">
        <f t="shared" si="5"/>
        <v>#VALUE!</v>
      </c>
      <c r="F21" s="27" t="e">
        <f t="shared" si="5"/>
        <v>#VALUE!</v>
      </c>
      <c r="G21" s="25" t="e">
        <f t="shared" si="5"/>
        <v>#VALUE!</v>
      </c>
      <c r="H21" s="136"/>
      <c r="I21" s="26"/>
    </row>
    <row r="24" spans="1:10">
      <c r="A24" s="150" t="s">
        <v>397</v>
      </c>
    </row>
    <row r="26" spans="1:10">
      <c r="B26" s="339" t="s">
        <v>37</v>
      </c>
      <c r="C26" s="339"/>
      <c r="D26" s="339"/>
    </row>
    <row r="27" spans="1:10">
      <c r="B27" s="339" t="s">
        <v>32</v>
      </c>
      <c r="C27" s="339"/>
      <c r="D27" s="29" t="s">
        <v>36</v>
      </c>
    </row>
    <row r="28" spans="1:10" ht="15" thickBot="1">
      <c r="B28" s="29" t="s">
        <v>34</v>
      </c>
      <c r="C28" s="29" t="s">
        <v>35</v>
      </c>
      <c r="D28" s="29" t="s">
        <v>35</v>
      </c>
    </row>
    <row r="29" spans="1:10" ht="17.25" customHeight="1" thickBot="1">
      <c r="A29" s="32" t="s">
        <v>197</v>
      </c>
      <c r="B29" s="151" t="str">
        <f>B14</f>
        <v>Removed</v>
      </c>
      <c r="C29" s="151" t="e">
        <f>C14</f>
        <v>#VALUE!</v>
      </c>
      <c r="D29" s="270" t="s">
        <v>394</v>
      </c>
    </row>
    <row r="30" spans="1:10" ht="15" thickBot="1">
      <c r="A30" s="32" t="s">
        <v>198</v>
      </c>
      <c r="B30" s="151" t="str">
        <f>B15</f>
        <v>Removed</v>
      </c>
      <c r="C30" s="151" t="e">
        <f>C15</f>
        <v>#VALUE!</v>
      </c>
      <c r="D30" s="270" t="s">
        <v>394</v>
      </c>
    </row>
    <row r="31" spans="1:10" ht="15" thickBot="1">
      <c r="A31" s="32" t="s">
        <v>199</v>
      </c>
      <c r="B31" s="98">
        <v>0</v>
      </c>
      <c r="C31" s="98">
        <v>0</v>
      </c>
      <c r="D31" s="270" t="s">
        <v>394</v>
      </c>
      <c r="E31" s="272" t="s">
        <v>200</v>
      </c>
    </row>
    <row r="34" spans="1:5">
      <c r="A34" s="150" t="s">
        <v>398</v>
      </c>
    </row>
    <row r="35" spans="1:5">
      <c r="A35" s="150" t="s">
        <v>399</v>
      </c>
    </row>
    <row r="36" spans="1:5">
      <c r="A36" s="150" t="s">
        <v>400</v>
      </c>
    </row>
    <row r="38" spans="1:5">
      <c r="B38" s="345" t="s">
        <v>203</v>
      </c>
      <c r="C38" s="346"/>
      <c r="D38" s="347"/>
      <c r="E38" s="272" t="s">
        <v>206</v>
      </c>
    </row>
    <row r="39" spans="1:5">
      <c r="B39" s="339" t="s">
        <v>37</v>
      </c>
      <c r="C39" s="339"/>
      <c r="D39" s="339"/>
    </row>
    <row r="40" spans="1:5">
      <c r="B40" s="339" t="s">
        <v>32</v>
      </c>
      <c r="C40" s="339"/>
      <c r="D40" s="29" t="s">
        <v>36</v>
      </c>
    </row>
    <row r="41" spans="1:5" ht="15" thickBot="1">
      <c r="B41" s="29" t="s">
        <v>34</v>
      </c>
      <c r="C41" s="29" t="s">
        <v>35</v>
      </c>
      <c r="D41" s="29" t="s">
        <v>35</v>
      </c>
    </row>
    <row r="42" spans="1:5" ht="15" thickBot="1">
      <c r="A42" s="32" t="s">
        <v>12</v>
      </c>
      <c r="B42" s="151" t="str">
        <f>B5</f>
        <v>Removed</v>
      </c>
      <c r="C42" s="151" t="e">
        <f>C5</f>
        <v>#VALUE!</v>
      </c>
      <c r="D42" s="270" t="s">
        <v>394</v>
      </c>
      <c r="E42" s="272" t="s">
        <v>300</v>
      </c>
    </row>
    <row r="43" spans="1:5" ht="18.75" customHeight="1" thickBot="1">
      <c r="A43" s="32" t="s">
        <v>204</v>
      </c>
      <c r="B43" s="151" t="str">
        <f>B12</f>
        <v>Removed</v>
      </c>
      <c r="C43" s="151" t="e">
        <f>C12</f>
        <v>#VALUE!</v>
      </c>
      <c r="D43" s="270" t="s">
        <v>394</v>
      </c>
      <c r="E43" s="272" t="s">
        <v>299</v>
      </c>
    </row>
    <row r="45" spans="1:5">
      <c r="B45" s="345" t="s">
        <v>205</v>
      </c>
      <c r="C45" s="346"/>
      <c r="D45" s="347"/>
      <c r="E45" s="272" t="s">
        <v>207</v>
      </c>
    </row>
    <row r="46" spans="1:5">
      <c r="B46" s="339" t="s">
        <v>37</v>
      </c>
      <c r="C46" s="339"/>
      <c r="D46" s="339"/>
    </row>
    <row r="47" spans="1:5">
      <c r="B47" s="339" t="s">
        <v>32</v>
      </c>
      <c r="C47" s="339"/>
      <c r="D47" s="29" t="s">
        <v>36</v>
      </c>
    </row>
    <row r="48" spans="1:5" ht="15" thickBot="1">
      <c r="B48" s="29" t="s">
        <v>34</v>
      </c>
      <c r="C48" s="29" t="s">
        <v>35</v>
      </c>
      <c r="D48" s="29" t="s">
        <v>35</v>
      </c>
    </row>
    <row r="49" spans="1:5" ht="15" thickBot="1">
      <c r="A49" s="32" t="s">
        <v>12</v>
      </c>
      <c r="B49" s="151" t="str">
        <f>B5</f>
        <v>Removed</v>
      </c>
      <c r="C49" s="151" t="e">
        <f>C5</f>
        <v>#VALUE!</v>
      </c>
      <c r="D49" s="270" t="s">
        <v>394</v>
      </c>
      <c r="E49" s="272" t="s">
        <v>301</v>
      </c>
    </row>
    <row r="50" spans="1:5" ht="15" thickBot="1">
      <c r="A50" s="32" t="s">
        <v>204</v>
      </c>
      <c r="B50" s="151" t="str">
        <f>B12</f>
        <v>Removed</v>
      </c>
      <c r="C50" s="151" t="e">
        <f>C12</f>
        <v>#VALUE!</v>
      </c>
      <c r="D50" s="270" t="s">
        <v>394</v>
      </c>
      <c r="E50" s="272" t="s">
        <v>302</v>
      </c>
    </row>
  </sheetData>
  <mergeCells count="14">
    <mergeCell ref="B3:C3"/>
    <mergeCell ref="E3:F3"/>
    <mergeCell ref="B2:D2"/>
    <mergeCell ref="E2:G2"/>
    <mergeCell ref="I2:I4"/>
    <mergeCell ref="H2:H4"/>
    <mergeCell ref="B45:D45"/>
    <mergeCell ref="B46:D46"/>
    <mergeCell ref="B47:C47"/>
    <mergeCell ref="B26:D26"/>
    <mergeCell ref="B27:C27"/>
    <mergeCell ref="B39:D39"/>
    <mergeCell ref="B40:C40"/>
    <mergeCell ref="B38:D38"/>
  </mergeCells>
  <pageMargins left="0.74803149606299213" right="0.74803149606299213" top="0.98425196850393704" bottom="0.98425196850393704" header="0.51181102362204722" footer="0.51181102362204722"/>
  <pageSetup paperSize="9" scale="59" orientation="landscape" r:id="rId1"/>
  <headerFooter alignWithMargins="0">
    <oddFooter>&amp;L&amp;A :page&amp;P&amp;COfcom Confidential&amp;R&amp;D</oddFooter>
  </headerFooter>
</worksheet>
</file>

<file path=xl/worksheets/sheet8.xml><?xml version="1.0" encoding="utf-8"?>
<worksheet xmlns="http://schemas.openxmlformats.org/spreadsheetml/2006/main" xmlns:r="http://schemas.openxmlformats.org/officeDocument/2006/relationships">
  <sheetPr>
    <pageSetUpPr autoPageBreaks="0" fitToPage="1"/>
  </sheetPr>
  <dimension ref="A1:J22"/>
  <sheetViews>
    <sheetView defaultGridColor="0" colorId="22" zoomScale="85" zoomScaleNormal="85" workbookViewId="0">
      <pane ySplit="1" topLeftCell="A2" activePane="bottomLeft" state="frozen"/>
      <selection pane="bottomLeft"/>
    </sheetView>
  </sheetViews>
  <sheetFormatPr defaultRowHeight="12"/>
  <cols>
    <col min="1" max="1" width="35.5703125" style="17" customWidth="1"/>
    <col min="2" max="16384" width="9.140625" style="17"/>
  </cols>
  <sheetData>
    <row r="1" spans="1:10" s="18" customFormat="1" ht="40.5" customHeight="1">
      <c r="A1" s="329" t="s">
        <v>147</v>
      </c>
    </row>
    <row r="2" spans="1:10" s="18" customFormat="1" ht="15.75" customHeight="1">
      <c r="B2" s="339" t="s">
        <v>37</v>
      </c>
      <c r="C2" s="339"/>
      <c r="D2" s="339"/>
      <c r="E2" s="339" t="s">
        <v>38</v>
      </c>
      <c r="F2" s="339"/>
      <c r="G2" s="339"/>
      <c r="H2" s="342" t="s">
        <v>163</v>
      </c>
      <c r="I2" s="342" t="s">
        <v>164</v>
      </c>
    </row>
    <row r="3" spans="1:10">
      <c r="B3" s="339" t="s">
        <v>32</v>
      </c>
      <c r="C3" s="339"/>
      <c r="D3" s="29" t="s">
        <v>36</v>
      </c>
      <c r="E3" s="339" t="s">
        <v>32</v>
      </c>
      <c r="F3" s="339"/>
      <c r="G3" s="30" t="s">
        <v>36</v>
      </c>
      <c r="H3" s="343"/>
      <c r="I3" s="343"/>
    </row>
    <row r="4" spans="1:10" ht="12.75" thickBot="1">
      <c r="A4" s="29" t="s">
        <v>33</v>
      </c>
      <c r="B4" s="29" t="s">
        <v>34</v>
      </c>
      <c r="C4" s="29" t="s">
        <v>35</v>
      </c>
      <c r="D4" s="29" t="s">
        <v>35</v>
      </c>
      <c r="E4" s="29" t="s">
        <v>34</v>
      </c>
      <c r="F4" s="29" t="s">
        <v>35</v>
      </c>
      <c r="G4" s="29" t="s">
        <v>35</v>
      </c>
      <c r="H4" s="344"/>
      <c r="I4" s="344"/>
      <c r="J4" s="273" t="s">
        <v>3</v>
      </c>
    </row>
    <row r="5" spans="1:10" ht="12.75" thickBot="1">
      <c r="A5" s="34" t="s">
        <v>39</v>
      </c>
      <c r="B5" s="268" t="s">
        <v>394</v>
      </c>
      <c r="C5" s="26" t="e">
        <f t="shared" ref="C5:C11" si="0">B5*opt_ISDNChUti</f>
        <v>#VALUE!</v>
      </c>
      <c r="D5" s="268" t="s">
        <v>394</v>
      </c>
      <c r="E5" s="26" t="e">
        <f>B5*H5</f>
        <v>#VALUE!</v>
      </c>
      <c r="F5" s="26" t="e">
        <f t="shared" ref="F5:F11" si="1">E5*opt_ISDNChUti</f>
        <v>#VALUE!</v>
      </c>
      <c r="G5" s="38" t="e">
        <f t="shared" ref="G5:G11" si="2">D5*I5</f>
        <v>#VALUE!</v>
      </c>
      <c r="H5" s="268" t="s">
        <v>394</v>
      </c>
      <c r="I5" s="268" t="s">
        <v>394</v>
      </c>
    </row>
    <row r="6" spans="1:10" ht="12.75" thickBot="1">
      <c r="A6" s="34" t="s">
        <v>40</v>
      </c>
      <c r="B6" s="268" t="s">
        <v>394</v>
      </c>
      <c r="C6" s="26" t="e">
        <f t="shared" si="0"/>
        <v>#VALUE!</v>
      </c>
      <c r="D6" s="268" t="s">
        <v>394</v>
      </c>
      <c r="E6" s="26" t="e">
        <f t="shared" ref="E6:E11" si="3">B6*H6</f>
        <v>#VALUE!</v>
      </c>
      <c r="F6" s="26" t="e">
        <f t="shared" si="1"/>
        <v>#VALUE!</v>
      </c>
      <c r="G6" s="38" t="e">
        <f t="shared" si="2"/>
        <v>#VALUE!</v>
      </c>
      <c r="H6" s="268" t="s">
        <v>394</v>
      </c>
      <c r="I6" s="268" t="s">
        <v>394</v>
      </c>
    </row>
    <row r="7" spans="1:10" ht="12.75" thickBot="1">
      <c r="A7" s="34" t="s">
        <v>41</v>
      </c>
      <c r="B7" s="268" t="s">
        <v>394</v>
      </c>
      <c r="C7" s="26" t="e">
        <f t="shared" si="0"/>
        <v>#VALUE!</v>
      </c>
      <c r="D7" s="154" t="str">
        <f>D20</f>
        <v>Removed</v>
      </c>
      <c r="E7" s="26" t="e">
        <f t="shared" si="3"/>
        <v>#VALUE!</v>
      </c>
      <c r="F7" s="26" t="e">
        <f t="shared" si="1"/>
        <v>#VALUE!</v>
      </c>
      <c r="G7" s="26" t="e">
        <f t="shared" si="2"/>
        <v>#VALUE!</v>
      </c>
      <c r="H7" s="268" t="s">
        <v>394</v>
      </c>
      <c r="I7" s="268" t="s">
        <v>394</v>
      </c>
      <c r="J7" s="272" t="s">
        <v>144</v>
      </c>
    </row>
    <row r="8" spans="1:10" ht="12.75" thickBot="1">
      <c r="A8" s="34" t="s">
        <v>195</v>
      </c>
      <c r="B8" s="268" t="s">
        <v>394</v>
      </c>
      <c r="C8" s="26" t="e">
        <f t="shared" si="0"/>
        <v>#VALUE!</v>
      </c>
      <c r="D8" s="274" t="s">
        <v>394</v>
      </c>
      <c r="E8" s="26" t="e">
        <f t="shared" si="3"/>
        <v>#VALUE!</v>
      </c>
      <c r="F8" s="26" t="e">
        <f t="shared" si="1"/>
        <v>#VALUE!</v>
      </c>
      <c r="G8" s="26" t="e">
        <f t="shared" si="2"/>
        <v>#VALUE!</v>
      </c>
      <c r="H8" s="268" t="s">
        <v>394</v>
      </c>
      <c r="I8" s="268" t="s">
        <v>394</v>
      </c>
      <c r="J8" s="121"/>
    </row>
    <row r="9" spans="1:10" ht="12.75" thickBot="1">
      <c r="A9" s="34" t="s">
        <v>24</v>
      </c>
      <c r="B9" s="268" t="s">
        <v>394</v>
      </c>
      <c r="C9" s="26" t="e">
        <f t="shared" si="0"/>
        <v>#VALUE!</v>
      </c>
      <c r="D9" s="154" t="str">
        <f>D21</f>
        <v>Removed</v>
      </c>
      <c r="E9" s="26" t="e">
        <f t="shared" si="3"/>
        <v>#VALUE!</v>
      </c>
      <c r="F9" s="26" t="e">
        <f t="shared" si="1"/>
        <v>#VALUE!</v>
      </c>
      <c r="G9" s="26" t="e">
        <f t="shared" si="2"/>
        <v>#VALUE!</v>
      </c>
      <c r="H9" s="268" t="s">
        <v>394</v>
      </c>
      <c r="I9" s="268" t="s">
        <v>394</v>
      </c>
      <c r="J9" s="272" t="s">
        <v>145</v>
      </c>
    </row>
    <row r="10" spans="1:10" ht="12.75" thickBot="1">
      <c r="A10" s="34" t="s">
        <v>25</v>
      </c>
      <c r="B10" s="268" t="s">
        <v>394</v>
      </c>
      <c r="C10" s="26" t="e">
        <f t="shared" si="0"/>
        <v>#VALUE!</v>
      </c>
      <c r="D10" s="268" t="s">
        <v>394</v>
      </c>
      <c r="E10" s="26" t="e">
        <f t="shared" si="3"/>
        <v>#VALUE!</v>
      </c>
      <c r="F10" s="26" t="e">
        <f t="shared" si="1"/>
        <v>#VALUE!</v>
      </c>
      <c r="G10" s="26" t="e">
        <f t="shared" si="2"/>
        <v>#VALUE!</v>
      </c>
      <c r="H10" s="268" t="s">
        <v>394</v>
      </c>
      <c r="I10" s="268" t="s">
        <v>394</v>
      </c>
    </row>
    <row r="11" spans="1:10" ht="19.5" customHeight="1" thickBot="1">
      <c r="A11" s="34" t="s">
        <v>26</v>
      </c>
      <c r="B11" s="274" t="s">
        <v>394</v>
      </c>
      <c r="C11" s="26" t="e">
        <f t="shared" si="0"/>
        <v>#VALUE!</v>
      </c>
      <c r="D11" s="155" t="str">
        <f>D22</f>
        <v>Removed</v>
      </c>
      <c r="E11" s="26" t="e">
        <f t="shared" si="3"/>
        <v>#VALUE!</v>
      </c>
      <c r="F11" s="26" t="e">
        <f t="shared" si="1"/>
        <v>#VALUE!</v>
      </c>
      <c r="G11" s="26" t="e">
        <f t="shared" si="2"/>
        <v>#VALUE!</v>
      </c>
      <c r="H11" s="268" t="s">
        <v>394</v>
      </c>
      <c r="I11" s="268" t="s">
        <v>394</v>
      </c>
      <c r="J11" s="272" t="s">
        <v>146</v>
      </c>
    </row>
    <row r="12" spans="1:10">
      <c r="A12" s="35" t="s">
        <v>42</v>
      </c>
      <c r="B12" s="37">
        <f t="shared" ref="B12:G12" si="4">SUM(B5:B11)</f>
        <v>0</v>
      </c>
      <c r="C12" s="26" t="e">
        <f t="shared" si="4"/>
        <v>#VALUE!</v>
      </c>
      <c r="D12" s="38">
        <f t="shared" si="4"/>
        <v>0</v>
      </c>
      <c r="E12" s="26" t="e">
        <f t="shared" si="4"/>
        <v>#VALUE!</v>
      </c>
      <c r="F12" s="26" t="e">
        <f t="shared" si="4"/>
        <v>#VALUE!</v>
      </c>
      <c r="G12" s="26" t="e">
        <f t="shared" si="4"/>
        <v>#VALUE!</v>
      </c>
      <c r="H12" s="26"/>
      <c r="I12" s="36"/>
    </row>
    <row r="15" spans="1:10" ht="12.75">
      <c r="A15" s="150" t="s">
        <v>398</v>
      </c>
      <c r="B15" s="22"/>
      <c r="C15" s="22"/>
      <c r="D15" s="22"/>
      <c r="E15" s="22"/>
    </row>
    <row r="16" spans="1:10">
      <c r="A16" s="22"/>
      <c r="B16" s="22"/>
      <c r="C16" s="22"/>
      <c r="D16" s="22"/>
      <c r="E16" s="22"/>
    </row>
    <row r="17" spans="1:5">
      <c r="A17" s="22"/>
      <c r="B17" s="339" t="s">
        <v>37</v>
      </c>
      <c r="C17" s="339"/>
      <c r="D17" s="339"/>
      <c r="E17" s="22"/>
    </row>
    <row r="18" spans="1:5">
      <c r="A18" s="22"/>
      <c r="B18" s="339" t="s">
        <v>32</v>
      </c>
      <c r="C18" s="339"/>
      <c r="D18" s="29" t="s">
        <v>36</v>
      </c>
      <c r="E18" s="22"/>
    </row>
    <row r="19" spans="1:5" ht="12.75" thickBot="1">
      <c r="A19" s="22"/>
      <c r="B19" s="29" t="s">
        <v>34</v>
      </c>
      <c r="C19" s="29" t="s">
        <v>35</v>
      </c>
      <c r="D19" s="29" t="s">
        <v>35</v>
      </c>
      <c r="E19" s="22"/>
    </row>
    <row r="20" spans="1:5" ht="14.25" customHeight="1" thickBot="1">
      <c r="A20" s="34" t="s">
        <v>201</v>
      </c>
      <c r="B20" s="151" t="str">
        <f>B7</f>
        <v>Removed</v>
      </c>
      <c r="C20" s="151" t="e">
        <f>C7</f>
        <v>#VALUE!</v>
      </c>
      <c r="D20" s="270" t="s">
        <v>394</v>
      </c>
      <c r="E20" s="24"/>
    </row>
    <row r="21" spans="1:5" ht="12.75" thickBot="1">
      <c r="A21" s="32" t="s">
        <v>202</v>
      </c>
      <c r="B21" s="151" t="str">
        <f>B9</f>
        <v>Removed</v>
      </c>
      <c r="C21" s="151" t="e">
        <f>C9</f>
        <v>#VALUE!</v>
      </c>
      <c r="D21" s="270" t="s">
        <v>394</v>
      </c>
      <c r="E21" s="24"/>
    </row>
    <row r="22" spans="1:5" ht="12.75" thickBot="1">
      <c r="A22" s="32" t="s">
        <v>199</v>
      </c>
      <c r="B22" s="153" t="str">
        <f>B11</f>
        <v>Removed</v>
      </c>
      <c r="C22" s="153" t="e">
        <f>C11</f>
        <v>#VALUE!</v>
      </c>
      <c r="D22" s="270" t="s">
        <v>394</v>
      </c>
      <c r="E22" s="24"/>
    </row>
  </sheetData>
  <mergeCells count="8">
    <mergeCell ref="B17:D17"/>
    <mergeCell ref="B18:C18"/>
    <mergeCell ref="B2:D2"/>
    <mergeCell ref="E2:G2"/>
    <mergeCell ref="I2:I4"/>
    <mergeCell ref="B3:C3"/>
    <mergeCell ref="E3:F3"/>
    <mergeCell ref="H2:H4"/>
  </mergeCells>
  <pageMargins left="0.74803149606299213" right="0.74803149606299213" top="0.98425196850393704" bottom="0.98425196850393704" header="0.51181102362204722" footer="0.51181102362204722"/>
  <pageSetup paperSize="9" orientation="landscape" r:id="rId1"/>
  <headerFooter alignWithMargins="0">
    <oddFooter>&amp;L&amp;A :page&amp;P&amp;COfcom Confidential&amp;R&amp;D</oddFooter>
  </headerFooter>
</worksheet>
</file>

<file path=xl/worksheets/sheet9.xml><?xml version="1.0" encoding="utf-8"?>
<worksheet xmlns="http://schemas.openxmlformats.org/spreadsheetml/2006/main" xmlns:r="http://schemas.openxmlformats.org/officeDocument/2006/relationships">
  <sheetPr>
    <pageSetUpPr autoPageBreaks="0" fitToPage="1"/>
  </sheetPr>
  <dimension ref="A1:L14"/>
  <sheetViews>
    <sheetView defaultGridColor="0" colorId="22" zoomScale="85" zoomScaleNormal="85" workbookViewId="0">
      <pane ySplit="1" topLeftCell="A2" activePane="bottomLeft" state="frozen"/>
      <selection pane="bottomLeft" activeCell="G18" sqref="G18"/>
    </sheetView>
  </sheetViews>
  <sheetFormatPr defaultColWidth="12.7109375" defaultRowHeight="12"/>
  <cols>
    <col min="1" max="1" width="45.7109375" style="17" customWidth="1"/>
    <col min="2" max="16384" width="12.7109375" style="17"/>
  </cols>
  <sheetData>
    <row r="1" spans="1:12" s="18" customFormat="1" ht="40.5" customHeight="1">
      <c r="A1" s="328" t="s">
        <v>165</v>
      </c>
      <c r="L1" s="18" t="s">
        <v>9</v>
      </c>
    </row>
    <row r="3" spans="1:12" ht="12.75">
      <c r="A3" s="275" t="s">
        <v>174</v>
      </c>
    </row>
    <row r="4" spans="1:12" ht="12.75">
      <c r="A4" s="275" t="s">
        <v>402</v>
      </c>
    </row>
    <row r="6" spans="1:12" ht="12.75" thickBot="1">
      <c r="A6" s="141" t="s">
        <v>173</v>
      </c>
      <c r="C6" s="271"/>
    </row>
    <row r="7" spans="1:12" ht="15" customHeight="1" thickBot="1">
      <c r="A7" s="142" t="s">
        <v>167</v>
      </c>
      <c r="B7" s="277" t="s">
        <v>394</v>
      </c>
      <c r="C7" s="144"/>
      <c r="D7" s="125"/>
    </row>
    <row r="8" spans="1:12" ht="15" customHeight="1" thickBot="1">
      <c r="A8" s="142" t="s">
        <v>166</v>
      </c>
      <c r="B8" s="278" t="s">
        <v>394</v>
      </c>
      <c r="C8" s="144"/>
    </row>
    <row r="9" spans="1:12" ht="15" customHeight="1">
      <c r="A9" s="142" t="s">
        <v>169</v>
      </c>
      <c r="B9" s="206" t="e">
        <f>B7/B8</f>
        <v>#VALUE!</v>
      </c>
    </row>
    <row r="10" spans="1:12" ht="15" customHeight="1">
      <c r="A10" s="139"/>
      <c r="B10" s="139"/>
    </row>
    <row r="11" spans="1:12" ht="15" customHeight="1" thickBot="1">
      <c r="A11" s="141" t="s">
        <v>171</v>
      </c>
      <c r="B11" s="139"/>
    </row>
    <row r="12" spans="1:12" ht="15" customHeight="1" thickBot="1">
      <c r="A12" s="143" t="s">
        <v>170</v>
      </c>
      <c r="B12" s="279" t="s">
        <v>394</v>
      </c>
      <c r="C12" s="144"/>
    </row>
    <row r="13" spans="1:12" ht="15" customHeight="1">
      <c r="A13" s="143" t="s">
        <v>172</v>
      </c>
      <c r="B13" s="280" t="e">
        <f>B12/B7</f>
        <v>#VALUE!</v>
      </c>
      <c r="C13" s="140"/>
    </row>
    <row r="14" spans="1:12">
      <c r="B14" s="276"/>
    </row>
  </sheetData>
  <pageMargins left="0.74803149606299213" right="0.74803149606299213" top="0.98425196850393704" bottom="0.98425196850393704" header="0.51181102362204722" footer="0.51181102362204722"/>
  <pageSetup paperSize="9" orientation="landscape" r:id="rId1"/>
  <headerFooter alignWithMargins="0">
    <oddFooter>&amp;L&amp;A :page&amp;P&amp;COfcom Confidential&amp;R&amp;D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sultation" ma:contentTypeID="0x01010069D966672F1AE243BB4E6476A93ECA5E0058C9C1295FE32149856B25A61AF2DCB2" ma:contentTypeVersion="2" ma:contentTypeDescription="document issued for internal and external comment&#10;" ma:contentTypeScope="" ma:versionID="ecba10670e9cd9de98f301b8ce666ddd">
  <xsd:schema xmlns:xsd="http://www.w3.org/2001/XMLSchema" xmlns:p="http://schemas.microsoft.com/office/2006/metadata/properties" targetNamespace="http://schemas.microsoft.com/office/2006/metadata/properties" ma:root="true" ma:fieldsID="acda2593d4989a023ad5ff290920be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2F30E1C-898C-4EAA-B52B-614A2C601A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AFAAC32-AE6B-43F5-8F3F-C538D955A4BA}">
  <ds:schemaRefs>
    <ds:schemaRef ds:uri="http://schemas.microsoft.com/office/2006/metadata/longProperties"/>
  </ds:schemaRefs>
</ds:datastoreItem>
</file>

<file path=customXml/itemProps3.xml><?xml version="1.0" encoding="utf-8"?>
<ds:datastoreItem xmlns:ds="http://schemas.openxmlformats.org/officeDocument/2006/customXml" ds:itemID="{116B3690-5155-4694-95F3-1DDF2049AD5A}">
  <ds:schemaRefs>
    <ds:schemaRef ds:uri="http://schemas.microsoft.com/sharepoint/v3/contenttype/forms"/>
  </ds:schemaRefs>
</ds:datastoreItem>
</file>

<file path=customXml/itemProps4.xml><?xml version="1.0" encoding="utf-8"?>
<ds:datastoreItem xmlns:ds="http://schemas.openxmlformats.org/officeDocument/2006/customXml" ds:itemID="{501537F4-6AEF-45FA-B811-6FCD874882E1}">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52</vt:i4>
      </vt:variant>
    </vt:vector>
  </HeadingPairs>
  <TitlesOfParts>
    <vt:vector size="73" baseType="lpstr">
      <vt:lpstr>Cover sheet</vt:lpstr>
      <vt:lpstr>Contents</vt:lpstr>
      <vt:lpstr>Scenarios</vt:lpstr>
      <vt:lpstr>Control Panel </vt:lpstr>
      <vt:lpstr>Outputs</vt:lpstr>
      <vt:lpstr>INPUTS--&gt;</vt:lpstr>
      <vt:lpstr>Rentals</vt:lpstr>
      <vt:lpstr>Connections</vt:lpstr>
      <vt:lpstr>Backhaul</vt:lpstr>
      <vt:lpstr>SMC costs</vt:lpstr>
      <vt:lpstr>Fault repairs</vt:lpstr>
      <vt:lpstr>Input assumptions--&gt;</vt:lpstr>
      <vt:lpstr>InputRentals</vt:lpstr>
      <vt:lpstr>InputConn</vt:lpstr>
      <vt:lpstr>LRIC Calculation--&gt;</vt:lpstr>
      <vt:lpstr>CalcRental</vt:lpstr>
      <vt:lpstr>CalcConn</vt:lpstr>
      <vt:lpstr>Price differentials--&gt;</vt:lpstr>
      <vt:lpstr>2009-2010</vt:lpstr>
      <vt:lpstr>Prices</vt:lpstr>
      <vt:lpstr>2013-2014</vt:lpstr>
      <vt:lpstr>opt_2MbitConnHighCap</vt:lpstr>
      <vt:lpstr>opt_2MbitConnLowCap</vt:lpstr>
      <vt:lpstr>opt_AccRepair</vt:lpstr>
      <vt:lpstr>opt_BackhaulModel</vt:lpstr>
      <vt:lpstr>opt_BackOCSCircuit</vt:lpstr>
      <vt:lpstr>opt_CoComputingCo</vt:lpstr>
      <vt:lpstr>opt_CoISDNConnCo</vt:lpstr>
      <vt:lpstr>opt_ConnCost2013_14</vt:lpstr>
      <vt:lpstr>opt_ConnPrice</vt:lpstr>
      <vt:lpstr>opt_ConnSafeguard</vt:lpstr>
      <vt:lpstr>opt_ConnSMC1</vt:lpstr>
      <vt:lpstr>opt_ConnSMC2</vt:lpstr>
      <vt:lpstr>opt_ConnSMC3</vt:lpstr>
      <vt:lpstr>opt_ConnVol2011</vt:lpstr>
      <vt:lpstr>opt_ConnVol2012</vt:lpstr>
      <vt:lpstr>opt_ConnVol2013</vt:lpstr>
      <vt:lpstr>opt_ConnVol2014</vt:lpstr>
      <vt:lpstr>opt_CoProdManCo</vt:lpstr>
      <vt:lpstr>opt_CoRouRecCo</vt:lpstr>
      <vt:lpstr>opt_CoSmcCo</vt:lpstr>
      <vt:lpstr>opt_DistBcCircuit</vt:lpstr>
      <vt:lpstr>opt_excBcCo</vt:lpstr>
      <vt:lpstr>opt_FACConn</vt:lpstr>
      <vt:lpstr>opt_FACRent</vt:lpstr>
      <vt:lpstr>opt_ISDNChUti</vt:lpstr>
      <vt:lpstr>opt_LERentalHighCap</vt:lpstr>
      <vt:lpstr>opt_LERentalLowCap</vt:lpstr>
      <vt:lpstr>opt_LineCard2013_14</vt:lpstr>
      <vt:lpstr>opt_LinkRentalHighCap</vt:lpstr>
      <vt:lpstr>opt_LinkRentalLowCap</vt:lpstr>
      <vt:lpstr>opt_LTECost2013_14</vt:lpstr>
      <vt:lpstr>opt_ReLineTest</vt:lpstr>
      <vt:lpstr>opt_RentPrice</vt:lpstr>
      <vt:lpstr>opt_RentVol2011</vt:lpstr>
      <vt:lpstr>opt_RentVol2012</vt:lpstr>
      <vt:lpstr>opt_RentVol2013</vt:lpstr>
      <vt:lpstr>opt_RentVol2014</vt:lpstr>
      <vt:lpstr>opt_RtBcCo</vt:lpstr>
      <vt:lpstr>opt_RtLineCard</vt:lpstr>
      <vt:lpstr>opt_RtLoAccCo</vt:lpstr>
      <vt:lpstr>opt_RtProdManCo</vt:lpstr>
      <vt:lpstr>opt_RtSmcCo</vt:lpstr>
      <vt:lpstr>opt_TermSegHighCap</vt:lpstr>
      <vt:lpstr>opt_TermSegLowCap</vt:lpstr>
      <vt:lpstr>opt_UpliftAccElect</vt:lpstr>
      <vt:lpstr>opt_UpliftLCard1</vt:lpstr>
      <vt:lpstr>opt_XCombBasket</vt:lpstr>
      <vt:lpstr>Scenario_choice</vt:lpstr>
      <vt:lpstr>Workbook.Objective</vt:lpstr>
      <vt:lpstr>Workbook.Status</vt:lpstr>
      <vt:lpstr>'Cover sheet'!Workbook.Title</vt:lpstr>
      <vt:lpstr>Workbook.Title</vt:lpstr>
    </vt:vector>
  </TitlesOfParts>
  <Company>Analysys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Jordi Casanova</dc:creator>
  <cp:lastModifiedBy>chia.seiler</cp:lastModifiedBy>
  <cp:lastPrinted>2011-04-01T16:21:57Z</cp:lastPrinted>
  <dcterms:created xsi:type="dcterms:W3CDTF">1997-01-23T15:12:23Z</dcterms:created>
  <dcterms:modified xsi:type="dcterms:W3CDTF">2011-04-15T13:12:05Z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Consultation</vt:lpwstr>
  </property>
</Properties>
</file>