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filterPrivacy="1" codeName="ThisWorkbook"/>
  <xr:revisionPtr revIDLastSave="1" documentId="8_{98F1CAB6-5E7B-46A3-AB65-14EA0C31A16B}" xr6:coauthVersionLast="47" xr6:coauthVersionMax="47" xr10:uidLastSave="{068BA65D-CEA8-445C-B8DE-5C4685C375FF}"/>
  <bookViews>
    <workbookView xWindow="-120" yWindow="-120" windowWidth="29040" windowHeight="15840" tabRatio="860" xr2:uid="{00000000-000D-0000-FFFF-FFFF00000000}"/>
  </bookViews>
  <sheets>
    <sheet name="Contents" sheetId="50" r:id="rId1"/>
    <sheet name="Styles" sheetId="96" r:id="rId2"/>
    <sheet name="Inputs ---&gt;" sheetId="64" r:id="rId3"/>
    <sheet name="Spectrum cost inputs" sheetId="73" r:id="rId4"/>
    <sheet name="MCT Cost Trends" sheetId="86" r:id="rId5"/>
    <sheet name="Calculations ---&gt;" sheetId="77" r:id="rId6"/>
    <sheet name="Cost Trend calc" sheetId="87" r:id="rId7"/>
    <sheet name="Cost calculations" sheetId="74" r:id="rId8"/>
    <sheet name="Discounted cost_7years" sheetId="91" r:id="rId9"/>
    <sheet name="Discounted cost_15years" sheetId="93" r:id="rId10"/>
    <sheet name="Cost_SiteRural" sheetId="90" r:id="rId11"/>
    <sheet name="Cost_SiteUrban" sheetId="92" r:id="rId12"/>
    <sheet name="Composite cost scenarios" sheetId="76" r:id="rId13"/>
    <sheet name="Costs By HDA grouping" sheetId="80" r:id="rId14"/>
    <sheet name="Final OutputCosts ---&gt;" sheetId="65" r:id="rId15"/>
    <sheet name="FinalOutputTables" sheetId="89" r:id="rId16"/>
  </sheets>
  <definedNames>
    <definedName name="annualised_equip_cost_hop_urban" localSheetId="8">'Discounted cost_7years'!$C$97</definedName>
    <definedName name="discount_rate" localSheetId="10">Cost_SiteRural!$C$6</definedName>
    <definedName name="discount_rate" localSheetId="11">Cost_SiteUrban!$C$6</definedName>
    <definedName name="discount_rate" localSheetId="9">'Discounted cost_15years'!$C$6</definedName>
    <definedName name="discount_rate" localSheetId="8">'Discounted cost_7years'!$C$6</definedName>
    <definedName name="Equipment">'Spectrum cost inputs'!$D$8</definedName>
    <definedName name="equipment_capital" localSheetId="10">Cost_SiteRural!$C$8</definedName>
    <definedName name="equipment_capital" localSheetId="11">Cost_SiteUrban!$C$8</definedName>
    <definedName name="equipment_capital" localSheetId="9">'Discounted cost_15years'!$C$8</definedName>
    <definedName name="equipment_capital" localSheetId="8">'Discounted cost_7years'!$C$8</definedName>
    <definedName name="equipment_capital_ins" localSheetId="8">'Discounted cost_7years'!$C$9</definedName>
    <definedName name="equipment_capital_ins">'Discounted cost_15years'!$C$9</definedName>
    <definedName name="equipment_lifetime" localSheetId="9">'Discounted cost_15years'!$C$17</definedName>
    <definedName name="equipment_lifetime" localSheetId="8">'Discounted cost_7years'!$C$17</definedName>
    <definedName name="equipment_lifetime_15" localSheetId="9">'Discounted cost_15years'!$C$17</definedName>
    <definedName name="finance_rate" localSheetId="10">Cost_SiteRural!$C$5</definedName>
    <definedName name="finance_rate" localSheetId="11">Cost_SiteUrban!$C$5</definedName>
    <definedName name="finance_rate" localSheetId="9">'Discounted cost_15years'!$C$5</definedName>
    <definedName name="finance_rate" localSheetId="8">'Discounted cost_7years'!$C$5</definedName>
    <definedName name="npc_rural_hop" localSheetId="9">'Discounted cost_15years'!$W$125</definedName>
    <definedName name="npc_rural_hop" localSheetId="8">'Discounted cost_7years'!$W$94</definedName>
    <definedName name="npc_urban_hop" localSheetId="9">'Discounted cost_15years'!$W$135</definedName>
    <definedName name="npc_urban_hop" localSheetId="8">'Discounted cost_7years'!$W$104</definedName>
    <definedName name="per_infrastructure_cost">'Cost calculations'!$C$7</definedName>
    <definedName name="per_installation_cost">'Cost calculations'!$C$6</definedName>
    <definedName name="per_maintenance_cost">'Cost calculations'!$C$8</definedName>
    <definedName name="rural_site_capital" localSheetId="10">Cost_SiteRural!$C$10</definedName>
    <definedName name="rural_site_capital" localSheetId="11">Cost_SiteUrban!$C$10</definedName>
    <definedName name="rural_site_capital" localSheetId="9">'Discounted cost_15years'!$C$10</definedName>
    <definedName name="rural_site_capital" localSheetId="8">'Discounted cost_7years'!$C$10</definedName>
    <definedName name="sitecost_rural">'Spectrum cost inputs'!$D$10</definedName>
    <definedName name="sitecost_urban">'Spectrum cost inputs'!$D$11</definedName>
    <definedName name="structure_lifetime" localSheetId="10">Cost_SiteRural!$C$17</definedName>
    <definedName name="structure_lifetime" localSheetId="11">Cost_SiteUrban!$C$17</definedName>
    <definedName name="structure_lifetime" localSheetId="9">'Discounted cost_15years'!$C$18</definedName>
    <definedName name="structure_lifetime" localSheetId="8">'Discounted cost_7years'!$C$18</definedName>
    <definedName name="time_horizon" localSheetId="10">Cost_SiteRural!$C$3</definedName>
    <definedName name="time_horizon" localSheetId="11">Cost_SiteUrban!$C$3</definedName>
    <definedName name="time_horizon" localSheetId="9">'Discounted cost_15years'!$C$3</definedName>
    <definedName name="time_horizon" localSheetId="8">'Discounted cost_7years'!$C$3</definedName>
    <definedName name="urban_site_capital" localSheetId="10">Cost_SiteRural!$C$11</definedName>
    <definedName name="urban_site_capital" localSheetId="11">Cost_SiteUrban!$C$11</definedName>
    <definedName name="urban_site_capital" localSheetId="9">'Discounted cost_15years'!$C$11</definedName>
    <definedName name="urban_site_capital" localSheetId="8">'Discounted cost_7years'!$C$11</definedName>
    <definedName name="Workbook.Title">Contents!$B$6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1" i="89" l="1"/>
  <c r="O42" i="89"/>
  <c r="O43" i="89"/>
  <c r="O40" i="89"/>
  <c r="O34" i="89"/>
  <c r="O35" i="89"/>
  <c r="O36" i="89"/>
  <c r="O33" i="89"/>
  <c r="O26" i="89"/>
  <c r="O27" i="89"/>
  <c r="O28" i="89"/>
  <c r="O25" i="89"/>
  <c r="I41" i="89"/>
  <c r="I42" i="89"/>
  <c r="I43" i="89"/>
  <c r="I40" i="89"/>
  <c r="I34" i="89"/>
  <c r="I35" i="89"/>
  <c r="I36" i="89"/>
  <c r="I33" i="89"/>
  <c r="I26" i="89"/>
  <c r="I27" i="89"/>
  <c r="I28" i="89"/>
  <c r="I25" i="89"/>
  <c r="C41" i="89"/>
  <c r="C42" i="89"/>
  <c r="C43" i="89"/>
  <c r="C40" i="89"/>
  <c r="C34" i="89"/>
  <c r="C35" i="89"/>
  <c r="C36" i="89"/>
  <c r="C33" i="89"/>
  <c r="C26" i="89"/>
  <c r="C27" i="89"/>
  <c r="C28" i="89"/>
  <c r="C25" i="89"/>
  <c r="E29" i="76"/>
  <c r="F29" i="76"/>
  <c r="G29" i="76"/>
  <c r="D29" i="76"/>
  <c r="C8" i="92"/>
  <c r="C8" i="90"/>
  <c r="C8" i="93"/>
  <c r="C17" i="92"/>
  <c r="C17" i="90"/>
  <c r="C18" i="93"/>
  <c r="C8" i="91"/>
  <c r="C18" i="91"/>
  <c r="C17" i="91"/>
  <c r="C14" i="91"/>
  <c r="G37" i="74"/>
  <c r="F37" i="74"/>
  <c r="K22" i="74"/>
  <c r="I22" i="74"/>
  <c r="K15" i="74"/>
  <c r="I15" i="74"/>
  <c r="E30" i="87"/>
  <c r="F30" i="87"/>
  <c r="G30" i="87"/>
  <c r="H30" i="87"/>
  <c r="I30" i="87"/>
  <c r="J30" i="87"/>
  <c r="K30" i="87"/>
  <c r="L30" i="87"/>
  <c r="M30" i="87"/>
  <c r="N30" i="87"/>
  <c r="O30" i="87"/>
  <c r="P30" i="87"/>
  <c r="Q30" i="87"/>
  <c r="R30" i="87"/>
  <c r="S30" i="87"/>
  <c r="T30" i="87"/>
  <c r="U30" i="87"/>
  <c r="V30" i="87"/>
  <c r="W30" i="87"/>
  <c r="X30" i="87"/>
  <c r="Y30" i="87"/>
  <c r="Z30" i="87"/>
  <c r="AA30" i="87"/>
  <c r="AB30" i="87"/>
  <c r="AC30" i="87"/>
  <c r="AD30" i="87"/>
  <c r="E32" i="87"/>
  <c r="F32" i="87"/>
  <c r="G32" i="87"/>
  <c r="H32" i="87"/>
  <c r="I32" i="87"/>
  <c r="J32" i="87"/>
  <c r="K32" i="87"/>
  <c r="L32" i="87"/>
  <c r="M32" i="87"/>
  <c r="N32" i="87"/>
  <c r="O32" i="87"/>
  <c r="P32" i="87"/>
  <c r="Q32" i="87"/>
  <c r="R32" i="87"/>
  <c r="S32" i="87"/>
  <c r="T32" i="87"/>
  <c r="U32" i="87"/>
  <c r="V32" i="87"/>
  <c r="W32" i="87"/>
  <c r="X32" i="87"/>
  <c r="Y32" i="87"/>
  <c r="Z32" i="87"/>
  <c r="AA32" i="87"/>
  <c r="AB32" i="87"/>
  <c r="AC32" i="87"/>
  <c r="AD32" i="87"/>
  <c r="E59" i="87"/>
  <c r="F59" i="87"/>
  <c r="G59" i="87"/>
  <c r="H59" i="87"/>
  <c r="I59" i="87"/>
  <c r="J59" i="87"/>
  <c r="K59" i="87"/>
  <c r="L59" i="87"/>
  <c r="M59" i="87"/>
  <c r="N59" i="87"/>
  <c r="O59" i="87"/>
  <c r="P59" i="87"/>
  <c r="Q59" i="87"/>
  <c r="R59" i="87"/>
  <c r="S59" i="87"/>
  <c r="T59" i="87"/>
  <c r="U59" i="87"/>
  <c r="V59" i="87"/>
  <c r="W59" i="87"/>
  <c r="X59" i="87"/>
  <c r="Y59" i="87"/>
  <c r="Z59" i="87"/>
  <c r="AA59" i="87"/>
  <c r="AB59" i="87"/>
  <c r="AC59" i="87"/>
  <c r="AD59" i="87"/>
  <c r="E60" i="87"/>
  <c r="F60" i="87"/>
  <c r="G60" i="87"/>
  <c r="H60" i="87"/>
  <c r="I60" i="87"/>
  <c r="J60" i="87"/>
  <c r="K60" i="87"/>
  <c r="L60" i="87"/>
  <c r="M60" i="87"/>
  <c r="N60" i="87"/>
  <c r="O60" i="87"/>
  <c r="P60" i="87"/>
  <c r="Q60" i="87"/>
  <c r="R60" i="87"/>
  <c r="S60" i="87"/>
  <c r="T60" i="87"/>
  <c r="U60" i="87"/>
  <c r="V60" i="87"/>
  <c r="W60" i="87"/>
  <c r="X60" i="87"/>
  <c r="Y60" i="87"/>
  <c r="Z60" i="87"/>
  <c r="AA60" i="87"/>
  <c r="AB60" i="87"/>
  <c r="AC60" i="87"/>
  <c r="AD60" i="87"/>
  <c r="E61" i="87"/>
  <c r="F61" i="87"/>
  <c r="G61" i="87"/>
  <c r="H61" i="87"/>
  <c r="I61" i="87"/>
  <c r="J61" i="87"/>
  <c r="K61" i="87"/>
  <c r="L61" i="87"/>
  <c r="M61" i="87"/>
  <c r="N61" i="87"/>
  <c r="O61" i="87"/>
  <c r="P61" i="87"/>
  <c r="Q61" i="87"/>
  <c r="R61" i="87"/>
  <c r="S61" i="87"/>
  <c r="T61" i="87"/>
  <c r="U61" i="87"/>
  <c r="V61" i="87"/>
  <c r="W61" i="87"/>
  <c r="X61" i="87"/>
  <c r="Y61" i="87"/>
  <c r="Z61" i="87"/>
  <c r="AA61" i="87"/>
  <c r="AB61" i="87"/>
  <c r="AC61" i="87"/>
  <c r="AD61" i="87"/>
  <c r="E62" i="87"/>
  <c r="F62" i="87"/>
  <c r="G62" i="87"/>
  <c r="H62" i="87"/>
  <c r="I62" i="87"/>
  <c r="J62" i="87"/>
  <c r="K62" i="87"/>
  <c r="L62" i="87"/>
  <c r="M62" i="87"/>
  <c r="N62" i="87"/>
  <c r="O62" i="87"/>
  <c r="P62" i="87"/>
  <c r="Q62" i="87"/>
  <c r="R62" i="87"/>
  <c r="S62" i="87"/>
  <c r="T62" i="87"/>
  <c r="U62" i="87"/>
  <c r="V62" i="87"/>
  <c r="W62" i="87"/>
  <c r="X62" i="87"/>
  <c r="Y62" i="87"/>
  <c r="Z62" i="87"/>
  <c r="AA62" i="87"/>
  <c r="AB62" i="87"/>
  <c r="AC62" i="87"/>
  <c r="AD62" i="87"/>
  <c r="G15" i="80" l="1"/>
  <c r="H15" i="80"/>
  <c r="I15" i="80"/>
  <c r="F15" i="80"/>
  <c r="D17" i="74"/>
  <c r="D16" i="74"/>
  <c r="J29" i="74"/>
  <c r="K29" i="74" s="1"/>
  <c r="J28" i="74"/>
  <c r="K28" i="74" s="1"/>
  <c r="J24" i="74"/>
  <c r="K24" i="74" s="1"/>
  <c r="J23" i="74"/>
  <c r="K23" i="74" s="1"/>
  <c r="H29" i="74"/>
  <c r="I29" i="74" s="1"/>
  <c r="H28" i="74"/>
  <c r="I28" i="74" s="1"/>
  <c r="H24" i="74"/>
  <c r="I24" i="74" s="1"/>
  <c r="H23" i="74"/>
  <c r="I23" i="74" s="1"/>
  <c r="J17" i="74"/>
  <c r="K17" i="74" s="1"/>
  <c r="H17" i="74"/>
  <c r="I17" i="74" s="1"/>
  <c r="J16" i="74"/>
  <c r="K16" i="74" s="1"/>
  <c r="H16" i="74"/>
  <c r="I16" i="74" s="1"/>
  <c r="A56" i="93"/>
  <c r="N56" i="93" s="1"/>
  <c r="A55" i="93"/>
  <c r="P55" i="93" s="1"/>
  <c r="A54" i="93"/>
  <c r="J54" i="93" s="1"/>
  <c r="A53" i="93"/>
  <c r="N53" i="93" s="1"/>
  <c r="A52" i="93"/>
  <c r="P52" i="93" s="1"/>
  <c r="A51" i="93"/>
  <c r="A50" i="93"/>
  <c r="A49" i="93"/>
  <c r="A48" i="93"/>
  <c r="P48" i="93" s="1"/>
  <c r="A47" i="93"/>
  <c r="Q47" i="93" s="1"/>
  <c r="A46" i="93"/>
  <c r="A45" i="93"/>
  <c r="A44" i="93"/>
  <c r="A43" i="93"/>
  <c r="A42" i="93"/>
  <c r="A41" i="93"/>
  <c r="V23" i="93"/>
  <c r="U23" i="93"/>
  <c r="T23" i="93"/>
  <c r="S23" i="93"/>
  <c r="R23" i="93"/>
  <c r="Q23" i="93"/>
  <c r="P23" i="93"/>
  <c r="O23" i="93"/>
  <c r="N23" i="93"/>
  <c r="M23" i="93"/>
  <c r="L23" i="93"/>
  <c r="K23" i="93"/>
  <c r="J23" i="93"/>
  <c r="I23" i="93"/>
  <c r="H23" i="93"/>
  <c r="G23" i="93"/>
  <c r="F23" i="93"/>
  <c r="E23" i="93"/>
  <c r="D23" i="93"/>
  <c r="C23" i="93"/>
  <c r="P22" i="93"/>
  <c r="V22" i="92"/>
  <c r="U22" i="92"/>
  <c r="T22" i="92"/>
  <c r="S22" i="92"/>
  <c r="R22" i="92"/>
  <c r="Q22" i="92"/>
  <c r="P22" i="92"/>
  <c r="O22" i="92"/>
  <c r="N22" i="92"/>
  <c r="M22" i="92"/>
  <c r="L22" i="92"/>
  <c r="K22" i="92"/>
  <c r="J22" i="92"/>
  <c r="I22" i="92"/>
  <c r="H22" i="92"/>
  <c r="G22" i="92"/>
  <c r="F22" i="92"/>
  <c r="E22" i="92"/>
  <c r="D22" i="92"/>
  <c r="C22" i="92"/>
  <c r="V21" i="92"/>
  <c r="E29" i="74"/>
  <c r="E28" i="74"/>
  <c r="V23" i="91"/>
  <c r="U23" i="91"/>
  <c r="T23" i="91"/>
  <c r="S23" i="91"/>
  <c r="R23" i="91"/>
  <c r="Q23" i="91"/>
  <c r="P23" i="91"/>
  <c r="O23" i="91"/>
  <c r="N23" i="91"/>
  <c r="M23" i="91"/>
  <c r="L23" i="91"/>
  <c r="K23" i="91"/>
  <c r="J23" i="91"/>
  <c r="I23" i="91"/>
  <c r="H23" i="91"/>
  <c r="G23" i="91"/>
  <c r="F23" i="91"/>
  <c r="E23" i="91"/>
  <c r="D23" i="91"/>
  <c r="C23" i="91"/>
  <c r="V22" i="91"/>
  <c r="U22" i="91"/>
  <c r="T22" i="91"/>
  <c r="S22" i="91"/>
  <c r="R22" i="91"/>
  <c r="Q22" i="91"/>
  <c r="P22" i="91"/>
  <c r="O22" i="91"/>
  <c r="N22" i="91"/>
  <c r="M22" i="91"/>
  <c r="L22" i="91"/>
  <c r="K22" i="91"/>
  <c r="J22" i="91"/>
  <c r="I22" i="91"/>
  <c r="H22" i="91"/>
  <c r="G22" i="91"/>
  <c r="F22" i="91"/>
  <c r="E22" i="91"/>
  <c r="D22" i="91"/>
  <c r="C22" i="91"/>
  <c r="C10" i="74"/>
  <c r="V22" i="90"/>
  <c r="U22" i="90"/>
  <c r="T22" i="90"/>
  <c r="S22" i="90"/>
  <c r="R22" i="90"/>
  <c r="Q22" i="90"/>
  <c r="P22" i="90"/>
  <c r="O22" i="90"/>
  <c r="N22" i="90"/>
  <c r="M22" i="90"/>
  <c r="L22" i="90"/>
  <c r="K22" i="90"/>
  <c r="J22" i="90"/>
  <c r="I22" i="90"/>
  <c r="H22" i="90"/>
  <c r="G22" i="90"/>
  <c r="F22" i="90"/>
  <c r="E22" i="90"/>
  <c r="D22" i="90"/>
  <c r="C22" i="90"/>
  <c r="A41" i="90"/>
  <c r="M51" i="93" l="1"/>
  <c r="Q52" i="93"/>
  <c r="Q70" i="93" s="1"/>
  <c r="Q88" i="93" s="1"/>
  <c r="Q106" i="93" s="1"/>
  <c r="N51" i="93"/>
  <c r="P51" i="93"/>
  <c r="O52" i="93"/>
  <c r="P53" i="93"/>
  <c r="Q53" i="93"/>
  <c r="Q71" i="93" s="1"/>
  <c r="Q89" i="93" s="1"/>
  <c r="Q107" i="93" s="1"/>
  <c r="P56" i="93"/>
  <c r="Q48" i="93"/>
  <c r="P66" i="93" s="1"/>
  <c r="P84" i="93" s="1"/>
  <c r="P102" i="93" s="1"/>
  <c r="P54" i="93"/>
  <c r="M53" i="93"/>
  <c r="L56" i="93"/>
  <c r="N50" i="93"/>
  <c r="O50" i="93"/>
  <c r="J55" i="93"/>
  <c r="P49" i="93"/>
  <c r="Q51" i="93"/>
  <c r="Q69" i="93" s="1"/>
  <c r="Q87" i="93" s="1"/>
  <c r="Q105" i="93" s="1"/>
  <c r="O49" i="93"/>
  <c r="P50" i="93"/>
  <c r="N55" i="93"/>
  <c r="Q49" i="93"/>
  <c r="Q67" i="93" s="1"/>
  <c r="Q85" i="93" s="1"/>
  <c r="Q103" i="93" s="1"/>
  <c r="H56" i="93"/>
  <c r="O53" i="93"/>
  <c r="M54" i="93"/>
  <c r="E22" i="93"/>
  <c r="H22" i="93"/>
  <c r="Q22" i="93"/>
  <c r="U22" i="93"/>
  <c r="M21" i="92"/>
  <c r="G22" i="93"/>
  <c r="R22" i="93"/>
  <c r="I22" i="93"/>
  <c r="J22" i="93"/>
  <c r="M22" i="93"/>
  <c r="O22" i="93"/>
  <c r="K55" i="93"/>
  <c r="Q55" i="93"/>
  <c r="P73" i="93" s="1"/>
  <c r="P91" i="93" s="1"/>
  <c r="P109" i="93" s="1"/>
  <c r="I55" i="93"/>
  <c r="O55" i="93"/>
  <c r="M55" i="93"/>
  <c r="L52" i="93"/>
  <c r="Q56" i="93"/>
  <c r="P74" i="93" s="1"/>
  <c r="P92" i="93" s="1"/>
  <c r="P110" i="93" s="1"/>
  <c r="I56" i="93"/>
  <c r="O56" i="93"/>
  <c r="M56" i="93"/>
  <c r="K56" i="93"/>
  <c r="C22" i="93"/>
  <c r="K22" i="93"/>
  <c r="S22" i="93"/>
  <c r="Q50" i="93"/>
  <c r="O51" i="93"/>
  <c r="M52" i="93"/>
  <c r="K53" i="93"/>
  <c r="C21" i="92"/>
  <c r="Q65" i="93"/>
  <c r="Q83" i="93" s="1"/>
  <c r="Q101" i="93" s="1"/>
  <c r="D22" i="93"/>
  <c r="L22" i="93"/>
  <c r="T22" i="93"/>
  <c r="N52" i="93"/>
  <c r="L53" i="93"/>
  <c r="K54" i="93"/>
  <c r="Q54" i="93"/>
  <c r="Q72" i="93" s="1"/>
  <c r="O54" i="93"/>
  <c r="L54" i="93"/>
  <c r="N21" i="92"/>
  <c r="F22" i="93"/>
  <c r="N22" i="93"/>
  <c r="V22" i="93"/>
  <c r="N54" i="93"/>
  <c r="L55" i="93"/>
  <c r="J56" i="93"/>
  <c r="E21" i="92"/>
  <c r="P21" i="92"/>
  <c r="F21" i="92"/>
  <c r="Q21" i="92"/>
  <c r="H21" i="92"/>
  <c r="R21" i="92"/>
  <c r="I21" i="92"/>
  <c r="S21" i="92"/>
  <c r="J21" i="92"/>
  <c r="U21" i="92"/>
  <c r="K21" i="92"/>
  <c r="A46" i="91"/>
  <c r="I46" i="91" s="1"/>
  <c r="I56" i="91" s="1"/>
  <c r="I66" i="91" s="1"/>
  <c r="I76" i="91" s="1"/>
  <c r="A41" i="92"/>
  <c r="D21" i="92"/>
  <c r="L21" i="92"/>
  <c r="T21" i="92"/>
  <c r="A38" i="92"/>
  <c r="G21" i="92"/>
  <c r="O21" i="92"/>
  <c r="A35" i="92"/>
  <c r="A44" i="91"/>
  <c r="A47" i="91"/>
  <c r="A43" i="91"/>
  <c r="A45" i="91"/>
  <c r="A42" i="91"/>
  <c r="A48" i="91"/>
  <c r="A41" i="91"/>
  <c r="A38" i="90"/>
  <c r="J21" i="90"/>
  <c r="A35" i="90"/>
  <c r="M21" i="90"/>
  <c r="N21" i="90"/>
  <c r="R21" i="90"/>
  <c r="C21" i="90"/>
  <c r="S21" i="90"/>
  <c r="E21" i="90"/>
  <c r="U21" i="90"/>
  <c r="F21" i="90"/>
  <c r="V21" i="90"/>
  <c r="K21" i="90"/>
  <c r="D21" i="90"/>
  <c r="L21" i="90"/>
  <c r="T21" i="90"/>
  <c r="G21" i="90"/>
  <c r="O21" i="90"/>
  <c r="H21" i="90"/>
  <c r="P21" i="90"/>
  <c r="I21" i="90"/>
  <c r="Q21" i="90"/>
  <c r="P70" i="93" l="1"/>
  <c r="P88" i="93" s="1"/>
  <c r="P106" i="93" s="1"/>
  <c r="N71" i="93"/>
  <c r="N89" i="93" s="1"/>
  <c r="N107" i="93" s="1"/>
  <c r="O71" i="93"/>
  <c r="O89" i="93" s="1"/>
  <c r="O107" i="93" s="1"/>
  <c r="O70" i="93"/>
  <c r="O88" i="93" s="1"/>
  <c r="O106" i="93" s="1"/>
  <c r="P71" i="93"/>
  <c r="P89" i="93" s="1"/>
  <c r="P107" i="93" s="1"/>
  <c r="P67" i="93"/>
  <c r="P85" i="93" s="1"/>
  <c r="P103" i="93" s="1"/>
  <c r="P69" i="93"/>
  <c r="P87" i="93" s="1"/>
  <c r="P105" i="93" s="1"/>
  <c r="M71" i="93"/>
  <c r="M89" i="93" s="1"/>
  <c r="M107" i="93" s="1"/>
  <c r="Q66" i="93"/>
  <c r="Q84" i="93" s="1"/>
  <c r="Q102" i="93" s="1"/>
  <c r="M69" i="93"/>
  <c r="M87" i="93" s="1"/>
  <c r="M105" i="93" s="1"/>
  <c r="O67" i="93"/>
  <c r="O85" i="93" s="1"/>
  <c r="O103" i="93" s="1"/>
  <c r="N68" i="93"/>
  <c r="N86" i="93" s="1"/>
  <c r="N104" i="93" s="1"/>
  <c r="N73" i="93"/>
  <c r="N91" i="93" s="1"/>
  <c r="N109" i="93" s="1"/>
  <c r="M73" i="93"/>
  <c r="M91" i="93" s="1"/>
  <c r="M109" i="93" s="1"/>
  <c r="M70" i="93"/>
  <c r="M88" i="93" s="1"/>
  <c r="M106" i="93" s="1"/>
  <c r="Q74" i="93"/>
  <c r="Q92" i="93" s="1"/>
  <c r="Q110" i="93" s="1"/>
  <c r="K74" i="93"/>
  <c r="K92" i="93" s="1"/>
  <c r="K110" i="93" s="1"/>
  <c r="J73" i="93"/>
  <c r="J91" i="93" s="1"/>
  <c r="J109" i="93" s="1"/>
  <c r="O72" i="93"/>
  <c r="O90" i="93" s="1"/>
  <c r="O108" i="93" s="1"/>
  <c r="Q73" i="93"/>
  <c r="Q91" i="93" s="1"/>
  <c r="Q109" i="93" s="1"/>
  <c r="O74" i="93"/>
  <c r="O92" i="93" s="1"/>
  <c r="O110" i="93" s="1"/>
  <c r="L70" i="93"/>
  <c r="L88" i="93" s="1"/>
  <c r="L106" i="93" s="1"/>
  <c r="M74" i="93"/>
  <c r="M92" i="93" s="1"/>
  <c r="M110" i="93" s="1"/>
  <c r="I74" i="93"/>
  <c r="I92" i="93" s="1"/>
  <c r="I110" i="93" s="1"/>
  <c r="K73" i="93"/>
  <c r="K91" i="93" s="1"/>
  <c r="K109" i="93" s="1"/>
  <c r="K71" i="93"/>
  <c r="K89" i="93" s="1"/>
  <c r="K107" i="93" s="1"/>
  <c r="I73" i="93"/>
  <c r="I91" i="93" s="1"/>
  <c r="I109" i="93" s="1"/>
  <c r="L73" i="93"/>
  <c r="O69" i="93"/>
  <c r="O87" i="93" s="1"/>
  <c r="O105" i="93" s="1"/>
  <c r="O73" i="93"/>
  <c r="O91" i="93" s="1"/>
  <c r="O109" i="93" s="1"/>
  <c r="L74" i="93"/>
  <c r="L92" i="93" s="1"/>
  <c r="L110" i="93" s="1"/>
  <c r="N72" i="93"/>
  <c r="N90" i="93" s="1"/>
  <c r="N108" i="93" s="1"/>
  <c r="K72" i="93"/>
  <c r="K90" i="93" s="1"/>
  <c r="K108" i="93" s="1"/>
  <c r="O68" i="93"/>
  <c r="O86" i="93" s="1"/>
  <c r="O104" i="93" s="1"/>
  <c r="N69" i="93"/>
  <c r="N87" i="93" s="1"/>
  <c r="N105" i="93" s="1"/>
  <c r="J74" i="93"/>
  <c r="J92" i="93" s="1"/>
  <c r="J110" i="93" s="1"/>
  <c r="J72" i="93"/>
  <c r="J90" i="93" s="1"/>
  <c r="J108" i="93" s="1"/>
  <c r="P68" i="93"/>
  <c r="P86" i="93" s="1"/>
  <c r="P104" i="93" s="1"/>
  <c r="P72" i="93"/>
  <c r="P90" i="93" s="1"/>
  <c r="P108" i="93" s="1"/>
  <c r="L71" i="93"/>
  <c r="L89" i="93" s="1"/>
  <c r="L107" i="93" s="1"/>
  <c r="H74" i="93"/>
  <c r="H92" i="93" s="1"/>
  <c r="H110" i="93" s="1"/>
  <c r="N70" i="93"/>
  <c r="N88" i="93" s="1"/>
  <c r="N106" i="93" s="1"/>
  <c r="M72" i="93"/>
  <c r="M90" i="93" s="1"/>
  <c r="M108" i="93" s="1"/>
  <c r="L72" i="93"/>
  <c r="L90" i="93" s="1"/>
  <c r="L108" i="93" s="1"/>
  <c r="Q68" i="93"/>
  <c r="Q86" i="93" s="1"/>
  <c r="Q104" i="93" s="1"/>
  <c r="Q90" i="93"/>
  <c r="Q108" i="93" s="1"/>
  <c r="N74" i="93"/>
  <c r="N92" i="93" s="1"/>
  <c r="N110" i="93" s="1"/>
  <c r="E46" i="91"/>
  <c r="G46" i="91"/>
  <c r="F46" i="91"/>
  <c r="H46" i="91"/>
  <c r="H56" i="91" s="1"/>
  <c r="H45" i="91"/>
  <c r="F45" i="91"/>
  <c r="I45" i="91"/>
  <c r="G45" i="91"/>
  <c r="H43" i="91"/>
  <c r="I43" i="91"/>
  <c r="H47" i="91"/>
  <c r="F47" i="91"/>
  <c r="E47" i="91"/>
  <c r="D47" i="91"/>
  <c r="I47" i="91"/>
  <c r="G47" i="91"/>
  <c r="H48" i="91"/>
  <c r="F48" i="91"/>
  <c r="E48" i="91"/>
  <c r="D48" i="91"/>
  <c r="C48" i="91"/>
  <c r="G48" i="91"/>
  <c r="I48" i="91"/>
  <c r="H44" i="91"/>
  <c r="I44" i="91"/>
  <c r="G44" i="91"/>
  <c r="I42" i="91"/>
  <c r="F56" i="91" l="1"/>
  <c r="F66" i="91" s="1"/>
  <c r="F76" i="91" s="1"/>
  <c r="H66" i="91"/>
  <c r="H76" i="91" s="1"/>
  <c r="X76" i="91" s="1"/>
  <c r="C17" i="89" s="1"/>
  <c r="E56" i="91"/>
  <c r="E66" i="91" s="1"/>
  <c r="E76" i="91" s="1"/>
  <c r="G56" i="91"/>
  <c r="G66" i="91" s="1"/>
  <c r="G76" i="91" s="1"/>
  <c r="L91" i="93"/>
  <c r="L109" i="93" s="1"/>
  <c r="D57" i="91"/>
  <c r="D67" i="91" s="1"/>
  <c r="D77" i="91" s="1"/>
  <c r="H57" i="91"/>
  <c r="H67" i="91" s="1"/>
  <c r="H77" i="91" s="1"/>
  <c r="H53" i="91"/>
  <c r="H63" i="91" s="1"/>
  <c r="H73" i="91" s="1"/>
  <c r="I52" i="91"/>
  <c r="I62" i="91" s="1"/>
  <c r="I72" i="91" s="1"/>
  <c r="C58" i="91"/>
  <c r="C68" i="91" s="1"/>
  <c r="C78" i="91" s="1"/>
  <c r="H55" i="91"/>
  <c r="H65" i="91" s="1"/>
  <c r="H75" i="91" s="1"/>
  <c r="I54" i="91"/>
  <c r="I64" i="91" s="1"/>
  <c r="I74" i="91" s="1"/>
  <c r="D58" i="91"/>
  <c r="D68" i="91" s="1"/>
  <c r="D78" i="91" s="1"/>
  <c r="G57" i="91"/>
  <c r="G67" i="91" s="1"/>
  <c r="G77" i="91" s="1"/>
  <c r="H54" i="91"/>
  <c r="H64" i="91" s="1"/>
  <c r="H74" i="91" s="1"/>
  <c r="E58" i="91"/>
  <c r="E68" i="91" s="1"/>
  <c r="E78" i="91" s="1"/>
  <c r="I57" i="91"/>
  <c r="I67" i="91" s="1"/>
  <c r="I77" i="91" s="1"/>
  <c r="G55" i="91"/>
  <c r="G65" i="91" s="1"/>
  <c r="G75" i="91" s="1"/>
  <c r="G58" i="91"/>
  <c r="G68" i="91" s="1"/>
  <c r="G78" i="91" s="1"/>
  <c r="F55" i="91"/>
  <c r="F65" i="91" s="1"/>
  <c r="F75" i="91" s="1"/>
  <c r="F58" i="91"/>
  <c r="F68" i="91" s="1"/>
  <c r="F78" i="91" s="1"/>
  <c r="I55" i="91"/>
  <c r="I65" i="91" s="1"/>
  <c r="I75" i="91" s="1"/>
  <c r="H58" i="91"/>
  <c r="H68" i="91" s="1"/>
  <c r="H78" i="91" s="1"/>
  <c r="E57" i="91"/>
  <c r="E67" i="91" s="1"/>
  <c r="E77" i="91" s="1"/>
  <c r="G54" i="91"/>
  <c r="G64" i="91" s="1"/>
  <c r="G74" i="91" s="1"/>
  <c r="I58" i="91"/>
  <c r="I68" i="91" s="1"/>
  <c r="I78" i="91" s="1"/>
  <c r="F57" i="91"/>
  <c r="F67" i="91" s="1"/>
  <c r="F77" i="91" s="1"/>
  <c r="I53" i="91"/>
  <c r="I63" i="91" s="1"/>
  <c r="I73" i="91" s="1"/>
  <c r="X77" i="91" l="1"/>
  <c r="C18" i="89" s="1"/>
  <c r="X75" i="91"/>
  <c r="C16" i="89" s="1"/>
  <c r="X74" i="91"/>
  <c r="C15" i="89" s="1"/>
  <c r="X73" i="91"/>
  <c r="C14" i="89" s="1"/>
  <c r="F2" i="50" l="1"/>
  <c r="G24" i="80"/>
  <c r="H24" i="80"/>
  <c r="I24" i="80"/>
  <c r="F24" i="80"/>
  <c r="G7" i="80"/>
  <c r="H7" i="80"/>
  <c r="I7" i="80"/>
  <c r="F7" i="80"/>
  <c r="H8" i="87"/>
  <c r="C6" i="74" l="1"/>
  <c r="C7" i="74"/>
  <c r="C8" i="74"/>
  <c r="E17" i="74"/>
  <c r="F17" i="74" s="1"/>
  <c r="C17" i="74"/>
  <c r="E16" i="74"/>
  <c r="C16" i="74"/>
  <c r="L8" i="87"/>
  <c r="K8" i="87"/>
  <c r="J8" i="87"/>
  <c r="I8" i="87"/>
  <c r="G8" i="87"/>
  <c r="F8" i="87"/>
  <c r="F13" i="87" s="1"/>
  <c r="AD133" i="87"/>
  <c r="AC133" i="87"/>
  <c r="AB133" i="87"/>
  <c r="AA133" i="87"/>
  <c r="Z133" i="87"/>
  <c r="Y133" i="87"/>
  <c r="X133" i="87"/>
  <c r="W133" i="87"/>
  <c r="V133" i="87"/>
  <c r="U133" i="87"/>
  <c r="T133" i="87"/>
  <c r="S133" i="87"/>
  <c r="R133" i="87"/>
  <c r="Q133" i="87"/>
  <c r="P133" i="87"/>
  <c r="O133" i="87"/>
  <c r="N133" i="87"/>
  <c r="M133" i="87"/>
  <c r="L133" i="87"/>
  <c r="K133" i="87"/>
  <c r="J133" i="87"/>
  <c r="I133" i="87"/>
  <c r="H133" i="87"/>
  <c r="G133" i="87"/>
  <c r="F133" i="87"/>
  <c r="E133" i="87"/>
  <c r="AD115" i="87"/>
  <c r="AC115" i="87"/>
  <c r="AB115" i="87"/>
  <c r="AA115" i="87"/>
  <c r="Z115" i="87"/>
  <c r="Y115" i="87"/>
  <c r="X115" i="87"/>
  <c r="W115" i="87"/>
  <c r="V115" i="87"/>
  <c r="U115" i="87"/>
  <c r="T115" i="87"/>
  <c r="S115" i="87"/>
  <c r="R115" i="87"/>
  <c r="Q115" i="87"/>
  <c r="P115" i="87"/>
  <c r="O115" i="87"/>
  <c r="N115" i="87"/>
  <c r="M115" i="87"/>
  <c r="L115" i="87"/>
  <c r="K115" i="87"/>
  <c r="J115" i="87"/>
  <c r="I115" i="87"/>
  <c r="H115" i="87"/>
  <c r="G115" i="87"/>
  <c r="F115" i="87"/>
  <c r="E115" i="87"/>
  <c r="AD114" i="87"/>
  <c r="AC114" i="87"/>
  <c r="AB114" i="87"/>
  <c r="AA114" i="87"/>
  <c r="Z114" i="87"/>
  <c r="Y114" i="87"/>
  <c r="X114" i="87"/>
  <c r="W114" i="87"/>
  <c r="V114" i="87"/>
  <c r="U114" i="87"/>
  <c r="T114" i="87"/>
  <c r="S114" i="87"/>
  <c r="R114" i="87"/>
  <c r="Q114" i="87"/>
  <c r="P114" i="87"/>
  <c r="O114" i="87"/>
  <c r="N114" i="87"/>
  <c r="M114" i="87"/>
  <c r="L114" i="87"/>
  <c r="K114" i="87"/>
  <c r="J114" i="87"/>
  <c r="I114" i="87"/>
  <c r="H114" i="87"/>
  <c r="G114" i="87"/>
  <c r="F114" i="87"/>
  <c r="E114" i="87"/>
  <c r="AD109" i="87"/>
  <c r="AC109" i="87"/>
  <c r="AB109" i="87"/>
  <c r="AA109" i="87"/>
  <c r="Z109" i="87"/>
  <c r="Y109" i="87"/>
  <c r="X109" i="87"/>
  <c r="W109" i="87"/>
  <c r="V109" i="87"/>
  <c r="U109" i="87"/>
  <c r="T109" i="87"/>
  <c r="S109" i="87"/>
  <c r="R109" i="87"/>
  <c r="Q109" i="87"/>
  <c r="P109" i="87"/>
  <c r="O109" i="87"/>
  <c r="N109" i="87"/>
  <c r="M109" i="87"/>
  <c r="L109" i="87"/>
  <c r="K109" i="87"/>
  <c r="J109" i="87"/>
  <c r="I109" i="87"/>
  <c r="H109" i="87"/>
  <c r="G109" i="87"/>
  <c r="F109" i="87"/>
  <c r="E109" i="87"/>
  <c r="AD108" i="87"/>
  <c r="AC108" i="87"/>
  <c r="AB108" i="87"/>
  <c r="AA108" i="87"/>
  <c r="Z108" i="87"/>
  <c r="Y108" i="87"/>
  <c r="X108" i="87"/>
  <c r="W108" i="87"/>
  <c r="V108" i="87"/>
  <c r="U108" i="87"/>
  <c r="T108" i="87"/>
  <c r="S108" i="87"/>
  <c r="R108" i="87"/>
  <c r="Q108" i="87"/>
  <c r="P108" i="87"/>
  <c r="O108" i="87"/>
  <c r="N108" i="87"/>
  <c r="M108" i="87"/>
  <c r="L108" i="87"/>
  <c r="K108" i="87"/>
  <c r="J108" i="87"/>
  <c r="I108" i="87"/>
  <c r="H108" i="87"/>
  <c r="G108" i="87"/>
  <c r="F108" i="87"/>
  <c r="E108" i="87"/>
  <c r="AD107" i="87"/>
  <c r="AC107" i="87"/>
  <c r="AB107" i="87"/>
  <c r="AA107" i="87"/>
  <c r="Z107" i="87"/>
  <c r="Y107" i="87"/>
  <c r="X107" i="87"/>
  <c r="W107" i="87"/>
  <c r="V107" i="87"/>
  <c r="U107" i="87"/>
  <c r="T107" i="87"/>
  <c r="S107" i="87"/>
  <c r="R107" i="87"/>
  <c r="Q107" i="87"/>
  <c r="P107" i="87"/>
  <c r="O107" i="87"/>
  <c r="N107" i="87"/>
  <c r="M107" i="87"/>
  <c r="L107" i="87"/>
  <c r="K107" i="87"/>
  <c r="J107" i="87"/>
  <c r="I107" i="87"/>
  <c r="H107" i="87"/>
  <c r="G107" i="87"/>
  <c r="F107" i="87"/>
  <c r="E107" i="87"/>
  <c r="AE90" i="87"/>
  <c r="AD90" i="87"/>
  <c r="AC90" i="87"/>
  <c r="AB90" i="87"/>
  <c r="AA90" i="87"/>
  <c r="Z90" i="87"/>
  <c r="Y90" i="87"/>
  <c r="X90" i="87"/>
  <c r="W90" i="87"/>
  <c r="V90" i="87"/>
  <c r="U90" i="87"/>
  <c r="T90" i="87"/>
  <c r="S90" i="87"/>
  <c r="R90" i="87"/>
  <c r="Q90" i="87"/>
  <c r="P90" i="87"/>
  <c r="O90" i="87"/>
  <c r="N90" i="87"/>
  <c r="M90" i="87"/>
  <c r="L90" i="87"/>
  <c r="K90" i="87"/>
  <c r="J90" i="87"/>
  <c r="I90" i="87"/>
  <c r="H90" i="87"/>
  <c r="G90" i="87"/>
  <c r="F90" i="87"/>
  <c r="E90" i="87"/>
  <c r="AD24" i="87"/>
  <c r="AC24" i="87"/>
  <c r="AB24" i="87"/>
  <c r="AA24" i="87"/>
  <c r="Z24" i="87"/>
  <c r="Y24" i="87"/>
  <c r="X24" i="87"/>
  <c r="W24" i="87"/>
  <c r="V24" i="87"/>
  <c r="U24" i="87"/>
  <c r="T24" i="87"/>
  <c r="S24" i="87"/>
  <c r="R24" i="87"/>
  <c r="Q24" i="87"/>
  <c r="P24" i="87"/>
  <c r="O24" i="87"/>
  <c r="N24" i="87"/>
  <c r="M24" i="87"/>
  <c r="L24" i="87"/>
  <c r="K24" i="87"/>
  <c r="J24" i="87"/>
  <c r="I24" i="87"/>
  <c r="H24" i="87"/>
  <c r="G24" i="87"/>
  <c r="F24" i="87"/>
  <c r="E24" i="87"/>
  <c r="AD22" i="87"/>
  <c r="AC22" i="87"/>
  <c r="AB22" i="87"/>
  <c r="AA22" i="87"/>
  <c r="Z22" i="87"/>
  <c r="Y22" i="87"/>
  <c r="X22" i="87"/>
  <c r="W22" i="87"/>
  <c r="V22" i="87"/>
  <c r="U22" i="87"/>
  <c r="T22" i="87"/>
  <c r="S22" i="87"/>
  <c r="R22" i="87"/>
  <c r="Q22" i="87"/>
  <c r="P22" i="87"/>
  <c r="O22" i="87"/>
  <c r="N22" i="87"/>
  <c r="M22" i="87"/>
  <c r="L22" i="87"/>
  <c r="K22" i="87"/>
  <c r="J22" i="87"/>
  <c r="I22" i="87"/>
  <c r="H22" i="87"/>
  <c r="G22" i="87"/>
  <c r="F22" i="87"/>
  <c r="E22" i="87"/>
  <c r="AD21" i="87"/>
  <c r="AC21" i="87"/>
  <c r="AB21" i="87"/>
  <c r="AA21" i="87"/>
  <c r="Z21" i="87"/>
  <c r="Y21" i="87"/>
  <c r="X21" i="87"/>
  <c r="W21" i="87"/>
  <c r="V21" i="87"/>
  <c r="U21" i="87"/>
  <c r="T21" i="87"/>
  <c r="S21" i="87"/>
  <c r="R21" i="87"/>
  <c r="Q21" i="87"/>
  <c r="P21" i="87"/>
  <c r="O21" i="87"/>
  <c r="N21" i="87"/>
  <c r="M21" i="87"/>
  <c r="L21" i="87"/>
  <c r="K21" i="87"/>
  <c r="J21" i="87"/>
  <c r="I21" i="87"/>
  <c r="H21" i="87"/>
  <c r="G21" i="87"/>
  <c r="F21" i="87"/>
  <c r="E21" i="87"/>
  <c r="G13" i="87" l="1"/>
  <c r="H13" i="87" s="1"/>
  <c r="I13" i="87" s="1"/>
  <c r="J13" i="87" s="1"/>
  <c r="K13" i="87" s="1"/>
  <c r="L13" i="87" s="1"/>
  <c r="F16" i="74"/>
  <c r="G16" i="74" s="1"/>
  <c r="F29" i="74"/>
  <c r="F28" i="74"/>
  <c r="G17" i="74"/>
  <c r="F6" i="87"/>
  <c r="F11" i="87" s="1"/>
  <c r="X6" i="87"/>
  <c r="G7" i="87"/>
  <c r="W7" i="87"/>
  <c r="O7" i="87"/>
  <c r="H6" i="87"/>
  <c r="J7" i="87"/>
  <c r="R7" i="87"/>
  <c r="Z7" i="87"/>
  <c r="P6" i="87"/>
  <c r="Y7" i="87"/>
  <c r="S7" i="87"/>
  <c r="F7" i="87"/>
  <c r="F12" i="87" s="1"/>
  <c r="N7" i="87"/>
  <c r="V7" i="87"/>
  <c r="AD7" i="87"/>
  <c r="K7" i="87"/>
  <c r="AA7" i="87"/>
  <c r="M6" i="87"/>
  <c r="U6" i="87"/>
  <c r="AC6" i="87"/>
  <c r="N6" i="87"/>
  <c r="V6" i="87"/>
  <c r="AD6" i="87"/>
  <c r="H7" i="87"/>
  <c r="P7" i="87"/>
  <c r="X7" i="87"/>
  <c r="G6" i="87"/>
  <c r="O6" i="87"/>
  <c r="W6" i="87"/>
  <c r="Q6" i="87"/>
  <c r="I6" i="87"/>
  <c r="Y6" i="87"/>
  <c r="J6" i="87"/>
  <c r="R6" i="87"/>
  <c r="Z6" i="87"/>
  <c r="T7" i="87"/>
  <c r="AA6" i="87"/>
  <c r="I7" i="87"/>
  <c r="Q7" i="87"/>
  <c r="L7" i="87"/>
  <c r="AB7" i="87"/>
  <c r="K6" i="87"/>
  <c r="S6" i="87"/>
  <c r="M7" i="87"/>
  <c r="U7" i="87"/>
  <c r="AC7" i="87"/>
  <c r="L6" i="87"/>
  <c r="T6" i="87"/>
  <c r="AB6" i="87"/>
  <c r="G12" i="87" l="1"/>
  <c r="H12" i="87" s="1"/>
  <c r="I12" i="87" s="1"/>
  <c r="J12" i="87" s="1"/>
  <c r="K12" i="87" s="1"/>
  <c r="L12" i="87" s="1"/>
  <c r="L16" i="87" s="1"/>
  <c r="G11" i="87"/>
  <c r="H11" i="87" s="1"/>
  <c r="I11" i="87" s="1"/>
  <c r="J11" i="87" s="1"/>
  <c r="K11" i="87" s="1"/>
  <c r="L11" i="87" s="1"/>
  <c r="E23" i="74"/>
  <c r="F23" i="74" s="1"/>
  <c r="C24" i="74" l="1"/>
  <c r="C11" i="93" s="1"/>
  <c r="D23" i="74"/>
  <c r="D24" i="74"/>
  <c r="C23" i="74"/>
  <c r="C10" i="92" s="1"/>
  <c r="D28" i="74"/>
  <c r="C29" i="74"/>
  <c r="C28" i="74"/>
  <c r="D29" i="74"/>
  <c r="C11" i="92" l="1"/>
  <c r="E35" i="92" s="1"/>
  <c r="C10" i="91"/>
  <c r="C10" i="90"/>
  <c r="T35" i="90" s="1"/>
  <c r="C11" i="91"/>
  <c r="C11" i="90"/>
  <c r="C10" i="93"/>
  <c r="H35" i="90"/>
  <c r="U35" i="90"/>
  <c r="Q35" i="92" l="1"/>
  <c r="M35" i="92"/>
  <c r="O35" i="90"/>
  <c r="K35" i="92"/>
  <c r="V35" i="92"/>
  <c r="V38" i="92" s="1"/>
  <c r="V41" i="92" s="1"/>
  <c r="V129" i="93" s="1"/>
  <c r="H35" i="92"/>
  <c r="I35" i="92"/>
  <c r="O35" i="92"/>
  <c r="N35" i="92"/>
  <c r="P35" i="90"/>
  <c r="G35" i="92"/>
  <c r="L35" i="90"/>
  <c r="L35" i="92"/>
  <c r="U35" i="92"/>
  <c r="U38" i="92" s="1"/>
  <c r="U41" i="92" s="1"/>
  <c r="U129" i="93" s="1"/>
  <c r="R35" i="92"/>
  <c r="J35" i="92"/>
  <c r="T35" i="92"/>
  <c r="F35" i="92"/>
  <c r="G35" i="90"/>
  <c r="C35" i="92"/>
  <c r="P35" i="92"/>
  <c r="D35" i="92"/>
  <c r="S35" i="92"/>
  <c r="C35" i="90"/>
  <c r="Q35" i="90"/>
  <c r="F35" i="90"/>
  <c r="M35" i="90"/>
  <c r="D35" i="90"/>
  <c r="I35" i="90"/>
  <c r="V35" i="90"/>
  <c r="V38" i="90" s="1"/>
  <c r="J35" i="90"/>
  <c r="K35" i="90"/>
  <c r="N35" i="90"/>
  <c r="S35" i="90"/>
  <c r="E35" i="90"/>
  <c r="R35" i="90"/>
  <c r="H38" i="92" l="1"/>
  <c r="H41" i="92" s="1"/>
  <c r="H98" i="91" s="1"/>
  <c r="V98" i="91"/>
  <c r="Q38" i="92"/>
  <c r="Q41" i="92" s="1"/>
  <c r="Q129" i="93" s="1"/>
  <c r="E38" i="92"/>
  <c r="E41" i="92" s="1"/>
  <c r="E129" i="93" s="1"/>
  <c r="M38" i="92"/>
  <c r="M41" i="92" s="1"/>
  <c r="M129" i="93" s="1"/>
  <c r="G38" i="92"/>
  <c r="G41" i="92" s="1"/>
  <c r="G129" i="93" s="1"/>
  <c r="O38" i="92"/>
  <c r="O41" i="92" s="1"/>
  <c r="O129" i="93" s="1"/>
  <c r="R38" i="92"/>
  <c r="R41" i="92" s="1"/>
  <c r="R129" i="93" s="1"/>
  <c r="S38" i="92"/>
  <c r="S41" i="92" s="1"/>
  <c r="S129" i="93" s="1"/>
  <c r="K38" i="92"/>
  <c r="K41" i="92" s="1"/>
  <c r="K129" i="93" s="1"/>
  <c r="L38" i="92"/>
  <c r="L41" i="92" s="1"/>
  <c r="L129" i="93" s="1"/>
  <c r="I38" i="92"/>
  <c r="I41" i="92" s="1"/>
  <c r="I129" i="93" s="1"/>
  <c r="C38" i="92"/>
  <c r="C41" i="92" s="1"/>
  <c r="C98" i="91" s="1"/>
  <c r="N38" i="92"/>
  <c r="N41" i="92" s="1"/>
  <c r="N129" i="93" s="1"/>
  <c r="J38" i="92"/>
  <c r="J41" i="92" s="1"/>
  <c r="J129" i="93" s="1"/>
  <c r="D38" i="92"/>
  <c r="D41" i="92" s="1"/>
  <c r="D129" i="93" s="1"/>
  <c r="F38" i="92"/>
  <c r="F41" i="92" s="1"/>
  <c r="F129" i="93" s="1"/>
  <c r="T38" i="92"/>
  <c r="T41" i="92" s="1"/>
  <c r="T129" i="93" s="1"/>
  <c r="P38" i="92"/>
  <c r="P41" i="92" s="1"/>
  <c r="P129" i="93" s="1"/>
  <c r="S38" i="90"/>
  <c r="S41" i="90" s="1"/>
  <c r="S119" i="93" s="1"/>
  <c r="N38" i="90"/>
  <c r="N41" i="90" s="1"/>
  <c r="N119" i="93" s="1"/>
  <c r="V41" i="90"/>
  <c r="V88" i="91" s="1"/>
  <c r="U38" i="90"/>
  <c r="U41" i="90" s="1"/>
  <c r="U119" i="93" s="1"/>
  <c r="T38" i="90"/>
  <c r="T41" i="90" s="1"/>
  <c r="T119" i="93" s="1"/>
  <c r="O38" i="90"/>
  <c r="O41" i="90" s="1"/>
  <c r="O119" i="93" s="1"/>
  <c r="P38" i="90"/>
  <c r="P41" i="90" s="1"/>
  <c r="P119" i="93" s="1"/>
  <c r="I38" i="90"/>
  <c r="I41" i="90" s="1"/>
  <c r="H38" i="90"/>
  <c r="H41" i="90" s="1"/>
  <c r="H88" i="91" s="1"/>
  <c r="E38" i="90"/>
  <c r="E41" i="90" s="1"/>
  <c r="E119" i="93" s="1"/>
  <c r="C38" i="90"/>
  <c r="C41" i="90" s="1"/>
  <c r="C119" i="93" s="1"/>
  <c r="L38" i="90"/>
  <c r="L41" i="90" s="1"/>
  <c r="L88" i="91" s="1"/>
  <c r="F38" i="90"/>
  <c r="F41" i="90" s="1"/>
  <c r="F88" i="91" s="1"/>
  <c r="M38" i="90"/>
  <c r="M41" i="90" s="1"/>
  <c r="M119" i="93" s="1"/>
  <c r="J38" i="90"/>
  <c r="J41" i="90" s="1"/>
  <c r="Q38" i="90"/>
  <c r="Q41" i="90" s="1"/>
  <c r="Q119" i="93" s="1"/>
  <c r="G38" i="90"/>
  <c r="G41" i="90" s="1"/>
  <c r="G119" i="93" s="1"/>
  <c r="K38" i="90"/>
  <c r="K41" i="90" s="1"/>
  <c r="D38" i="90"/>
  <c r="D41" i="90" s="1"/>
  <c r="D119" i="93" s="1"/>
  <c r="R38" i="90"/>
  <c r="R41" i="90" s="1"/>
  <c r="R119" i="93" s="1"/>
  <c r="U98" i="91"/>
  <c r="U88" i="91" l="1"/>
  <c r="C129" i="93"/>
  <c r="M98" i="91"/>
  <c r="I98" i="91"/>
  <c r="H129" i="93"/>
  <c r="W129" i="93" s="1"/>
  <c r="E98" i="91"/>
  <c r="N98" i="91"/>
  <c r="R98" i="91"/>
  <c r="O98" i="91"/>
  <c r="H119" i="93"/>
  <c r="G98" i="91"/>
  <c r="V119" i="93"/>
  <c r="P98" i="91"/>
  <c r="Q98" i="91"/>
  <c r="K98" i="91"/>
  <c r="S98" i="91"/>
  <c r="L98" i="91"/>
  <c r="T98" i="91"/>
  <c r="J98" i="91"/>
  <c r="F98" i="91"/>
  <c r="S88" i="91"/>
  <c r="D98" i="91"/>
  <c r="T88" i="91"/>
  <c r="N88" i="91"/>
  <c r="P88" i="91"/>
  <c r="J88" i="91"/>
  <c r="O88" i="91"/>
  <c r="J119" i="93"/>
  <c r="G88" i="91"/>
  <c r="K88" i="91"/>
  <c r="I88" i="91"/>
  <c r="I119" i="93"/>
  <c r="E88" i="91"/>
  <c r="F119" i="93"/>
  <c r="K119" i="93"/>
  <c r="Q88" i="91"/>
  <c r="D88" i="91"/>
  <c r="C88" i="91"/>
  <c r="R88" i="91"/>
  <c r="L119" i="93"/>
  <c r="M88" i="91"/>
  <c r="E37" i="74"/>
  <c r="W98" i="91" l="1"/>
  <c r="W119" i="93"/>
  <c r="W88" i="91"/>
  <c r="C9" i="93"/>
  <c r="C9" i="91"/>
  <c r="H36" i="91" s="1"/>
  <c r="C9" i="92"/>
  <c r="C9" i="90"/>
  <c r="D36" i="93" l="1"/>
  <c r="L36" i="93"/>
  <c r="E36" i="93"/>
  <c r="M36" i="93"/>
  <c r="F36" i="93"/>
  <c r="N36" i="93"/>
  <c r="G36" i="93"/>
  <c r="O36" i="93"/>
  <c r="H36" i="93"/>
  <c r="P36" i="93"/>
  <c r="I36" i="93"/>
  <c r="Q36" i="93"/>
  <c r="J36" i="93"/>
  <c r="C36" i="93"/>
  <c r="K36" i="93"/>
  <c r="Q43" i="93"/>
  <c r="Q61" i="93" s="1"/>
  <c r="Q79" i="93" s="1"/>
  <c r="Q97" i="93" s="1"/>
  <c r="Q45" i="93"/>
  <c r="Q63" i="93" s="1"/>
  <c r="Q81" i="93" s="1"/>
  <c r="Q99" i="93" s="1"/>
  <c r="L47" i="93"/>
  <c r="I53" i="93"/>
  <c r="E56" i="93"/>
  <c r="O47" i="93"/>
  <c r="F55" i="93"/>
  <c r="I54" i="93"/>
  <c r="I72" i="93" s="1"/>
  <c r="I90" i="93" s="1"/>
  <c r="I108" i="93" s="1"/>
  <c r="N45" i="93"/>
  <c r="G52" i="93"/>
  <c r="M50" i="93"/>
  <c r="M68" i="93" s="1"/>
  <c r="M86" i="93" s="1"/>
  <c r="M104" i="93" s="1"/>
  <c r="G53" i="93"/>
  <c r="N47" i="93"/>
  <c r="G54" i="93"/>
  <c r="J53" i="93"/>
  <c r="J71" i="93" s="1"/>
  <c r="J89" i="93" s="1"/>
  <c r="J107" i="93" s="1"/>
  <c r="M48" i="93"/>
  <c r="D56" i="93"/>
  <c r="N48" i="93"/>
  <c r="P46" i="93"/>
  <c r="O46" i="93"/>
  <c r="M46" i="93"/>
  <c r="D55" i="93"/>
  <c r="C56" i="93"/>
  <c r="K49" i="93"/>
  <c r="L49" i="93"/>
  <c r="H52" i="93"/>
  <c r="M49" i="93"/>
  <c r="N49" i="93"/>
  <c r="N67" i="93" s="1"/>
  <c r="N85" i="93" s="1"/>
  <c r="N103" i="93" s="1"/>
  <c r="I51" i="93"/>
  <c r="H51" i="93"/>
  <c r="P47" i="93"/>
  <c r="P65" i="93" s="1"/>
  <c r="P83" i="93" s="1"/>
  <c r="P101" i="93" s="1"/>
  <c r="O48" i="93"/>
  <c r="O66" i="93" s="1"/>
  <c r="O84" i="93" s="1"/>
  <c r="O102" i="93" s="1"/>
  <c r="G55" i="93"/>
  <c r="I50" i="93"/>
  <c r="J50" i="93"/>
  <c r="H55" i="93"/>
  <c r="F53" i="93"/>
  <c r="L50" i="93"/>
  <c r="Q44" i="93"/>
  <c r="K50" i="93"/>
  <c r="K68" i="93" s="1"/>
  <c r="K86" i="93" s="1"/>
  <c r="K104" i="93" s="1"/>
  <c r="J52" i="93"/>
  <c r="F56" i="93"/>
  <c r="H54" i="93"/>
  <c r="F54" i="93"/>
  <c r="Q46" i="93"/>
  <c r="J51" i="93"/>
  <c r="P43" i="93"/>
  <c r="O44" i="93"/>
  <c r="O62" i="93" s="1"/>
  <c r="O80" i="93" s="1"/>
  <c r="O98" i="93" s="1"/>
  <c r="K51" i="93"/>
  <c r="K48" i="93"/>
  <c r="E55" i="93"/>
  <c r="L51" i="93"/>
  <c r="L69" i="93" s="1"/>
  <c r="L87" i="93" s="1"/>
  <c r="L105" i="93" s="1"/>
  <c r="J49" i="93"/>
  <c r="P44" i="93"/>
  <c r="P45" i="93"/>
  <c r="O45" i="93"/>
  <c r="O63" i="93" s="1"/>
  <c r="O81" i="93" s="1"/>
  <c r="O99" i="93" s="1"/>
  <c r="M47" i="93"/>
  <c r="H53" i="93"/>
  <c r="N46" i="93"/>
  <c r="I52" i="93"/>
  <c r="K52" i="93"/>
  <c r="K70" i="93" s="1"/>
  <c r="K88" i="93" s="1"/>
  <c r="K106" i="93" s="1"/>
  <c r="L48" i="93"/>
  <c r="G56" i="93"/>
  <c r="G74" i="93" s="1"/>
  <c r="G92" i="93" s="1"/>
  <c r="G110" i="93" s="1"/>
  <c r="Q42" i="93"/>
  <c r="E54" i="93"/>
  <c r="D45" i="91"/>
  <c r="D46" i="91"/>
  <c r="D56" i="91" s="1"/>
  <c r="D66" i="91" s="1"/>
  <c r="D76" i="91" s="1"/>
  <c r="C46" i="91"/>
  <c r="C41" i="91"/>
  <c r="I41" i="91"/>
  <c r="I51" i="91" s="1"/>
  <c r="I61" i="91" s="1"/>
  <c r="I97" i="91" s="1"/>
  <c r="P97" i="91" s="1"/>
  <c r="C42" i="91"/>
  <c r="G42" i="91"/>
  <c r="E43" i="91"/>
  <c r="G43" i="91"/>
  <c r="G53" i="91" s="1"/>
  <c r="H42" i="91"/>
  <c r="F42" i="91"/>
  <c r="D41" i="91"/>
  <c r="C47" i="91"/>
  <c r="C57" i="91" s="1"/>
  <c r="C67" i="91" s="1"/>
  <c r="C77" i="91" s="1"/>
  <c r="E45" i="91"/>
  <c r="E55" i="91" s="1"/>
  <c r="E65" i="91" s="1"/>
  <c r="E75" i="91" s="1"/>
  <c r="E36" i="91"/>
  <c r="F41" i="91"/>
  <c r="C54" i="93"/>
  <c r="E53" i="93"/>
  <c r="I47" i="93"/>
  <c r="E45" i="93"/>
  <c r="H47" i="93"/>
  <c r="H43" i="93"/>
  <c r="C47" i="93"/>
  <c r="E42" i="93"/>
  <c r="G48" i="93"/>
  <c r="M45" i="93"/>
  <c r="G49" i="93"/>
  <c r="E46" i="93"/>
  <c r="O41" i="93"/>
  <c r="F51" i="93"/>
  <c r="H50" i="93"/>
  <c r="F47" i="93"/>
  <c r="H46" i="93"/>
  <c r="N43" i="93"/>
  <c r="F43" i="93"/>
  <c r="P42" i="93"/>
  <c r="H42" i="93"/>
  <c r="E50" i="93"/>
  <c r="K47" i="93"/>
  <c r="G45" i="93"/>
  <c r="C43" i="93"/>
  <c r="G41" i="93"/>
  <c r="K46" i="93"/>
  <c r="E51" i="93"/>
  <c r="G50" i="93"/>
  <c r="I49" i="93"/>
  <c r="E47" i="93"/>
  <c r="G46" i="93"/>
  <c r="I45" i="93"/>
  <c r="M43" i="93"/>
  <c r="E43" i="93"/>
  <c r="O42" i="93"/>
  <c r="G42" i="93"/>
  <c r="Q41" i="93"/>
  <c r="I41" i="93"/>
  <c r="I48" i="93"/>
  <c r="K43" i="93"/>
  <c r="C50" i="93"/>
  <c r="D51" i="93"/>
  <c r="F50" i="93"/>
  <c r="H49" i="93"/>
  <c r="D47" i="93"/>
  <c r="F46" i="93"/>
  <c r="H45" i="93"/>
  <c r="L43" i="93"/>
  <c r="D43" i="93"/>
  <c r="N42" i="93"/>
  <c r="F42" i="93"/>
  <c r="P41" i="93"/>
  <c r="H41" i="93"/>
  <c r="C51" i="93"/>
  <c r="I44" i="93"/>
  <c r="M42" i="93"/>
  <c r="E49" i="93"/>
  <c r="C46" i="93"/>
  <c r="E41" i="93"/>
  <c r="I43" i="93"/>
  <c r="K42" i="93"/>
  <c r="G44" i="93"/>
  <c r="C42" i="93"/>
  <c r="M41" i="93"/>
  <c r="D52" i="93"/>
  <c r="H48" i="93"/>
  <c r="N41" i="93"/>
  <c r="C44" i="93"/>
  <c r="C55" i="93"/>
  <c r="J41" i="93"/>
  <c r="G43" i="93"/>
  <c r="G47" i="93"/>
  <c r="G51" i="93"/>
  <c r="L45" i="93"/>
  <c r="F49" i="93"/>
  <c r="L42" i="93"/>
  <c r="J47" i="93"/>
  <c r="J44" i="93"/>
  <c r="K44" i="93"/>
  <c r="D44" i="93"/>
  <c r="O43" i="93"/>
  <c r="D41" i="93"/>
  <c r="J46" i="93"/>
  <c r="D50" i="93"/>
  <c r="C52" i="93"/>
  <c r="L44" i="93"/>
  <c r="E44" i="93"/>
  <c r="E48" i="93"/>
  <c r="E52" i="93"/>
  <c r="L41" i="93"/>
  <c r="F52" i="93"/>
  <c r="F41" i="93"/>
  <c r="L46" i="93"/>
  <c r="J45" i="93"/>
  <c r="M44" i="93"/>
  <c r="J42" i="93"/>
  <c r="F48" i="93"/>
  <c r="D42" i="93"/>
  <c r="D48" i="93"/>
  <c r="C41" i="93"/>
  <c r="C45" i="93"/>
  <c r="C49" i="93"/>
  <c r="C53" i="93"/>
  <c r="D53" i="93"/>
  <c r="H44" i="93"/>
  <c r="D54" i="93"/>
  <c r="J43" i="93"/>
  <c r="J48" i="93"/>
  <c r="C48" i="93"/>
  <c r="K41" i="93"/>
  <c r="K45" i="93"/>
  <c r="F44" i="93"/>
  <c r="D49" i="93"/>
  <c r="F45" i="93"/>
  <c r="I42" i="93"/>
  <c r="I46" i="93"/>
  <c r="N44" i="93"/>
  <c r="D46" i="93"/>
  <c r="D45" i="93"/>
  <c r="F44" i="91"/>
  <c r="F36" i="91"/>
  <c r="H41" i="91"/>
  <c r="D42" i="91"/>
  <c r="D43" i="91"/>
  <c r="G41" i="91"/>
  <c r="D36" i="91"/>
  <c r="D44" i="91"/>
  <c r="E42" i="91"/>
  <c r="G36" i="91"/>
  <c r="C44" i="91"/>
  <c r="E44" i="91"/>
  <c r="E41" i="91"/>
  <c r="I36" i="91"/>
  <c r="C36" i="91"/>
  <c r="F43" i="91"/>
  <c r="C43" i="91"/>
  <c r="C45" i="91"/>
  <c r="L68" i="93" l="1"/>
  <c r="L86" i="93" s="1"/>
  <c r="L104" i="93" s="1"/>
  <c r="K67" i="93"/>
  <c r="K85" i="93" s="1"/>
  <c r="K103" i="93" s="1"/>
  <c r="J69" i="93"/>
  <c r="J87" i="93" s="1"/>
  <c r="J105" i="93" s="1"/>
  <c r="P63" i="93"/>
  <c r="P81" i="93" s="1"/>
  <c r="P99" i="93" s="1"/>
  <c r="P61" i="93"/>
  <c r="P79" i="93" s="1"/>
  <c r="P97" i="93" s="1"/>
  <c r="I70" i="93"/>
  <c r="I88" i="93" s="1"/>
  <c r="I106" i="93" s="1"/>
  <c r="N64" i="93"/>
  <c r="N82" i="93" s="1"/>
  <c r="N100" i="93" s="1"/>
  <c r="M67" i="93"/>
  <c r="M85" i="93" s="1"/>
  <c r="M103" i="93" s="1"/>
  <c r="F73" i="93"/>
  <c r="F91" i="93" s="1"/>
  <c r="F109" i="93" s="1"/>
  <c r="P64" i="93"/>
  <c r="P82" i="93" s="1"/>
  <c r="P100" i="93" s="1"/>
  <c r="C74" i="93"/>
  <c r="C92" i="93" s="1"/>
  <c r="C110" i="93" s="1"/>
  <c r="L66" i="93"/>
  <c r="L84" i="93" s="1"/>
  <c r="L102" i="93" s="1"/>
  <c r="H69" i="93"/>
  <c r="H87" i="93" s="1"/>
  <c r="O65" i="93"/>
  <c r="O83" i="93" s="1"/>
  <c r="O101" i="93" s="1"/>
  <c r="P62" i="93"/>
  <c r="P80" i="93" s="1"/>
  <c r="P98" i="93" s="1"/>
  <c r="Q62" i="93"/>
  <c r="Q80" i="93" s="1"/>
  <c r="Q98" i="93" s="1"/>
  <c r="G72" i="93"/>
  <c r="G90" i="93" s="1"/>
  <c r="G108" i="93" s="1"/>
  <c r="J67" i="93"/>
  <c r="J85" i="93" s="1"/>
  <c r="J103" i="93" s="1"/>
  <c r="Q64" i="93"/>
  <c r="Q82" i="93" s="1"/>
  <c r="Q100" i="93" s="1"/>
  <c r="F71" i="93"/>
  <c r="F89" i="93" s="1"/>
  <c r="F107" i="93" s="1"/>
  <c r="I69" i="93"/>
  <c r="I87" i="93" s="1"/>
  <c r="I105" i="93" s="1"/>
  <c r="M64" i="93"/>
  <c r="M82" i="93" s="1"/>
  <c r="M100" i="93" s="1"/>
  <c r="N65" i="93"/>
  <c r="N83" i="93" s="1"/>
  <c r="N101" i="93" s="1"/>
  <c r="E74" i="93"/>
  <c r="E92" i="93" s="1"/>
  <c r="E110" i="93" s="1"/>
  <c r="M66" i="93"/>
  <c r="M84" i="93" s="1"/>
  <c r="M102" i="93" s="1"/>
  <c r="D73" i="93"/>
  <c r="D91" i="93" s="1"/>
  <c r="D109" i="93" s="1"/>
  <c r="F72" i="93"/>
  <c r="F90" i="93" s="1"/>
  <c r="F108" i="93" s="1"/>
  <c r="H73" i="93"/>
  <c r="O64" i="93"/>
  <c r="O82" i="93" s="1"/>
  <c r="O100" i="93" s="1"/>
  <c r="G71" i="93"/>
  <c r="G89" i="93" s="1"/>
  <c r="G107" i="93" s="1"/>
  <c r="I71" i="93"/>
  <c r="I89" i="93" s="1"/>
  <c r="I107" i="93" s="1"/>
  <c r="L65" i="93"/>
  <c r="L83" i="93" s="1"/>
  <c r="L101" i="93" s="1"/>
  <c r="Q60" i="93"/>
  <c r="Q78" i="93" s="1"/>
  <c r="Q96" i="93" s="1"/>
  <c r="E73" i="93"/>
  <c r="E91" i="93" s="1"/>
  <c r="E109" i="93" s="1"/>
  <c r="H72" i="93"/>
  <c r="J68" i="93"/>
  <c r="J86" i="93" s="1"/>
  <c r="J104" i="93" s="1"/>
  <c r="H71" i="93"/>
  <c r="K66" i="93"/>
  <c r="K84" i="93" s="1"/>
  <c r="K102" i="93" s="1"/>
  <c r="F74" i="93"/>
  <c r="F92" i="93" s="1"/>
  <c r="F110" i="93" s="1"/>
  <c r="I68" i="93"/>
  <c r="I86" i="93" s="1"/>
  <c r="I104" i="93" s="1"/>
  <c r="H70" i="93"/>
  <c r="N66" i="93"/>
  <c r="N84" i="93" s="1"/>
  <c r="N102" i="93" s="1"/>
  <c r="G70" i="93"/>
  <c r="G88" i="93" s="1"/>
  <c r="G106" i="93" s="1"/>
  <c r="E72" i="93"/>
  <c r="E90" i="93" s="1"/>
  <c r="E108" i="93" s="1"/>
  <c r="M65" i="93"/>
  <c r="M83" i="93" s="1"/>
  <c r="M101" i="93" s="1"/>
  <c r="K69" i="93"/>
  <c r="K87" i="93" s="1"/>
  <c r="K105" i="93" s="1"/>
  <c r="J70" i="93"/>
  <c r="J88" i="93" s="1"/>
  <c r="J106" i="93" s="1"/>
  <c r="G73" i="93"/>
  <c r="G91" i="93" s="1"/>
  <c r="G109" i="93" s="1"/>
  <c r="L67" i="93"/>
  <c r="L85" i="93" s="1"/>
  <c r="L103" i="93" s="1"/>
  <c r="D74" i="93"/>
  <c r="D92" i="93" s="1"/>
  <c r="D110" i="93" s="1"/>
  <c r="N63" i="93"/>
  <c r="N81" i="93" s="1"/>
  <c r="N99" i="93" s="1"/>
  <c r="C56" i="91"/>
  <c r="C66" i="91" s="1"/>
  <c r="C76" i="91" s="1"/>
  <c r="C59" i="93"/>
  <c r="D55" i="91"/>
  <c r="D65" i="91" s="1"/>
  <c r="D75" i="91" s="1"/>
  <c r="H51" i="91"/>
  <c r="H61" i="91" s="1"/>
  <c r="H97" i="91" s="1"/>
  <c r="O97" i="91" s="1"/>
  <c r="V97" i="91" s="1"/>
  <c r="C55" i="91"/>
  <c r="C65" i="91" s="1"/>
  <c r="C75" i="91" s="1"/>
  <c r="W75" i="91" s="1"/>
  <c r="F52" i="91"/>
  <c r="F62" i="91" s="1"/>
  <c r="F72" i="91" s="1"/>
  <c r="G52" i="91"/>
  <c r="G62" i="91" s="1"/>
  <c r="G72" i="91" s="1"/>
  <c r="H52" i="91"/>
  <c r="H62" i="91" s="1"/>
  <c r="H72" i="91" s="1"/>
  <c r="X72" i="91" s="1"/>
  <c r="C13" i="89" s="1"/>
  <c r="C53" i="91"/>
  <c r="C63" i="91" s="1"/>
  <c r="C73" i="91" s="1"/>
  <c r="E54" i="91"/>
  <c r="E64" i="91" s="1"/>
  <c r="E74" i="91" s="1"/>
  <c r="D53" i="91"/>
  <c r="D63" i="91" s="1"/>
  <c r="D73" i="91" s="1"/>
  <c r="F54" i="91"/>
  <c r="F64" i="91" s="1"/>
  <c r="F74" i="91" s="1"/>
  <c r="G63" i="91"/>
  <c r="G73" i="91" s="1"/>
  <c r="F53" i="91"/>
  <c r="F63" i="91" s="1"/>
  <c r="F73" i="91" s="1"/>
  <c r="D54" i="91"/>
  <c r="D64" i="91" s="1"/>
  <c r="D74" i="91" s="1"/>
  <c r="D51" i="91"/>
  <c r="D61" i="91" s="1"/>
  <c r="D97" i="91" s="1"/>
  <c r="K97" i="91" s="1"/>
  <c r="R97" i="91" s="1"/>
  <c r="F51" i="91"/>
  <c r="F61" i="91" s="1"/>
  <c r="F97" i="91" s="1"/>
  <c r="M97" i="91" s="1"/>
  <c r="T97" i="91" s="1"/>
  <c r="E51" i="91"/>
  <c r="E61" i="91" s="1"/>
  <c r="E97" i="91" s="1"/>
  <c r="L97" i="91" s="1"/>
  <c r="S97" i="91" s="1"/>
  <c r="D52" i="91"/>
  <c r="D62" i="91" s="1"/>
  <c r="D72" i="91" s="1"/>
  <c r="C54" i="91"/>
  <c r="C64" i="91" s="1"/>
  <c r="C74" i="91" s="1"/>
  <c r="K63" i="93"/>
  <c r="K81" i="93" s="1"/>
  <c r="K99" i="93" s="1"/>
  <c r="E62" i="93"/>
  <c r="E80" i="93" s="1"/>
  <c r="E98" i="93" s="1"/>
  <c r="K62" i="93"/>
  <c r="K80" i="93" s="1"/>
  <c r="K98" i="93" s="1"/>
  <c r="C60" i="93"/>
  <c r="C78" i="93" s="1"/>
  <c r="H63" i="93"/>
  <c r="G64" i="93"/>
  <c r="G82" i="93" s="1"/>
  <c r="G100" i="93" s="1"/>
  <c r="G63" i="93"/>
  <c r="G81" i="93" s="1"/>
  <c r="G99" i="93" s="1"/>
  <c r="F65" i="93"/>
  <c r="F83" i="93" s="1"/>
  <c r="F101" i="93" s="1"/>
  <c r="E60" i="93"/>
  <c r="E78" i="93" s="1"/>
  <c r="E96" i="93" s="1"/>
  <c r="E52" i="91"/>
  <c r="E62" i="91" s="1"/>
  <c r="E72" i="91" s="1"/>
  <c r="E53" i="91"/>
  <c r="E63" i="91" s="1"/>
  <c r="E73" i="91" s="1"/>
  <c r="G51" i="91"/>
  <c r="G61" i="91" s="1"/>
  <c r="G97" i="91" s="1"/>
  <c r="N97" i="91" s="1"/>
  <c r="U97" i="91" s="1"/>
  <c r="D64" i="93"/>
  <c r="D82" i="93" s="1"/>
  <c r="D100" i="93" s="1"/>
  <c r="K59" i="93"/>
  <c r="K77" i="93" s="1"/>
  <c r="C67" i="93"/>
  <c r="J63" i="93"/>
  <c r="J81" i="93" s="1"/>
  <c r="J99" i="93" s="1"/>
  <c r="L62" i="93"/>
  <c r="L80" i="93" s="1"/>
  <c r="L98" i="93" s="1"/>
  <c r="J62" i="93"/>
  <c r="J80" i="93" s="1"/>
  <c r="J98" i="93" s="1"/>
  <c r="J59" i="93"/>
  <c r="J77" i="93" s="1"/>
  <c r="G62" i="93"/>
  <c r="G80" i="93" s="1"/>
  <c r="G98" i="93" s="1"/>
  <c r="C69" i="93"/>
  <c r="C87" i="93" s="1"/>
  <c r="F64" i="93"/>
  <c r="F82" i="93" s="1"/>
  <c r="F100" i="93" s="1"/>
  <c r="I59" i="93"/>
  <c r="I77" i="93" s="1"/>
  <c r="E65" i="93"/>
  <c r="E83" i="93" s="1"/>
  <c r="E101" i="93" s="1"/>
  <c r="K65" i="93"/>
  <c r="K83" i="93" s="1"/>
  <c r="K101" i="93" s="1"/>
  <c r="H68" i="93"/>
  <c r="C65" i="93"/>
  <c r="C83" i="93" s="1"/>
  <c r="C71" i="93"/>
  <c r="I62" i="93"/>
  <c r="I80" i="93" s="1"/>
  <c r="I98" i="93" s="1"/>
  <c r="N62" i="93"/>
  <c r="N80" i="93" s="1"/>
  <c r="N98" i="93" s="1"/>
  <c r="C66" i="93"/>
  <c r="C84" i="93" s="1"/>
  <c r="C63" i="93"/>
  <c r="L64" i="93"/>
  <c r="L82" i="93" s="1"/>
  <c r="L100" i="93" s="1"/>
  <c r="C70" i="93"/>
  <c r="J65" i="93"/>
  <c r="J83" i="93" s="1"/>
  <c r="J101" i="93" s="1"/>
  <c r="C73" i="93"/>
  <c r="K60" i="93"/>
  <c r="K78" i="93" s="1"/>
  <c r="K96" i="93" s="1"/>
  <c r="H59" i="93"/>
  <c r="H77" i="93" s="1"/>
  <c r="D65" i="93"/>
  <c r="D83" i="93" s="1"/>
  <c r="D101" i="93" s="1"/>
  <c r="Q59" i="93"/>
  <c r="Q77" i="93" s="1"/>
  <c r="I67" i="93"/>
  <c r="I85" i="93" s="1"/>
  <c r="I103" i="93" s="1"/>
  <c r="E68" i="93"/>
  <c r="E86" i="93" s="1"/>
  <c r="E104" i="93" s="1"/>
  <c r="F69" i="93"/>
  <c r="F87" i="93" s="1"/>
  <c r="F105" i="93" s="1"/>
  <c r="H61" i="93"/>
  <c r="H79" i="93" s="1"/>
  <c r="D63" i="93"/>
  <c r="D81" i="93" s="1"/>
  <c r="D99" i="93" s="1"/>
  <c r="G61" i="93"/>
  <c r="G79" i="93" s="1"/>
  <c r="G97" i="93" s="1"/>
  <c r="C51" i="91"/>
  <c r="C52" i="91"/>
  <c r="C62" i="91" s="1"/>
  <c r="C72" i="91" s="1"/>
  <c r="I64" i="93"/>
  <c r="I82" i="93" s="1"/>
  <c r="I100" i="93" s="1"/>
  <c r="J66" i="93"/>
  <c r="J84" i="93" s="1"/>
  <c r="J102" i="93" s="1"/>
  <c r="F59" i="93"/>
  <c r="F77" i="93" s="1"/>
  <c r="D68" i="93"/>
  <c r="D86" i="93" s="1"/>
  <c r="D104" i="93" s="1"/>
  <c r="L60" i="93"/>
  <c r="L78" i="93" s="1"/>
  <c r="L96" i="93" s="1"/>
  <c r="C62" i="93"/>
  <c r="I61" i="93"/>
  <c r="I79" i="93" s="1"/>
  <c r="I97" i="93" s="1"/>
  <c r="P59" i="93"/>
  <c r="P77" i="93" s="1"/>
  <c r="H67" i="93"/>
  <c r="G60" i="93"/>
  <c r="G78" i="93" s="1"/>
  <c r="G96" i="93" s="1"/>
  <c r="G68" i="93"/>
  <c r="G86" i="93" s="1"/>
  <c r="G104" i="93" s="1"/>
  <c r="H60" i="93"/>
  <c r="O59" i="93"/>
  <c r="O77" i="93" s="1"/>
  <c r="H65" i="93"/>
  <c r="M62" i="93"/>
  <c r="M80" i="93" s="1"/>
  <c r="M98" i="93" s="1"/>
  <c r="I66" i="93"/>
  <c r="I84" i="93" s="1"/>
  <c r="I102" i="93" s="1"/>
  <c r="I60" i="93"/>
  <c r="I78" i="93" s="1"/>
  <c r="I96" i="93" s="1"/>
  <c r="J61" i="93"/>
  <c r="J79" i="93" s="1"/>
  <c r="J97" i="93" s="1"/>
  <c r="D66" i="93"/>
  <c r="D84" i="93" s="1"/>
  <c r="D102" i="93" s="1"/>
  <c r="F70" i="93"/>
  <c r="F88" i="93" s="1"/>
  <c r="F106" i="93" s="1"/>
  <c r="J64" i="93"/>
  <c r="J82" i="93" s="1"/>
  <c r="J100" i="93" s="1"/>
  <c r="F67" i="93"/>
  <c r="F85" i="93" s="1"/>
  <c r="F103" i="93" s="1"/>
  <c r="N59" i="93"/>
  <c r="N77" i="93" s="1"/>
  <c r="E59" i="93"/>
  <c r="E77" i="93" s="1"/>
  <c r="F60" i="93"/>
  <c r="F78" i="93" s="1"/>
  <c r="F96" i="93" s="1"/>
  <c r="F68" i="93"/>
  <c r="F86" i="93" s="1"/>
  <c r="F104" i="93" s="1"/>
  <c r="O60" i="93"/>
  <c r="O78" i="93" s="1"/>
  <c r="O96" i="93" s="1"/>
  <c r="E69" i="93"/>
  <c r="E87" i="93" s="1"/>
  <c r="E105" i="93" s="1"/>
  <c r="P60" i="93"/>
  <c r="P78" i="93" s="1"/>
  <c r="P96" i="93" s="1"/>
  <c r="E64" i="93"/>
  <c r="E82" i="93" s="1"/>
  <c r="E100" i="93" s="1"/>
  <c r="E63" i="93"/>
  <c r="E81" i="93" s="1"/>
  <c r="E99" i="93" s="1"/>
  <c r="F63" i="93"/>
  <c r="F81" i="93" s="1"/>
  <c r="F99" i="93" s="1"/>
  <c r="D72" i="93"/>
  <c r="D90" i="93" s="1"/>
  <c r="D108" i="93" s="1"/>
  <c r="D60" i="93"/>
  <c r="D78" i="93" s="1"/>
  <c r="D96" i="93" s="1"/>
  <c r="L59" i="93"/>
  <c r="L77" i="93" s="1"/>
  <c r="D59" i="93"/>
  <c r="D77" i="93" s="1"/>
  <c r="L63" i="93"/>
  <c r="L81" i="93" s="1"/>
  <c r="L99" i="93" s="1"/>
  <c r="H66" i="93"/>
  <c r="C64" i="93"/>
  <c r="N60" i="93"/>
  <c r="N78" i="93" s="1"/>
  <c r="N96" i="93" s="1"/>
  <c r="D69" i="93"/>
  <c r="D87" i="93" s="1"/>
  <c r="D105" i="93" s="1"/>
  <c r="E61" i="93"/>
  <c r="E79" i="93" s="1"/>
  <c r="E97" i="93" s="1"/>
  <c r="K64" i="93"/>
  <c r="K82" i="93" s="1"/>
  <c r="K100" i="93" s="1"/>
  <c r="F61" i="93"/>
  <c r="F79" i="93" s="1"/>
  <c r="F97" i="93" s="1"/>
  <c r="G67" i="93"/>
  <c r="G85" i="93" s="1"/>
  <c r="G103" i="93" s="1"/>
  <c r="I65" i="93"/>
  <c r="I83" i="93" s="1"/>
  <c r="I101" i="93" s="1"/>
  <c r="D67" i="93"/>
  <c r="D85" i="93" s="1"/>
  <c r="D103" i="93" s="1"/>
  <c r="F66" i="93"/>
  <c r="F84" i="93" s="1"/>
  <c r="F102" i="93" s="1"/>
  <c r="O61" i="93"/>
  <c r="O79" i="93" s="1"/>
  <c r="O97" i="93" s="1"/>
  <c r="D70" i="93"/>
  <c r="D88" i="93" s="1"/>
  <c r="D106" i="93" s="1"/>
  <c r="E67" i="93"/>
  <c r="E85" i="93" s="1"/>
  <c r="E103" i="93" s="1"/>
  <c r="C68" i="93"/>
  <c r="C86" i="93" s="1"/>
  <c r="M61" i="93"/>
  <c r="M79" i="93" s="1"/>
  <c r="M97" i="93" s="1"/>
  <c r="G59" i="93"/>
  <c r="G77" i="93" s="1"/>
  <c r="N61" i="93"/>
  <c r="N79" i="93" s="1"/>
  <c r="N97" i="93" s="1"/>
  <c r="E71" i="93"/>
  <c r="E89" i="93" s="1"/>
  <c r="E107" i="93" s="1"/>
  <c r="H62" i="93"/>
  <c r="H80" i="93" s="1"/>
  <c r="E70" i="93"/>
  <c r="E88" i="93" s="1"/>
  <c r="E106" i="93" s="1"/>
  <c r="G69" i="93"/>
  <c r="G87" i="93" s="1"/>
  <c r="G105" i="93" s="1"/>
  <c r="D61" i="93"/>
  <c r="D79" i="93" s="1"/>
  <c r="D97" i="93" s="1"/>
  <c r="M63" i="93"/>
  <c r="M81" i="93" s="1"/>
  <c r="M99" i="93" s="1"/>
  <c r="F62" i="93"/>
  <c r="F80" i="93" s="1"/>
  <c r="F98" i="93" s="1"/>
  <c r="D71" i="93"/>
  <c r="D89" i="93" s="1"/>
  <c r="D107" i="93" s="1"/>
  <c r="J60" i="93"/>
  <c r="J78" i="93" s="1"/>
  <c r="J96" i="93" s="1"/>
  <c r="E66" i="93"/>
  <c r="E84" i="93" s="1"/>
  <c r="E102" i="93" s="1"/>
  <c r="D62" i="93"/>
  <c r="D80" i="93" s="1"/>
  <c r="D98" i="93" s="1"/>
  <c r="G65" i="93"/>
  <c r="G83" i="93" s="1"/>
  <c r="G101" i="93" s="1"/>
  <c r="M59" i="93"/>
  <c r="M77" i="93" s="1"/>
  <c r="M60" i="93"/>
  <c r="M78" i="93" s="1"/>
  <c r="M96" i="93" s="1"/>
  <c r="L61" i="93"/>
  <c r="L79" i="93" s="1"/>
  <c r="L97" i="93" s="1"/>
  <c r="K61" i="93"/>
  <c r="K79" i="93" s="1"/>
  <c r="K97" i="93" s="1"/>
  <c r="I63" i="93"/>
  <c r="I81" i="93" s="1"/>
  <c r="I99" i="93" s="1"/>
  <c r="C61" i="93"/>
  <c r="H64" i="93"/>
  <c r="G66" i="93"/>
  <c r="G84" i="93" s="1"/>
  <c r="G102" i="93" s="1"/>
  <c r="C72" i="93"/>
  <c r="I71" i="91"/>
  <c r="I87" i="91"/>
  <c r="P87" i="91" s="1"/>
  <c r="G29" i="74"/>
  <c r="G28" i="74"/>
  <c r="W76" i="91"/>
  <c r="W77" i="91"/>
  <c r="H90" i="93" l="1"/>
  <c r="H108" i="93" s="1"/>
  <c r="X108" i="93" s="1"/>
  <c r="H91" i="93"/>
  <c r="H105" i="93"/>
  <c r="X105" i="93" s="1"/>
  <c r="H89" i="93"/>
  <c r="H88" i="93"/>
  <c r="H87" i="91"/>
  <c r="O87" i="91" s="1"/>
  <c r="V87" i="91" s="1"/>
  <c r="H71" i="91"/>
  <c r="X71" i="91" s="1"/>
  <c r="C61" i="91"/>
  <c r="C71" i="91" s="1"/>
  <c r="E87" i="91"/>
  <c r="L87" i="91" s="1"/>
  <c r="S87" i="91" s="1"/>
  <c r="G71" i="91"/>
  <c r="E71" i="91"/>
  <c r="W73" i="91"/>
  <c r="F87" i="91"/>
  <c r="M87" i="91" s="1"/>
  <c r="T87" i="91" s="1"/>
  <c r="D87" i="91"/>
  <c r="K87" i="91" s="1"/>
  <c r="R87" i="91" s="1"/>
  <c r="F71" i="91"/>
  <c r="W74" i="91"/>
  <c r="D71" i="91"/>
  <c r="L95" i="93"/>
  <c r="L118" i="93"/>
  <c r="L128" i="93"/>
  <c r="Q95" i="93"/>
  <c r="Q118" i="93"/>
  <c r="Q128" i="93"/>
  <c r="J95" i="93"/>
  <c r="J118" i="93"/>
  <c r="J128" i="93"/>
  <c r="K95" i="93"/>
  <c r="K118" i="93"/>
  <c r="K128" i="93"/>
  <c r="G87" i="91"/>
  <c r="N87" i="91" s="1"/>
  <c r="U87" i="91" s="1"/>
  <c r="H118" i="93"/>
  <c r="H128" i="93"/>
  <c r="G95" i="93"/>
  <c r="G128" i="93"/>
  <c r="G118" i="93"/>
  <c r="O95" i="93"/>
  <c r="O128" i="93"/>
  <c r="O118" i="93"/>
  <c r="I95" i="93"/>
  <c r="I118" i="93"/>
  <c r="I128" i="93"/>
  <c r="P95" i="93"/>
  <c r="P118" i="93"/>
  <c r="P128" i="93"/>
  <c r="P132" i="93" s="1"/>
  <c r="F95" i="93"/>
  <c r="F128" i="93"/>
  <c r="F118" i="93"/>
  <c r="F120" i="93"/>
  <c r="N120" i="93"/>
  <c r="V120" i="93"/>
  <c r="G120" i="93"/>
  <c r="O120" i="93"/>
  <c r="C120" i="93"/>
  <c r="H120" i="93"/>
  <c r="P120" i="93"/>
  <c r="E120" i="93"/>
  <c r="M120" i="93"/>
  <c r="I120" i="93"/>
  <c r="Q120" i="93"/>
  <c r="J120" i="93"/>
  <c r="R120" i="93"/>
  <c r="K120" i="93"/>
  <c r="S120" i="93"/>
  <c r="D120" i="93"/>
  <c r="L120" i="93"/>
  <c r="T120" i="93"/>
  <c r="U120" i="93"/>
  <c r="M95" i="93"/>
  <c r="M128" i="93"/>
  <c r="M118" i="93"/>
  <c r="J130" i="93"/>
  <c r="R130" i="93"/>
  <c r="K130" i="93"/>
  <c r="S130" i="93"/>
  <c r="D130" i="93"/>
  <c r="L130" i="93"/>
  <c r="T130" i="93"/>
  <c r="I130" i="93"/>
  <c r="E130" i="93"/>
  <c r="M130" i="93"/>
  <c r="U130" i="93"/>
  <c r="Q130" i="93"/>
  <c r="F130" i="93"/>
  <c r="N130" i="93"/>
  <c r="V130" i="93"/>
  <c r="G130" i="93"/>
  <c r="O130" i="93"/>
  <c r="C130" i="93"/>
  <c r="H130" i="93"/>
  <c r="P130" i="93"/>
  <c r="E95" i="93"/>
  <c r="E128" i="93"/>
  <c r="E118" i="93"/>
  <c r="D95" i="93"/>
  <c r="D118" i="93"/>
  <c r="D128" i="93"/>
  <c r="N95" i="93"/>
  <c r="N128" i="93"/>
  <c r="N118" i="93"/>
  <c r="C96" i="93"/>
  <c r="H95" i="93"/>
  <c r="C101" i="93"/>
  <c r="C104" i="93"/>
  <c r="H97" i="93"/>
  <c r="X97" i="93" s="1"/>
  <c r="W72" i="91"/>
  <c r="C90" i="93"/>
  <c r="C79" i="93"/>
  <c r="C80" i="93"/>
  <c r="C91" i="93"/>
  <c r="C82" i="93"/>
  <c r="H85" i="93"/>
  <c r="C77" i="93"/>
  <c r="H86" i="93"/>
  <c r="H78" i="93"/>
  <c r="C81" i="93"/>
  <c r="C85" i="93"/>
  <c r="I99" i="91"/>
  <c r="I101" i="91" s="1"/>
  <c r="Q99" i="91"/>
  <c r="K99" i="91"/>
  <c r="K101" i="91" s="1"/>
  <c r="S99" i="91"/>
  <c r="S101" i="91" s="1"/>
  <c r="H99" i="91"/>
  <c r="H101" i="91" s="1"/>
  <c r="D99" i="91"/>
  <c r="D101" i="91" s="1"/>
  <c r="L99" i="91"/>
  <c r="L101" i="91" s="1"/>
  <c r="T99" i="91"/>
  <c r="T101" i="91" s="1"/>
  <c r="E99" i="91"/>
  <c r="E101" i="91" s="1"/>
  <c r="M99" i="91"/>
  <c r="M101" i="91" s="1"/>
  <c r="U99" i="91"/>
  <c r="U101" i="91" s="1"/>
  <c r="F99" i="91"/>
  <c r="F101" i="91" s="1"/>
  <c r="N99" i="91"/>
  <c r="N101" i="91" s="1"/>
  <c r="V99" i="91"/>
  <c r="V101" i="91" s="1"/>
  <c r="P99" i="91"/>
  <c r="P101" i="91" s="1"/>
  <c r="G99" i="91"/>
  <c r="G101" i="91" s="1"/>
  <c r="O99" i="91"/>
  <c r="O101" i="91" s="1"/>
  <c r="C99" i="91"/>
  <c r="J99" i="91"/>
  <c r="R99" i="91"/>
  <c r="R101" i="91" s="1"/>
  <c r="H98" i="93"/>
  <c r="X98" i="93" s="1"/>
  <c r="H84" i="93"/>
  <c r="C89" i="93"/>
  <c r="H81" i="93"/>
  <c r="H82" i="93"/>
  <c r="H83" i="93"/>
  <c r="C88" i="93"/>
  <c r="C102" i="93"/>
  <c r="C105" i="93"/>
  <c r="F89" i="91"/>
  <c r="F91" i="91" s="1"/>
  <c r="P89" i="91"/>
  <c r="P91" i="91" s="1"/>
  <c r="C89" i="91"/>
  <c r="N89" i="91"/>
  <c r="S89" i="91"/>
  <c r="S91" i="91" s="1"/>
  <c r="R89" i="91"/>
  <c r="D89" i="91"/>
  <c r="V89" i="91"/>
  <c r="V91" i="91" s="1"/>
  <c r="I89" i="91"/>
  <c r="I91" i="91" s="1"/>
  <c r="E89" i="91"/>
  <c r="L89" i="91"/>
  <c r="G89" i="91"/>
  <c r="Q89" i="91"/>
  <c r="T89" i="91"/>
  <c r="O89" i="91"/>
  <c r="J89" i="91"/>
  <c r="U89" i="91"/>
  <c r="M89" i="91"/>
  <c r="K89" i="91"/>
  <c r="H89" i="91"/>
  <c r="E24" i="74"/>
  <c r="F24" i="74" s="1"/>
  <c r="K132" i="93" l="1"/>
  <c r="N122" i="93"/>
  <c r="M132" i="93"/>
  <c r="O132" i="93"/>
  <c r="P122" i="93"/>
  <c r="Q122" i="93"/>
  <c r="M122" i="93"/>
  <c r="O122" i="93"/>
  <c r="Q132" i="93"/>
  <c r="N132" i="93"/>
  <c r="J132" i="93"/>
  <c r="L132" i="93"/>
  <c r="I132" i="93"/>
  <c r="K122" i="93"/>
  <c r="J122" i="93"/>
  <c r="L122" i="93"/>
  <c r="I122" i="93"/>
  <c r="H132" i="93"/>
  <c r="H122" i="93"/>
  <c r="T128" i="93"/>
  <c r="T132" i="93" s="1"/>
  <c r="E132" i="93"/>
  <c r="V128" i="93"/>
  <c r="V132" i="93" s="1"/>
  <c r="G132" i="93"/>
  <c r="V118" i="93"/>
  <c r="V122" i="93" s="1"/>
  <c r="G122" i="93"/>
  <c r="S128" i="93"/>
  <c r="S132" i="93" s="1"/>
  <c r="D132" i="93"/>
  <c r="S118" i="93"/>
  <c r="S122" i="93" s="1"/>
  <c r="D122" i="93"/>
  <c r="U118" i="93"/>
  <c r="U122" i="93" s="1"/>
  <c r="F122" i="93"/>
  <c r="T118" i="93"/>
  <c r="T122" i="93" s="1"/>
  <c r="E122" i="93"/>
  <c r="U128" i="93"/>
  <c r="U132" i="93" s="1"/>
  <c r="F132" i="93"/>
  <c r="W105" i="93"/>
  <c r="H107" i="93"/>
  <c r="X107" i="93" s="1"/>
  <c r="H106" i="93"/>
  <c r="X106" i="93" s="1"/>
  <c r="H109" i="93"/>
  <c r="X109" i="93" s="1"/>
  <c r="G91" i="91"/>
  <c r="N91" i="91"/>
  <c r="L91" i="91"/>
  <c r="O91" i="91"/>
  <c r="C87" i="91"/>
  <c r="J87" i="91" s="1"/>
  <c r="Q87" i="91" s="1"/>
  <c r="Q91" i="91" s="1"/>
  <c r="H91" i="91"/>
  <c r="C97" i="91"/>
  <c r="J97" i="91" s="1"/>
  <c r="Q97" i="91" s="1"/>
  <c r="Q101" i="91" s="1"/>
  <c r="T91" i="91"/>
  <c r="R91" i="91"/>
  <c r="M91" i="91"/>
  <c r="E91" i="91"/>
  <c r="X81" i="91"/>
  <c r="C12" i="89"/>
  <c r="K91" i="91"/>
  <c r="U91" i="91"/>
  <c r="D91" i="91"/>
  <c r="W71" i="91"/>
  <c r="W81" i="91" s="1"/>
  <c r="X95" i="93"/>
  <c r="C118" i="93"/>
  <c r="C122" i="93" s="1"/>
  <c r="C128" i="93"/>
  <c r="C132" i="93" s="1"/>
  <c r="C107" i="93"/>
  <c r="W107" i="93" s="1"/>
  <c r="C97" i="93"/>
  <c r="W97" i="93" s="1"/>
  <c r="C99" i="93"/>
  <c r="H102" i="93"/>
  <c r="X102" i="93" s="1"/>
  <c r="H96" i="93"/>
  <c r="X96" i="93" s="1"/>
  <c r="C108" i="93"/>
  <c r="W108" i="93" s="1"/>
  <c r="C106" i="93"/>
  <c r="H104" i="93"/>
  <c r="X104" i="93" s="1"/>
  <c r="C109" i="93"/>
  <c r="H101" i="93"/>
  <c r="X101" i="93" s="1"/>
  <c r="C95" i="93"/>
  <c r="W95" i="93" s="1"/>
  <c r="C98" i="93"/>
  <c r="W98" i="93" s="1"/>
  <c r="H100" i="93"/>
  <c r="X100" i="93" s="1"/>
  <c r="H103" i="93"/>
  <c r="X103" i="93" s="1"/>
  <c r="H99" i="93"/>
  <c r="X99" i="93" s="1"/>
  <c r="C103" i="93"/>
  <c r="C100" i="93"/>
  <c r="G24" i="74"/>
  <c r="W106" i="93" l="1"/>
  <c r="W109" i="93"/>
  <c r="J91" i="91"/>
  <c r="C91" i="91"/>
  <c r="J101" i="91"/>
  <c r="J102" i="91" s="1"/>
  <c r="C101" i="91"/>
  <c r="D7" i="76"/>
  <c r="C19" i="89"/>
  <c r="W97" i="91"/>
  <c r="W87" i="91"/>
  <c r="W100" i="93"/>
  <c r="X113" i="93"/>
  <c r="D8" i="76" s="1"/>
  <c r="R128" i="93"/>
  <c r="R118" i="93"/>
  <c r="W102" i="93"/>
  <c r="W103" i="93"/>
  <c r="W104" i="93"/>
  <c r="S133" i="93"/>
  <c r="K133" i="93"/>
  <c r="J133" i="93"/>
  <c r="Q133" i="93"/>
  <c r="I133" i="93"/>
  <c r="P133" i="93"/>
  <c r="H133" i="93"/>
  <c r="O133" i="93"/>
  <c r="G133" i="93"/>
  <c r="U133" i="93"/>
  <c r="M133" i="93"/>
  <c r="E133" i="93"/>
  <c r="T133" i="93"/>
  <c r="L133" i="93"/>
  <c r="D133" i="93"/>
  <c r="V133" i="93"/>
  <c r="N133" i="93"/>
  <c r="F133" i="93"/>
  <c r="W101" i="93"/>
  <c r="W99" i="93"/>
  <c r="W96" i="93"/>
  <c r="O102" i="91"/>
  <c r="G102" i="91"/>
  <c r="V102" i="91"/>
  <c r="N102" i="91"/>
  <c r="F102" i="91"/>
  <c r="U102" i="91"/>
  <c r="M102" i="91"/>
  <c r="E102" i="91"/>
  <c r="T102" i="91"/>
  <c r="L102" i="91"/>
  <c r="D102" i="91"/>
  <c r="S102" i="91"/>
  <c r="K102" i="91"/>
  <c r="R102" i="91"/>
  <c r="Q102" i="91"/>
  <c r="I102" i="91"/>
  <c r="P102" i="91"/>
  <c r="H102" i="91"/>
  <c r="G23" i="74"/>
  <c r="W118" i="93" l="1"/>
  <c r="R122" i="93"/>
  <c r="R123" i="93" s="1"/>
  <c r="W128" i="93"/>
  <c r="R132" i="93"/>
  <c r="R133" i="93" s="1"/>
  <c r="W113" i="93"/>
  <c r="W130" i="93"/>
  <c r="T123" i="93"/>
  <c r="L123" i="93"/>
  <c r="D123" i="93"/>
  <c r="S123" i="93"/>
  <c r="K123" i="93"/>
  <c r="J123" i="93"/>
  <c r="Q123" i="93"/>
  <c r="I123" i="93"/>
  <c r="P123" i="93"/>
  <c r="H123" i="93"/>
  <c r="V123" i="93"/>
  <c r="N123" i="93"/>
  <c r="F123" i="93"/>
  <c r="U123" i="93"/>
  <c r="M123" i="93"/>
  <c r="E123" i="93"/>
  <c r="O123" i="93"/>
  <c r="G123" i="93"/>
  <c r="W99" i="91"/>
  <c r="P92" i="91"/>
  <c r="O92" i="91"/>
  <c r="G92" i="91"/>
  <c r="V92" i="91"/>
  <c r="N92" i="91"/>
  <c r="F92" i="91"/>
  <c r="U92" i="91"/>
  <c r="M92" i="91"/>
  <c r="E92" i="91"/>
  <c r="T92" i="91"/>
  <c r="L92" i="91"/>
  <c r="D92" i="91"/>
  <c r="S92" i="91"/>
  <c r="K92" i="91"/>
  <c r="R92" i="91"/>
  <c r="J92" i="91"/>
  <c r="Q92" i="91"/>
  <c r="I92" i="91"/>
  <c r="H92" i="91"/>
  <c r="W120" i="93" l="1"/>
  <c r="C133" i="93"/>
  <c r="W135" i="93" s="1"/>
  <c r="D15" i="76" s="1"/>
  <c r="W132" i="93"/>
  <c r="C102" i="91"/>
  <c r="W104" i="91" s="1"/>
  <c r="D13" i="76" s="1"/>
  <c r="W101" i="91"/>
  <c r="W89" i="91"/>
  <c r="C92" i="91"/>
  <c r="W122" i="93" l="1"/>
  <c r="C123" i="93"/>
  <c r="W125" i="93" s="1"/>
  <c r="D14" i="76" s="1"/>
  <c r="D10" i="76" s="1"/>
  <c r="W94" i="91"/>
  <c r="D12" i="76" s="1"/>
  <c r="D9" i="76" s="1"/>
  <c r="W91" i="91"/>
  <c r="E10" i="76" l="1"/>
  <c r="E9" i="76"/>
  <c r="F28" i="76" l="1"/>
  <c r="E28" i="76"/>
  <c r="G28" i="76"/>
  <c r="D28" i="76"/>
  <c r="H28" i="76"/>
  <c r="I28" i="76"/>
  <c r="J28" i="76"/>
  <c r="F26" i="80" l="1"/>
  <c r="F18" i="80"/>
  <c r="F10" i="80"/>
  <c r="F27" i="80"/>
  <c r="F28" i="80"/>
  <c r="F25" i="80"/>
  <c r="F16" i="80"/>
  <c r="F8" i="80"/>
  <c r="F17" i="80"/>
  <c r="F19" i="80"/>
  <c r="F9" i="80"/>
  <c r="F11" i="80"/>
  <c r="I27" i="80"/>
  <c r="R7" i="89" s="1"/>
  <c r="I16" i="80"/>
  <c r="I8" i="80"/>
  <c r="I28" i="80"/>
  <c r="I18" i="80"/>
  <c r="I10" i="80"/>
  <c r="I25" i="80"/>
  <c r="R5" i="89" s="1"/>
  <c r="I26" i="80"/>
  <c r="R6" i="89" s="1"/>
  <c r="I17" i="80"/>
  <c r="I19" i="80"/>
  <c r="I9" i="80"/>
  <c r="I11" i="80"/>
  <c r="G16" i="80"/>
  <c r="G8" i="80"/>
  <c r="G18" i="80"/>
  <c r="G10" i="80"/>
  <c r="G28" i="80"/>
  <c r="G26" i="80"/>
  <c r="G27" i="80"/>
  <c r="G17" i="80"/>
  <c r="G19" i="80"/>
  <c r="G9" i="80"/>
  <c r="G11" i="80"/>
  <c r="G25" i="80"/>
  <c r="H27" i="80"/>
  <c r="H16" i="80"/>
  <c r="H8" i="80"/>
  <c r="H28" i="80"/>
  <c r="H18" i="80"/>
  <c r="H10" i="80"/>
  <c r="H25" i="80"/>
  <c r="H19" i="80"/>
  <c r="H26" i="80"/>
  <c r="H17" i="80"/>
  <c r="H9" i="80"/>
  <c r="H11" i="80"/>
  <c r="J41" i="89" l="1"/>
  <c r="K6" i="89"/>
  <c r="O8" i="89"/>
  <c r="P28" i="89"/>
  <c r="J42" i="89"/>
  <c r="K7" i="89"/>
  <c r="I5" i="89"/>
  <c r="J25" i="89"/>
  <c r="Q8" i="89"/>
  <c r="P43" i="89"/>
  <c r="P8" i="89"/>
  <c r="P36" i="89"/>
  <c r="Q43" i="89"/>
  <c r="R8" i="89"/>
  <c r="J35" i="89"/>
  <c r="J7" i="89"/>
  <c r="K42" i="89"/>
  <c r="L7" i="89"/>
  <c r="K41" i="89"/>
  <c r="L6" i="89"/>
  <c r="D8" i="89"/>
  <c r="D36" i="89"/>
  <c r="K8" i="89"/>
  <c r="J43" i="89"/>
  <c r="J27" i="89"/>
  <c r="I7" i="89"/>
  <c r="J28" i="89"/>
  <c r="I8" i="89"/>
  <c r="J26" i="89"/>
  <c r="I6" i="89"/>
  <c r="J40" i="89"/>
  <c r="K5" i="89"/>
  <c r="J8" i="89"/>
  <c r="J36" i="89"/>
  <c r="E8" i="89"/>
  <c r="D43" i="89"/>
  <c r="J34" i="89"/>
  <c r="J6" i="89"/>
  <c r="L8" i="89"/>
  <c r="K43" i="89"/>
  <c r="F8" i="89"/>
  <c r="E43" i="89"/>
  <c r="J5" i="89"/>
  <c r="J33" i="89"/>
  <c r="L5" i="89"/>
  <c r="K40" i="89"/>
  <c r="D28" i="89"/>
  <c r="C8" i="89"/>
  <c r="F6" i="89"/>
  <c r="E41" i="89"/>
  <c r="P6" i="89"/>
  <c r="P34" i="89"/>
  <c r="P26" i="89"/>
  <c r="O6" i="89"/>
  <c r="C7" i="89"/>
  <c r="D27" i="89"/>
  <c r="C6" i="89"/>
  <c r="D26" i="89"/>
  <c r="D5" i="89"/>
  <c r="D33" i="89"/>
  <c r="E7" i="89"/>
  <c r="D42" i="89"/>
  <c r="Q40" i="89"/>
  <c r="D40" i="89"/>
  <c r="E5" i="89"/>
  <c r="C5" i="89"/>
  <c r="D25" i="89"/>
  <c r="Q6" i="89"/>
  <c r="P41" i="89"/>
  <c r="P35" i="89"/>
  <c r="P7" i="89"/>
  <c r="Q42" i="89"/>
  <c r="P42" i="89"/>
  <c r="Q7" i="89"/>
  <c r="D7" i="89"/>
  <c r="D35" i="89"/>
  <c r="F5" i="89"/>
  <c r="E40" i="89"/>
  <c r="P40" i="89"/>
  <c r="Q5" i="89"/>
  <c r="D6" i="89"/>
  <c r="D34" i="89"/>
  <c r="P25" i="89"/>
  <c r="O5" i="89"/>
  <c r="Q41" i="89"/>
  <c r="E6" i="89"/>
  <c r="D41" i="89"/>
  <c r="P5" i="89"/>
  <c r="P33" i="89"/>
  <c r="P27" i="89"/>
  <c r="O7" i="89"/>
  <c r="F7" i="89"/>
  <c r="E42" i="89"/>
</calcChain>
</file>

<file path=xl/sharedStrings.xml><?xml version="1.0" encoding="utf-8"?>
<sst xmlns="http://schemas.openxmlformats.org/spreadsheetml/2006/main" count="1620" uniqueCount="505">
  <si>
    <t>Description</t>
  </si>
  <si>
    <t>Status</t>
  </si>
  <si>
    <t>Output</t>
  </si>
  <si>
    <t>Highlight</t>
  </si>
  <si>
    <t>A key result from this part of the model (in particular one that will be used elsewhere in the model)</t>
  </si>
  <si>
    <t>Style Guidelines</t>
  </si>
  <si>
    <t>Name</t>
  </si>
  <si>
    <t>A side calculation intended solely to cross check a result (and which therefore should not be referenced anywhere else in the model)</t>
  </si>
  <si>
    <r>
      <t xml:space="preserve">An Excel Name applying to one or more adjacent cells (use </t>
    </r>
    <r>
      <rPr>
        <u/>
        <sz val="9"/>
        <rFont val="Arial"/>
        <family val="2"/>
      </rPr>
      <t>I</t>
    </r>
    <r>
      <rPr>
        <sz val="9"/>
        <rFont val="Arial"/>
        <family val="2"/>
      </rPr>
      <t xml:space="preserve">nsert </t>
    </r>
    <r>
      <rPr>
        <u/>
        <sz val="9"/>
        <rFont val="Arial"/>
        <family val="2"/>
      </rPr>
      <t>N</t>
    </r>
    <r>
      <rPr>
        <sz val="9"/>
        <rFont val="Arial"/>
        <family val="2"/>
      </rPr>
      <t xml:space="preserve">ame </t>
    </r>
    <r>
      <rPr>
        <u/>
        <sz val="9"/>
        <rFont val="Arial"/>
        <family val="2"/>
      </rPr>
      <t>C</t>
    </r>
    <r>
      <rPr>
        <sz val="9"/>
        <rFont val="Arial"/>
        <family val="2"/>
      </rPr>
      <t>reate to actually create the Excel Names)</t>
    </r>
  </si>
  <si>
    <t>Objective</t>
  </si>
  <si>
    <t xml:space="preserve">Title </t>
  </si>
  <si>
    <t>Information</t>
  </si>
  <si>
    <t>Contents</t>
  </si>
  <si>
    <t xml:space="preserve"> </t>
  </si>
  <si>
    <t>A cell that is highlighted for uncertainty</t>
  </si>
  <si>
    <t>Yes</t>
  </si>
  <si>
    <t>Named range</t>
  </si>
  <si>
    <t>Styles</t>
  </si>
  <si>
    <t>Un-format</t>
  </si>
  <si>
    <t>Going back to default Excel formatting</t>
  </si>
  <si>
    <t>Cost inputs</t>
  </si>
  <si>
    <t>Discount rate</t>
  </si>
  <si>
    <t>discount_rate</t>
  </si>
  <si>
    <t>CAPEX</t>
  </si>
  <si>
    <t>OPEX</t>
  </si>
  <si>
    <t>Time horizon (years)</t>
  </si>
  <si>
    <t>Input parameters based on Plum model</t>
  </si>
  <si>
    <t>Site sharing - Rural sites</t>
  </si>
  <si>
    <t>Site occupants</t>
  </si>
  <si>
    <t>Site sharing - Urban sites</t>
  </si>
  <si>
    <t>Equipment costs</t>
  </si>
  <si>
    <t>£ / link</t>
  </si>
  <si>
    <t>Site construction - Rural</t>
  </si>
  <si>
    <t>£ / site</t>
  </si>
  <si>
    <t>Site construction - Urban</t>
  </si>
  <si>
    <t>Site rental - Rural</t>
  </si>
  <si>
    <t>£ / site / pa</t>
  </si>
  <si>
    <t>Site rental - Urban</t>
  </si>
  <si>
    <t>Installation and commissioning</t>
  </si>
  <si>
    <t>% of annual capital costs</t>
  </si>
  <si>
    <t>Accommodation and power</t>
  </si>
  <si>
    <t>Maintenance</t>
  </si>
  <si>
    <t>% of total capital costs</t>
  </si>
  <si>
    <t>Lifetime of new equipment</t>
  </si>
  <si>
    <t>Years</t>
  </si>
  <si>
    <t>Lifetime of structures</t>
  </si>
  <si>
    <t>Cost calculations</t>
  </si>
  <si>
    <t>Cost for additional hop above 20 GHz</t>
  </si>
  <si>
    <t>Site cost - construction</t>
  </si>
  <si>
    <t>Site cost - rental</t>
  </si>
  <si>
    <t>Equipment cost - Install, infrastructure and maintenance</t>
  </si>
  <si>
    <t>Total</t>
  </si>
  <si>
    <t>Equipment lifetime</t>
  </si>
  <si>
    <t>New equipment purchases required in model</t>
  </si>
  <si>
    <t>Structures lifetime</t>
  </si>
  <si>
    <t>New structure purchases required in model</t>
  </si>
  <si>
    <t>Rural</t>
  </si>
  <si>
    <t>Urban</t>
  </si>
  <si>
    <t>Equipment cost - capital</t>
  </si>
  <si>
    <t>Finance rate</t>
  </si>
  <si>
    <t>Discount factor (WACC)</t>
  </si>
  <si>
    <t>Discount factor (STPR)</t>
  </si>
  <si>
    <t>New equipment required</t>
  </si>
  <si>
    <t>No</t>
  </si>
  <si>
    <t>New structures required</t>
  </si>
  <si>
    <t>Total 20 yr NPC</t>
  </si>
  <si>
    <t>Annualised equipment cost</t>
  </si>
  <si>
    <t>Annualised site cost</t>
  </si>
  <si>
    <t>Ongoing cost</t>
  </si>
  <si>
    <t>Discounted cash flow</t>
  </si>
  <si>
    <t>Year</t>
  </si>
  <si>
    <t>Annualised capital cost</t>
  </si>
  <si>
    <t>Composite cost scenarios</t>
  </si>
  <si>
    <t>Summary costs</t>
  </si>
  <si>
    <t>Composite average cost</t>
  </si>
  <si>
    <t>Shared sites</t>
  </si>
  <si>
    <t>Spectrum cost inputs</t>
  </si>
  <si>
    <t>Discounted cost</t>
  </si>
  <si>
    <t>Cost additional hop</t>
  </si>
  <si>
    <t>NPC rural hop</t>
  </si>
  <si>
    <t>NPC urban hop</t>
  </si>
  <si>
    <t>Spectrum scenario</t>
  </si>
  <si>
    <t>OPEX percentages</t>
  </si>
  <si>
    <t>Installation cost</t>
  </si>
  <si>
    <t>Infrastructure cost</t>
  </si>
  <si>
    <t>Maintenance cost</t>
  </si>
  <si>
    <t>Capital cost for equipment</t>
  </si>
  <si>
    <t>Capital cost - rural site</t>
  </si>
  <si>
    <t>Capital cost - urban site</t>
  </si>
  <si>
    <t>finance_rate</t>
  </si>
  <si>
    <t>equipment_capital</t>
  </si>
  <si>
    <t>rural_site_capital</t>
  </si>
  <si>
    <t>urban_site_capital</t>
  </si>
  <si>
    <t>equipment_lifetime</t>
  </si>
  <si>
    <t>structure_lifetime</t>
  </si>
  <si>
    <t>Which areas?</t>
  </si>
  <si>
    <t>FLs revoked (likely maximum, based on 25km buffer zone)</t>
  </si>
  <si>
    <t>Top 20</t>
  </si>
  <si>
    <t>Top 40</t>
  </si>
  <si>
    <t>Top 80</t>
  </si>
  <si>
    <t>Total UK</t>
  </si>
  <si>
    <t>Average</t>
  </si>
  <si>
    <t>No additional hop (15 years)</t>
  </si>
  <si>
    <t>No additional hop (7 years)</t>
  </si>
  <si>
    <t>20 year NPC per link</t>
  </si>
  <si>
    <t>Scenario 1</t>
  </si>
  <si>
    <t>Scenario 2</t>
  </si>
  <si>
    <t>Scenario 3</t>
  </si>
  <si>
    <t>Scenario 4</t>
  </si>
  <si>
    <t>Inc. equipment change</t>
  </si>
  <si>
    <t>Total capex</t>
  </si>
  <si>
    <t>New</t>
  </si>
  <si>
    <t>1 year old</t>
  </si>
  <si>
    <t>2 year old</t>
  </si>
  <si>
    <t>3 year old</t>
  </si>
  <si>
    <t>4 year old</t>
  </si>
  <si>
    <t>5 year old</t>
  </si>
  <si>
    <t>6 year old</t>
  </si>
  <si>
    <t>7 year old</t>
  </si>
  <si>
    <t>5 year revocation</t>
  </si>
  <si>
    <t>Remaining lifetime</t>
  </si>
  <si>
    <t>Installation (% of capex)</t>
  </si>
  <si>
    <t>Cost of replacing equipment</t>
  </si>
  <si>
    <t>Installation cost (% of equipment cost</t>
  </si>
  <si>
    <t>Real pre-tax WACC MCT 2021-2026 Statement</t>
  </si>
  <si>
    <t>8 year old</t>
  </si>
  <si>
    <t>9 year old</t>
  </si>
  <si>
    <t>10 year old</t>
  </si>
  <si>
    <t>11 year old</t>
  </si>
  <si>
    <t>12 year old</t>
  </si>
  <si>
    <t>13 year old</t>
  </si>
  <si>
    <t>14 year old</t>
  </si>
  <si>
    <t>15 year old</t>
  </si>
  <si>
    <t>0 year old</t>
  </si>
  <si>
    <t>Opex</t>
  </si>
  <si>
    <t>Source: 2021 MCT model</t>
  </si>
  <si>
    <t>https://www.ofcom.org.uk/consultations-and-statements/category-2/2021-26-wholesale-voice-markets-review</t>
  </si>
  <si>
    <t>https://www.ofcom.org.uk/__data/assets/file/0028/216793/mct-model-2021-26-wholesale-voice-markets-review.zip</t>
  </si>
  <si>
    <t>Cost model, "Unit investment Worksheet"</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</si>
  <si>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</si>
  <si>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</si>
  <si>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</si>
  <si>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</si>
  <si>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</si>
  <si>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</si>
  <si>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</si>
  <si>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</si>
  <si>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</si>
  <si>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</si>
  <si>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</si>
  <si>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</si>
  <si>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</si>
  <si>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</si>
  <si>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</si>
  <si>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</si>
  <si>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</si>
  <si>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</si>
  <si>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</si>
  <si>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</si>
  <si>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</si>
  <si>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</si>
  <si>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</si>
  <si>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</si>
  <si>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</si>
  <si>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</si>
  <si>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</si>
  <si>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</si>
  <si>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</si>
  <si>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</si>
  <si>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</si>
  <si>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</si>
  <si>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</si>
  <si>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</si>
  <si>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</si>
  <si>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</si>
  <si>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</si>
  <si>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</si>
  <si>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</si>
  <si>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</si>
  <si>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</si>
  <si>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</si>
  <si>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</si>
  <si>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</si>
  <si>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</si>
  <si>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</si>
  <si>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</si>
  <si>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</si>
  <si>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</si>
  <si>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</si>
  <si>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Base MEA investment price trend (excluding capacity changes or RAN/Site sharing adjustments)</t>
  </si>
  <si>
    <t>Source: Retained from 2011 MCT model</t>
  </si>
  <si>
    <t>Source: Orange and blue cells below indicate amendments based on s135 responses</t>
  </si>
  <si>
    <t>Source: Long-term values out to 2020/21 extended to 2026/27</t>
  </si>
  <si>
    <t>spare</t>
  </si>
  <si>
    <t>%</t>
  </si>
  <si>
    <t>Cell sites</t>
  </si>
  <si>
    <t>Macrocell: site acquisition and preparation and lease</t>
  </si>
  <si>
    <t>2G cell site equipment</t>
  </si>
  <si>
    <t>Macrocell: equipment (omni sector)</t>
  </si>
  <si>
    <t>Macrocell: equipment (2 sector)</t>
  </si>
  <si>
    <t>Macrocell: equipment (3 sector)</t>
  </si>
  <si>
    <t>Microcell: site acquisition and preparation and lease</t>
  </si>
  <si>
    <t>Microcell: equipment</t>
  </si>
  <si>
    <t>Picocell: site acquisition and preparation and lease</t>
  </si>
  <si>
    <t>Picocell: equipment</t>
  </si>
  <si>
    <t>2G TRXs</t>
  </si>
  <si>
    <t>Macrocell: additional TRXs</t>
  </si>
  <si>
    <t>Microcell: additional TRXs</t>
  </si>
  <si>
    <t>Picocell: additional TRXs</t>
  </si>
  <si>
    <t>2G BSCs</t>
  </si>
  <si>
    <t>BSC: base unit</t>
  </si>
  <si>
    <t>BSC: BS-facing port increment</t>
  </si>
  <si>
    <t>BSC: Core-facing port increment</t>
  </si>
  <si>
    <t>Packet control units</t>
  </si>
  <si>
    <t>2G MSCs</t>
  </si>
  <si>
    <t>MSC: processor</t>
  </si>
  <si>
    <t>Software</t>
  </si>
  <si>
    <t>Interconnect interface</t>
  </si>
  <si>
    <t>Switching Support Plant</t>
  </si>
  <si>
    <t>Main switch sites</t>
  </si>
  <si>
    <t>Buildings (switch building preparation)</t>
  </si>
  <si>
    <t>Site lease</t>
  </si>
  <si>
    <t>2G MSC ports - BSC-facing</t>
  </si>
  <si>
    <t>MSC: BSC-facing port increment</t>
  </si>
  <si>
    <t>2G MSC ports - Interconnect facing</t>
  </si>
  <si>
    <t>MSC: interconnect-facing port increment</t>
  </si>
  <si>
    <t>2G MSC ports - Interswitch facing</t>
  </si>
  <si>
    <t>MSC: switch-facing port increment</t>
  </si>
  <si>
    <t>Core transmission</t>
  </si>
  <si>
    <t>Core transmission in 2Mbit/s circuits</t>
  </si>
  <si>
    <t>HLRs</t>
  </si>
  <si>
    <t>HLR</t>
  </si>
  <si>
    <t>Transit switches</t>
  </si>
  <si>
    <t>2G Licence fees</t>
  </si>
  <si>
    <t>Annual GSM licence fee</t>
  </si>
  <si>
    <t>2G NMS</t>
  </si>
  <si>
    <t>Network management</t>
  </si>
  <si>
    <t>2G GSN</t>
  </si>
  <si>
    <t>2G SGSN</t>
  </si>
  <si>
    <t>2G GGSN</t>
  </si>
  <si>
    <t>SMSC</t>
  </si>
  <si>
    <t>Backhaul</t>
  </si>
  <si>
    <t>2 Mbit/s microwave link</t>
  </si>
  <si>
    <t>8 Mbit/s microwave link</t>
  </si>
  <si>
    <t>16 Mbit/s microwave link</t>
  </si>
  <si>
    <t>32 Mbit/s microwave link</t>
  </si>
  <si>
    <t>3G cell site equipment</t>
  </si>
  <si>
    <t>Macrocell equipment</t>
  </si>
  <si>
    <t>Microcell equipment</t>
  </si>
  <si>
    <t>Picocell equipment</t>
  </si>
  <si>
    <t>3G site upgrade</t>
  </si>
  <si>
    <t>Macro site upgrade</t>
  </si>
  <si>
    <t>Micro site upgrade</t>
  </si>
  <si>
    <t>Pico site upgrade</t>
  </si>
  <si>
    <t>Macrocell: additional carriers</t>
  </si>
  <si>
    <t>Microcell: additional carriers</t>
  </si>
  <si>
    <t>Picocell: additional carriers</t>
  </si>
  <si>
    <t>Macrocell: additional sectors</t>
  </si>
  <si>
    <t>Microcell: additional sectors</t>
  </si>
  <si>
    <t>Picocell: additional sectors</t>
  </si>
  <si>
    <t>3G RNCs</t>
  </si>
  <si>
    <t>RNC: base unit</t>
  </si>
  <si>
    <t>RNC: NodeB-facing port increment</t>
  </si>
  <si>
    <t>RNC: Core-facing port increment</t>
  </si>
  <si>
    <t>2G/3G layered core nodes</t>
  </si>
  <si>
    <t>MSC server</t>
  </si>
  <si>
    <t>Media gateway</t>
  </si>
  <si>
    <t>3G MSCs</t>
  </si>
  <si>
    <t>3G MSC ports - RNC-facing</t>
  </si>
  <si>
    <t>3G MSC ports - Interconnect facing</t>
  </si>
  <si>
    <t>3G MSC ports - Interswitch facing</t>
  </si>
  <si>
    <t>3G NMS</t>
  </si>
  <si>
    <t>3G GSN</t>
  </si>
  <si>
    <t>3G SGSN</t>
  </si>
  <si>
    <t>3G GGSN</t>
  </si>
  <si>
    <t>Base unit</t>
  </si>
  <si>
    <t>Remote switching sites</t>
  </si>
  <si>
    <t>Remote switching sites (BSC and RNC)</t>
  </si>
  <si>
    <t>3G Licence fees</t>
  </si>
  <si>
    <t>UMTS licence fee in 2004/05</t>
  </si>
  <si>
    <t>UMTS licence fee in 2012/13</t>
  </si>
  <si>
    <t>Transformation sites</t>
  </si>
  <si>
    <t>HSPA 3.6 upgrade</t>
  </si>
  <si>
    <t>HSPA 3.6 site upgrade</t>
  </si>
  <si>
    <t>HSPA 7.2 upgrade</t>
  </si>
  <si>
    <t>HSPA 7.2 site upgrade</t>
  </si>
  <si>
    <t>HSPA 14.4 upgrade</t>
  </si>
  <si>
    <t>HSPA 14.4 site upgrade</t>
  </si>
  <si>
    <t>HSPA 21 upgrade</t>
  </si>
  <si>
    <t>HSPA 21 site upgrade</t>
  </si>
  <si>
    <t>HSPA 42 upgrade</t>
  </si>
  <si>
    <t>HSPA 42 site upgrade</t>
  </si>
  <si>
    <t>HSPA 84 upgrade</t>
  </si>
  <si>
    <t>HSPA 84 site upgrade</t>
  </si>
  <si>
    <t>HSPA site upgrade spare</t>
  </si>
  <si>
    <t>Leased Ethernet (100Mbit/s)</t>
  </si>
  <si>
    <t>Leased Ethernet (300Mbit/s)</t>
  </si>
  <si>
    <t>Owned microwave (100Mbit/s)</t>
  </si>
  <si>
    <t>Owned microwave (300Mbit/s)</t>
  </si>
  <si>
    <t>Ethernet microwave link (defunct)</t>
  </si>
  <si>
    <t>VMS</t>
  </si>
  <si>
    <t>VMS Platform</t>
  </si>
  <si>
    <t>High-speed backhaul hub</t>
  </si>
  <si>
    <t>High-speed leased backhaul link (1000Mbit/s)</t>
  </si>
  <si>
    <t>Main switch sites (allocated to voice)</t>
  </si>
  <si>
    <t>Buildings (switch building preparation) - allocated to voice services</t>
  </si>
  <si>
    <t>Site lease - allocated to voice services</t>
  </si>
  <si>
    <t>Main switch sites (allocated to data)</t>
  </si>
  <si>
    <t>Buildings (switch building preparation) - allocated to data services</t>
  </si>
  <si>
    <t>Site lease - allocated to data services</t>
  </si>
  <si>
    <t>4G cell site equipment</t>
  </si>
  <si>
    <t>Macro eNodeB</t>
  </si>
  <si>
    <t>Micro eNodeB</t>
  </si>
  <si>
    <t>Pico eNodeB</t>
  </si>
  <si>
    <t>4G Macrocell: additional carriers</t>
  </si>
  <si>
    <t>4G Microcell: additional carriers</t>
  </si>
  <si>
    <t>4G Picocell: additional carriers</t>
  </si>
  <si>
    <t>4G site upgrade</t>
  </si>
  <si>
    <t>Leased Ethernet (500Mbit/s)</t>
  </si>
  <si>
    <t>Owned microwave (500Mbit/s)</t>
  </si>
  <si>
    <t>Infrastructure sharing macro site upgrade</t>
  </si>
  <si>
    <t>Infrastructure sharing micro site upgrade</t>
  </si>
  <si>
    <t>Infrastructure sharing pico site upgrade</t>
  </si>
  <si>
    <t>Next-generation backbone links</t>
  </si>
  <si>
    <t>Next-generation backbone km</t>
  </si>
  <si>
    <t>4G core network</t>
  </si>
  <si>
    <t>MME</t>
  </si>
  <si>
    <t>Serving Gateway (SGW)</t>
  </si>
  <si>
    <t>MME software</t>
  </si>
  <si>
    <t>Data traffic manager</t>
  </si>
  <si>
    <t>VoLTE network</t>
  </si>
  <si>
    <t>Call server hardware</t>
  </si>
  <si>
    <t>Call server software</t>
  </si>
  <si>
    <t>TAS</t>
  </si>
  <si>
    <t>SBC hardware</t>
  </si>
  <si>
    <t>SBC software</t>
  </si>
  <si>
    <t>VoLTE upgrades to HLR</t>
  </si>
  <si>
    <t>VoLTE upgrades to MSC-S</t>
  </si>
  <si>
    <t>VoLTE upgrades to NMS</t>
  </si>
  <si>
    <t>NMS</t>
  </si>
  <si>
    <t>HSS</t>
  </si>
  <si>
    <t>4G Licence fee</t>
  </si>
  <si>
    <t>4G spectrum annual payments</t>
  </si>
  <si>
    <t>4G auction payments</t>
  </si>
  <si>
    <t>S</t>
  </si>
  <si>
    <t>E</t>
  </si>
  <si>
    <t>Annual change</t>
  </si>
  <si>
    <t>Equipment (MCT model)</t>
  </si>
  <si>
    <t>Site (MCT model)</t>
  </si>
  <si>
    <t xml:space="preserve">CPI </t>
  </si>
  <si>
    <t>CPI</t>
  </si>
  <si>
    <t>Index</t>
  </si>
  <si>
    <t>Equipment</t>
  </si>
  <si>
    <t>Site</t>
  </si>
  <si>
    <t xml:space="preserve">Estimating the capital cost that firms need to write off </t>
  </si>
  <si>
    <t>Source:</t>
  </si>
  <si>
    <t>Cost of retiring equipment early</t>
  </si>
  <si>
    <t xml:space="preserve">No revocation period </t>
  </si>
  <si>
    <t>Note that opex costs do not change for the 15 year equipment lifetime scenario - They are always calculated from the annualised cost assuming a 7 year lifetime</t>
  </si>
  <si>
    <t>Additional hop, 7 years</t>
  </si>
  <si>
    <t>Additional hop, 15 years</t>
  </si>
  <si>
    <t>Additional hop, 7 years equipment</t>
  </si>
  <si>
    <t>Additional hop, 15 years equipment</t>
  </si>
  <si>
    <t>Combined increase over the period 2015-2022 for site costs</t>
  </si>
  <si>
    <t>Cost trend calculation</t>
  </si>
  <si>
    <t>Plum report page numder</t>
  </si>
  <si>
    <t>Link to Plum report.</t>
  </si>
  <si>
    <t>7 years</t>
  </si>
  <si>
    <t>Including the installation cost as part of capex for this calculation</t>
  </si>
  <si>
    <t>Capital cost (including installation)</t>
  </si>
  <si>
    <t>equipment_capital_ins</t>
  </si>
  <si>
    <t xml:space="preserve">Baseline Scenario </t>
  </si>
  <si>
    <t>Higher ongoing Costs</t>
  </si>
  <si>
    <t>Baseline Scenario (15 equipment lifetime)</t>
  </si>
  <si>
    <t>Higher Ongoing Costs Scenario (15 equipment lifetime)</t>
  </si>
  <si>
    <t>Cost trend adjustment factor for site costs</t>
  </si>
  <si>
    <t>CPI input - Annual change</t>
  </si>
  <si>
    <t>CPI data Link</t>
  </si>
  <si>
    <t>Number of High Density Areas</t>
  </si>
  <si>
    <t>Baseline Scenario (£m)</t>
  </si>
  <si>
    <t>Higher Ongoing Costs Scenario (£m)</t>
  </si>
  <si>
    <t>Baseline  – 15 year equipment lifetime (£m)</t>
  </si>
  <si>
    <t>Higher Ongoing Costs– 15 year equipment lifetime (£m)</t>
  </si>
  <si>
    <t>26 GHz</t>
  </si>
  <si>
    <t>Remaining life of equipment at the start of the revocation period.</t>
  </si>
  <si>
    <t>Value to be written off if revocation period = 5 years</t>
  </si>
  <si>
    <t>6 years</t>
  </si>
  <si>
    <t>5 years</t>
  </si>
  <si>
    <t>4 years</t>
  </si>
  <si>
    <t>3 years</t>
  </si>
  <si>
    <t>2 years</t>
  </si>
  <si>
    <t>1 year</t>
  </si>
  <si>
    <t>Number of high density areas</t>
  </si>
  <si>
    <t>Number of fixed links revoked</t>
  </si>
  <si>
    <t>Number of High density areas</t>
  </si>
  <si>
    <t>Estimated cost of revocation – modified baseline Scenario (£m)</t>
  </si>
  <si>
    <t>Estimated cost of revocation – modified Higher Ongoing Costs Scenario (£m)</t>
  </si>
  <si>
    <t>26 GHz - Baseline</t>
  </si>
  <si>
    <t>26 GHz - Higher Costs</t>
  </si>
  <si>
    <t>Total Costs</t>
  </si>
  <si>
    <t>https://www.ofcom.org.uk/__data/assets/pdf_file/0029/216794/statement-2021-26-wholesale-voice-markets-review.pdf</t>
  </si>
  <si>
    <t>STPR - HMT Green Book 2020</t>
  </si>
  <si>
    <t>https://assets.publishing.service.gov.uk/government/uploads/system/uploads/attachment_data/file/938046/The_Green_Book_2020.pdf</t>
  </si>
  <si>
    <t>Average cost per link</t>
  </si>
  <si>
    <t>Apply cost trend to site costs</t>
  </si>
  <si>
    <t>Exclude equipment installation cost from opex as included in capex</t>
  </si>
  <si>
    <t>Annualised equipment cost (exc, installation)</t>
  </si>
  <si>
    <t>Cost (Straight line depreciation)</t>
  </si>
  <si>
    <t>Of capex</t>
  </si>
  <si>
    <t>Of annualised capex</t>
  </si>
  <si>
    <t>per_installation_cost</t>
  </si>
  <si>
    <t>per_infrastructure_cost</t>
  </si>
  <si>
    <t>per_maintenance_cost</t>
  </si>
  <si>
    <t>Estimated cost of revocation (£m)</t>
  </si>
  <si>
    <t>40 GHz areas (MBNL)</t>
  </si>
  <si>
    <t>40 GHz areas (H3G)</t>
  </si>
  <si>
    <t>40 GHz (MBNL)</t>
  </si>
  <si>
    <t>40 GHz (H3G)</t>
  </si>
  <si>
    <t>40 GHz - Baseline (MBNL)</t>
  </si>
  <si>
    <t>40 GHz - Higher Costs (MBNL)</t>
  </si>
  <si>
    <t>40 GHz - Baseline (H3G)</t>
  </si>
  <si>
    <t>40 GHz - Higher Costs (H3G)</t>
  </si>
  <si>
    <t>All UK</t>
  </si>
  <si>
    <t>Project</t>
  </si>
  <si>
    <t>Confidentiality</t>
  </si>
  <si>
    <t>Section</t>
  </si>
  <si>
    <t>Worksheet</t>
  </si>
  <si>
    <t>Outputs</t>
  </si>
  <si>
    <t>Calculations</t>
  </si>
  <si>
    <t>Inputs</t>
  </si>
  <si>
    <t>Terms and conditions</t>
  </si>
  <si>
    <t xml:space="preserve">The terms and conditions on which OFCOM is making the model available are set out below.  </t>
  </si>
  <si>
    <t xml:space="preserve">OFCOM does not accept any responsibility for any loss, disruption or damage to your data or your computer system which may occur whilst using the Model or material derived from the Model. OFCOM does not warrant that the functions contained in the Model will be uninterrupted or error free. Also, OFCOM does not warrant that defects will be corrected, or that the Model provided is free of viruses.
In no event will OFCOM be liable for any loss or damage including, without limitation, indirect or consequential loss or damage, or any loss or damages whatsoever arising from use or loss of use of, data or profits arising out of or in connection with the use or otherwise of the provided Model. By using this Model, you agree to the above. </t>
  </si>
  <si>
    <t>mmWave fixed links clearance cost model</t>
  </si>
  <si>
    <t>Consultation model</t>
  </si>
  <si>
    <t>Approved for release</t>
  </si>
  <si>
    <t>Input data</t>
  </si>
  <si>
    <t>Input data (e.g. RFS data, inflation, etc)</t>
  </si>
  <si>
    <t>Input assumption or parameter</t>
  </si>
  <si>
    <t>Input assumptions or parameters (e.g. for a scenario or control sheet)</t>
  </si>
  <si>
    <t>Feed internal</t>
  </si>
  <si>
    <t>Feed cell from within this workbook</t>
  </si>
  <si>
    <t>Feed external</t>
  </si>
  <si>
    <t>Feed cell from a different workbook</t>
  </si>
  <si>
    <t>Confidential</t>
  </si>
  <si>
    <t>Confidential data, to be removed or randomized before publication</t>
  </si>
  <si>
    <t>Randomized</t>
  </si>
  <si>
    <t>Randomized data</t>
  </si>
  <si>
    <t>Calculation</t>
  </si>
  <si>
    <t>Intermediate calculation (not final output)</t>
  </si>
  <si>
    <t>Model logic</t>
  </si>
  <si>
    <t>Cells required for model logic (e.g. year counters)</t>
  </si>
  <si>
    <t>Intentionally blank</t>
  </si>
  <si>
    <t>Cells left intentionally blank</t>
  </si>
  <si>
    <t>QA highlight</t>
  </si>
  <si>
    <t>A cell that is highlighted for quality assurance</t>
  </si>
  <si>
    <t>Check pass</t>
  </si>
  <si>
    <t>Check fail</t>
  </si>
  <si>
    <t>Note or source</t>
  </si>
  <si>
    <t>Text</t>
  </si>
  <si>
    <t>Note/source</t>
  </si>
  <si>
    <t>Cells which are part of a named range</t>
  </si>
  <si>
    <t>named_range_1</t>
  </si>
  <si>
    <t>Identification of fixed link costs, Equipment (E ) or Site (S)</t>
  </si>
  <si>
    <t>Financing cost</t>
  </si>
  <si>
    <t>Depreciation</t>
  </si>
  <si>
    <t>Depreciaton + financing cost</t>
  </si>
  <si>
    <t>Final outputs in Columns W &amp; X  ----&gt;</t>
  </si>
  <si>
    <t>Cost rural hop</t>
  </si>
  <si>
    <t>Cost urban hop</t>
  </si>
  <si>
    <t>Discounted Cost (7 year lifetime)</t>
  </si>
  <si>
    <t>Discounted Cost (15 year lifetime)</t>
  </si>
  <si>
    <t>Cost of a rural site</t>
  </si>
  <si>
    <t>Estimating costs for a new site</t>
  </si>
  <si>
    <t>Manual adjustment to £1000 due to unquantified factors (efficient use of revocation period, etc)</t>
  </si>
  <si>
    <t>Manual adjustment to £3000 due to unquantified factors (efficient use of revocation period, etc)</t>
  </si>
  <si>
    <t>Assume that only 2% of links in the Higher Ongoing Costs scenario will need an additonal hop</t>
  </si>
  <si>
    <t>Calcuate average cost based on different % without additional hops (different mixes of no hop and additional hop costs)</t>
  </si>
  <si>
    <t>Use 25km buffer zone number to estimate costs</t>
  </si>
  <si>
    <t>Fixed link area data</t>
  </si>
  <si>
    <t>26 GHz areas</t>
  </si>
  <si>
    <t>Costs by HDA grouping</t>
  </si>
  <si>
    <t>MCT CostTrends</t>
  </si>
  <si>
    <t>Input data assumptions for spectrum equipement and site costs</t>
  </si>
  <si>
    <t>Input data for cost trends</t>
  </si>
  <si>
    <t>Cost Trend Calc</t>
  </si>
  <si>
    <t>Estimates the increase in cost input assumptions since 2015 publication of plum report</t>
  </si>
  <si>
    <t>Discounted cost_7years</t>
  </si>
  <si>
    <t>Discounted cost_15years</t>
  </si>
  <si>
    <t>Estimates the overall present costs for replacing equipment and adding  hop assuming a 7 year economic lifetime</t>
  </si>
  <si>
    <t>Estimates the overall present costs for replacing equipment and adding  hop assuming a 15 year economic lifetime</t>
  </si>
  <si>
    <t>Cost_SiteRural</t>
  </si>
  <si>
    <t>Cost_SiteUrban</t>
  </si>
  <si>
    <t>Estimates opex and capex for different equipment &amp; site assumptions</t>
  </si>
  <si>
    <t>Estimates the annualised capex cost for a new rural site</t>
  </si>
  <si>
    <t>Estimates the annualised capex cost for a new urban site</t>
  </si>
  <si>
    <t>Estimates overall costs for 4 different cost scenarios</t>
  </si>
  <si>
    <t>Costs By HDA grouping</t>
  </si>
  <si>
    <t>FinalOutputTables</t>
  </si>
  <si>
    <t>Determines final costs for different high density area options, dependent on existing fixed links</t>
  </si>
  <si>
    <t>Outputs rearranged into tables for consultation annex</t>
  </si>
  <si>
    <t>The mmWave fixed links clearance cost model provided has been developed to help understand the potential cost of revoking fixed link licences in the 26 GHz And 40 GHz spectrum band as part of Ofcom's consultation on Enabling mmWave spectrum for new uses.</t>
  </si>
  <si>
    <t>Enabling mmWave spectrum for new uses</t>
  </si>
  <si>
    <t>Estimate the cost of moving fixed links out of the 26GHz and 40 GHz bands</t>
  </si>
  <si>
    <t xml:space="preserve">All right, title and interest in the provided model (the ‘Model’) constructed in Excel to understand the cost to licensees of clearance of fixed links are owned by OFCOM. Such title and interest is protected by United Kingdom intellectual property laws and international treaty provisions. While you may freely use the Model for the purposes for which it is provided, as set out in the accompanying model documentation, OFCOM notes that any other use of the Model may not result in the correct functioning of the Model. 
No representation or warranty is given as to the accuracy, completeness or correctness of the provided Model and it is provided 'as is'. It is provided without any representation or endorsement made and without warranty of any kind, whether express or implied, including but not limited to the implied warranties of satisfactory quality, fitness for a particular purpose, non-infringement, compatibility, security and accuracy.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</si>
</sst>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8" formatCode="&quot;£&quot;#,##0.00;[Red]\-&quot;£&quot;#,##0.00"/>
    <numFmt numFmtId="42" formatCode="_-&quot;£&quot;* #,##0_-;\-&quot;£&quot;* #,##0_-;_-&quot;£&quot;* &quot;-&quot;_-;_-@_-"/>
    <numFmt numFmtId="43" formatCode="_-* #,##0.00_-;\-* #,##0.00_-;_-* &quot;-&quot;??_-;_-@_-"/>
    <numFmt numFmtId="164" formatCode="#,##0_);[Red]\-#,##0_);0_);@_)"/>
    <numFmt numFmtId="165" formatCode="#,##0.00_);[Red]\-#,##0.00_);0.00_);@_)"/>
    <numFmt numFmtId="166" formatCode="#,##0%;[Red]\-#,##0%;0%;@_)"/>
    <numFmt numFmtId="167" formatCode="_-[$£-809]* #,##0_-;\-[$£-809]* #,##0_-;_-[$£-809]* &quot;-&quot;??_-;_-@_-"/>
    <numFmt numFmtId="168" formatCode="0.0%"/>
    <numFmt numFmtId="169" formatCode="&quot;£&quot;#,##0"/>
    <numFmt numFmtId="170" formatCode="&quot;£&quot;#,##0.00"/>
    <numFmt numFmtId="171" formatCode="_-* #,##0.0_-;\-* #,##0.0_-;_-* &quot;-&quot;??_-;_-@_-"/>
    <numFmt numFmtId="172" formatCode="0.0"/>
    <numFmt numFmtId="173" formatCode="#,##0%;[Red]\-#,##0%;&quot;-&quot;\%;@_)"/>
    <numFmt numFmtId="174" formatCode="#,##0.00%;[Red]\-#,##0.00%;0.00%;@_)"/>
    <numFmt numFmtId="175" formatCode="#,##0.0%;[Red]\-#,##0.0%;&quot;-&quot;\%;@_)"/>
    <numFmt numFmtId="176" formatCode="#,##0.00%;[Red]\-#,##0.00%;&quot;-&quot;\%;@_)"/>
    <numFmt numFmtId="177" formatCode="&quot;Rnd&quot;* &quot;[&quot;General&quot;]&quot;;&quot;Rnd&quot;* &quot;[&quot;\-General&quot;]&quot;"/>
  </numFmts>
  <fonts count="57" x14ac:knownFonts="1">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u/>
      <sz val="9"/>
      <name val="Arial"/>
      <family val="2"/>
    </font>
    <font>
      <i/>
      <sz val="9"/>
      <color indexed="16"/>
      <name val="Arial"/>
      <family val="2"/>
    </font>
    <font>
      <i/>
      <sz val="9"/>
      <name val="Arial"/>
      <family val="2"/>
    </font>
    <font>
      <sz val="9"/>
      <name val="Verdana"/>
      <family val="2"/>
    </font>
    <font>
      <sz val="8"/>
      <color indexed="10"/>
      <name val="Arial"/>
      <family val="2"/>
    </font>
    <font>
      <b/>
      <sz val="9"/>
      <color indexed="10"/>
      <name val="Arial"/>
      <family val="2"/>
    </font>
    <font>
      <i/>
      <sz val="9"/>
      <color rgb="FF969696"/>
      <name val="Arial"/>
      <family val="2"/>
    </font>
    <font>
      <i/>
      <sz val="8"/>
      <color indexed="10"/>
      <name val="Arial"/>
      <family val="2"/>
    </font>
    <font>
      <b/>
      <sz val="9"/>
      <color rgb="FFFF0000"/>
      <name val="Arial"/>
      <family val="2"/>
    </font>
    <font>
      <sz val="10"/>
      <name val="Arial"/>
      <family val="2"/>
    </font>
    <font>
      <i/>
      <sz val="9"/>
      <color theme="0" tint="-0.249977111117893"/>
      <name val="Arial"/>
      <family val="2"/>
    </font>
    <font>
      <b/>
      <sz val="10.5"/>
      <color rgb="FF38393A"/>
      <name val="Calibri"/>
      <family val="2"/>
    </font>
    <font>
      <sz val="10.5"/>
      <color rgb="FF38393A"/>
      <name val="Calibri"/>
      <family val="2"/>
    </font>
    <font>
      <b/>
      <u/>
      <sz val="9"/>
      <name val="Arial"/>
      <family val="2"/>
    </font>
    <font>
      <u/>
      <sz val="9"/>
      <color theme="10"/>
      <name val="Arial"/>
      <family val="2"/>
    </font>
    <font>
      <sz val="9"/>
      <color rgb="FFFF0000"/>
      <name val="Arial"/>
      <family val="2"/>
    </font>
    <font>
      <sz val="11"/>
      <color rgb="FF404040"/>
      <name val="Calibri"/>
      <family val="2"/>
    </font>
    <font>
      <b/>
      <sz val="11"/>
      <color rgb="FF404040"/>
      <name val="Calibri"/>
      <family val="2"/>
    </font>
    <font>
      <sz val="9"/>
      <name val="Calibri"/>
      <family val="2"/>
      <scheme val="minor"/>
    </font>
    <font>
      <b/>
      <sz val="11"/>
      <name val="Calibri"/>
      <family val="2"/>
      <scheme val="minor"/>
    </font>
    <font>
      <sz val="9"/>
      <color theme="1"/>
      <name val="Calibri"/>
      <family val="2"/>
      <scheme val="minor"/>
    </font>
    <font>
      <sz val="11"/>
      <name val="Calibri"/>
      <family val="2"/>
      <scheme val="minor"/>
    </font>
    <font>
      <sz val="24"/>
      <color rgb="FFCC0044"/>
      <name val="Cambria"/>
      <family val="2"/>
      <scheme val="major"/>
    </font>
    <font>
      <sz val="10"/>
      <color indexed="10"/>
      <name val="Calibri"/>
      <family val="2"/>
      <scheme val="minor"/>
    </font>
    <font>
      <b/>
      <sz val="14"/>
      <color rgb="FF404040"/>
      <name val="Cambria"/>
      <family val="2"/>
      <scheme val="major"/>
    </font>
    <font>
      <sz val="11"/>
      <color rgb="FF000000"/>
      <name val="Calibri"/>
      <family val="2"/>
      <scheme val="minor"/>
    </font>
    <font>
      <sz val="11"/>
      <color rgb="FF0000FF"/>
      <name val="Calibri"/>
      <family val="2"/>
      <scheme val="minor"/>
    </font>
    <font>
      <sz val="11"/>
      <color theme="0" tint="-0.14996795556505021"/>
      <name val="Calibri"/>
      <family val="2"/>
      <scheme val="minor"/>
    </font>
    <font>
      <sz val="11"/>
      <color rgb="FF969696"/>
      <name val="Calibri"/>
      <family val="2"/>
      <scheme val="minor"/>
    </font>
    <font>
      <b/>
      <sz val="11"/>
      <color rgb="FFFFFFFF"/>
      <name val="Calibri"/>
      <family val="2"/>
      <scheme val="minor"/>
    </font>
    <font>
      <i/>
      <sz val="11"/>
      <color rgb="FFC00000"/>
      <name val="Calibri"/>
      <family val="2"/>
      <scheme val="minor"/>
    </font>
    <font>
      <b/>
      <sz val="18"/>
      <name val="Calibri"/>
      <family val="2"/>
      <scheme val="minor"/>
    </font>
    <font>
      <b/>
      <sz val="12"/>
      <name val="Calibri"/>
      <family val="2"/>
      <scheme val="minor"/>
    </font>
    <font>
      <sz val="8"/>
      <name val="Calibri"/>
      <family val="2"/>
      <scheme val="minor"/>
    </font>
    <font>
      <sz val="8"/>
      <color indexed="10"/>
      <name val="Calibri"/>
      <family val="2"/>
      <scheme val="minor"/>
    </font>
    <font>
      <sz val="10"/>
      <name val="Calibri"/>
      <family val="2"/>
      <scheme val="minor"/>
    </font>
    <font>
      <u/>
      <sz val="10"/>
      <color theme="10"/>
      <name val="Calibri"/>
      <family val="2"/>
      <scheme val="minor"/>
    </font>
    <font>
      <sz val="10"/>
      <color rgb="FF000000"/>
      <name val="Calibri"/>
      <family val="2"/>
      <scheme val="minor"/>
    </font>
    <font>
      <i/>
      <sz val="10"/>
      <color indexed="10"/>
      <name val="Calibri"/>
      <family val="2"/>
      <scheme val="minor"/>
    </font>
    <font>
      <b/>
      <sz val="10"/>
      <name val="Calibri"/>
      <family val="2"/>
      <scheme val="minor"/>
    </font>
    <font>
      <sz val="10"/>
      <color rgb="FF0000FF"/>
      <name val="Calibri"/>
      <family val="2"/>
      <scheme val="minor"/>
    </font>
    <font>
      <i/>
      <sz val="10"/>
      <name val="Calibri"/>
      <family val="2"/>
      <scheme val="minor"/>
    </font>
    <font>
      <i/>
      <sz val="10"/>
      <color rgb="FF969696"/>
      <name val="Calibri"/>
      <family val="2"/>
      <scheme val="minor"/>
    </font>
    <font>
      <i/>
      <sz val="10"/>
      <color rgb="FFC00000"/>
      <name val="Calibri"/>
      <family val="2"/>
      <scheme val="minor"/>
    </font>
    <font>
      <i/>
      <sz val="10"/>
      <color theme="0" tint="-0.249977111117893"/>
      <name val="Calibri"/>
      <family val="2"/>
      <scheme val="minor"/>
    </font>
    <font>
      <b/>
      <u/>
      <sz val="10"/>
      <name val="Calibri"/>
      <family val="2"/>
      <scheme val="minor"/>
    </font>
    <font>
      <u/>
      <sz val="10"/>
      <name val="Calibri"/>
      <family val="2"/>
      <scheme val="minor"/>
    </font>
    <font>
      <b/>
      <sz val="10"/>
      <color rgb="FFFF0000"/>
      <name val="Calibri"/>
      <family val="2"/>
      <scheme val="minor"/>
    </font>
    <font>
      <i/>
      <u/>
      <sz val="10"/>
      <name val="Calibri"/>
      <family val="2"/>
      <scheme val="minor"/>
    </font>
  </fonts>
  <fills count="22">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E8D9E8"/>
        <bgColor indexed="64"/>
      </patternFill>
    </fill>
    <fill>
      <patternFill patternType="solid">
        <fgColor rgb="FF00FFFF"/>
        <bgColor indexed="64"/>
      </patternFill>
    </fill>
    <fill>
      <gradientFill degree="45">
        <stop position="0">
          <color rgb="FFF7941D"/>
        </stop>
        <stop position="0.5">
          <color rgb="FFFFF200"/>
        </stop>
        <stop position="1">
          <color rgb="FFF7941D"/>
        </stop>
      </gradientFill>
    </fill>
    <fill>
      <patternFill patternType="solid">
        <fgColor rgb="FFFFFF00"/>
        <bgColor indexed="64"/>
      </patternFill>
    </fill>
    <fill>
      <patternFill patternType="solid">
        <fgColor rgb="FFCCFFFF"/>
        <bgColor rgb="FF000000"/>
      </patternFill>
    </fill>
    <fill>
      <patternFill patternType="solid">
        <fgColor rgb="FFCCFFCC"/>
        <bgColor rgb="FF000000"/>
      </patternFill>
    </fill>
    <fill>
      <patternFill patternType="solid">
        <fgColor rgb="FFFFFF00"/>
        <bgColor rgb="FF00FFFF"/>
      </patternFill>
    </fill>
    <fill>
      <patternFill patternType="solid">
        <fgColor rgb="FFFFC000"/>
        <bgColor rgb="FF000000"/>
      </patternFill>
    </fill>
    <fill>
      <patternFill patternType="solid">
        <fgColor rgb="FF4BACC6"/>
        <bgColor rgb="FF000000"/>
      </patternFill>
    </fill>
    <fill>
      <patternFill patternType="solid">
        <fgColor rgb="FF00FF00"/>
        <bgColor rgb="FF000000"/>
      </patternFill>
    </fill>
    <fill>
      <patternFill patternType="solid">
        <fgColor rgb="FFFFFF00"/>
        <bgColor rgb="FF000000"/>
      </patternFill>
    </fill>
    <fill>
      <patternFill patternType="solid">
        <fgColor rgb="FFCCC0DA"/>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296"/>
        <bgColor indexed="64"/>
      </patternFill>
    </fill>
    <fill>
      <patternFill patternType="solid">
        <fgColor rgb="FFDAEEF3"/>
        <bgColor indexed="64"/>
      </patternFill>
    </fill>
    <fill>
      <patternFill patternType="solid">
        <fgColor rgb="FFEAC8EA"/>
        <bgColor indexed="64"/>
      </patternFill>
    </fill>
    <fill>
      <patternFill patternType="solid">
        <fgColor rgb="FFFF0000"/>
        <bgColor indexed="64"/>
      </patternFill>
    </fill>
  </fills>
  <borders count="29">
    <border>
      <left/>
      <right/>
      <top/>
      <bottom/>
      <diagonal/>
    </border>
    <border>
      <left style="thin">
        <color rgb="FF660066"/>
      </left>
      <right style="thin">
        <color rgb="FF660066"/>
      </right>
      <top style="thin">
        <color rgb="FF660066"/>
      </top>
      <bottom style="thin">
        <color rgb="FF660066"/>
      </bottom>
      <diagonal/>
    </border>
    <border>
      <left style="dotted">
        <color rgb="FF660066"/>
      </left>
      <right style="dotted">
        <color rgb="FF660066"/>
      </right>
      <top style="dotted">
        <color rgb="FF660066"/>
      </top>
      <bottom style="dotted">
        <color rgb="FF660066"/>
      </bottom>
      <diagonal/>
    </border>
    <border>
      <left style="mediumDashed">
        <color rgb="FFC90044"/>
      </left>
      <right style="mediumDashed">
        <color rgb="FFC90044"/>
      </right>
      <top style="mediumDashed">
        <color rgb="FFC90044"/>
      </top>
      <bottom style="mediumDashed">
        <color rgb="FFC90044"/>
      </bottom>
      <diagonal/>
    </border>
    <border>
      <left/>
      <right/>
      <top/>
      <bottom style="thin">
        <color indexed="64"/>
      </bottom>
      <diagonal/>
    </border>
    <border>
      <left/>
      <right/>
      <top/>
      <bottom style="thin">
        <color rgb="FF660066"/>
      </bottom>
      <diagonal/>
    </border>
    <border>
      <left/>
      <right/>
      <top/>
      <bottom style="thin">
        <color rgb="FF000000"/>
      </bottom>
      <diagonal/>
    </border>
    <border>
      <left style="thin">
        <color rgb="FF339966"/>
      </left>
      <right style="thin">
        <color rgb="FF339966"/>
      </right>
      <top style="thin">
        <color rgb="FF339966"/>
      </top>
      <bottom style="thin">
        <color rgb="FF339966"/>
      </bottom>
      <diagonal/>
    </border>
    <border>
      <left style="dotted">
        <color rgb="FF339966"/>
      </left>
      <right style="dotted">
        <color rgb="FF339966"/>
      </right>
      <top style="dotted">
        <color rgb="FF339966"/>
      </top>
      <bottom style="dotted">
        <color rgb="FF339966"/>
      </bottom>
      <diagonal/>
    </border>
    <border>
      <left/>
      <right/>
      <top style="thin">
        <color rgb="FF339966"/>
      </top>
      <bottom style="thin">
        <color rgb="FF339966"/>
      </bottom>
      <diagonal/>
    </border>
    <border>
      <left/>
      <right/>
      <top/>
      <bottom style="thin">
        <color rgb="FF339966"/>
      </bottom>
      <diagonal/>
    </border>
    <border>
      <left style="thin">
        <color rgb="FF339966"/>
      </left>
      <right/>
      <top style="thin">
        <color rgb="FF339966"/>
      </top>
      <bottom style="thin">
        <color rgb="FF339966"/>
      </bottom>
      <diagonal/>
    </border>
    <border>
      <left/>
      <right/>
      <top style="thin">
        <color rgb="FF339966"/>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diagonalDown="1">
      <left/>
      <right/>
      <top/>
      <bottom/>
      <diagonal style="thin">
        <color auto="1"/>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hair">
        <color rgb="FFC00000"/>
      </left>
      <right style="hair">
        <color rgb="FFC00000"/>
      </right>
      <top style="hair">
        <color rgb="FFC00000"/>
      </top>
      <bottom style="hair">
        <color rgb="FFC00000"/>
      </bottom>
      <diagonal/>
    </border>
    <border>
      <left style="hair">
        <color rgb="FFC00000"/>
      </left>
      <right style="hair">
        <color rgb="FFC00000"/>
      </right>
      <top style="hair">
        <color rgb="FFC00000"/>
      </top>
      <bottom/>
      <diagonal/>
    </border>
    <border>
      <left style="hair">
        <color rgb="FFC00000"/>
      </left>
      <right style="hair">
        <color rgb="FFC00000"/>
      </right>
      <top/>
      <bottom style="hair">
        <color rgb="FFC00000"/>
      </bottom>
      <diagonal/>
    </border>
    <border>
      <left style="medium">
        <color theme="0" tint="-0.14999847407452621"/>
      </left>
      <right/>
      <top style="medium">
        <color theme="0" tint="-0.14999847407452621"/>
      </top>
      <bottom style="medium">
        <color theme="0" tint="-0.14999847407452621"/>
      </bottom>
      <diagonal/>
    </border>
    <border>
      <left style="thick">
        <color indexed="64"/>
      </left>
      <right style="medium">
        <color theme="0" tint="-0.14999847407452621"/>
      </right>
      <top style="medium">
        <color theme="0" tint="-0.14999847407452621"/>
      </top>
      <bottom style="medium">
        <color theme="0" tint="-0.14999847407452621"/>
      </bottom>
      <diagonal/>
    </border>
    <border>
      <left style="thin">
        <color indexed="64"/>
      </left>
      <right style="thin">
        <color indexed="64"/>
      </right>
      <top style="thin">
        <color indexed="64"/>
      </top>
      <bottom style="thin">
        <color theme="0" tint="-0.34998626667073579"/>
      </bottom>
      <diagonal/>
    </border>
  </borders>
  <cellStyleXfs count="56">
    <xf numFmtId="0" fontId="0" fillId="0" borderId="0">
      <alignment vertical="center"/>
    </xf>
    <xf numFmtId="0" fontId="2" fillId="0" borderId="0" applyNumberFormat="0" applyAlignment="0">
      <alignment vertical="center"/>
    </xf>
    <xf numFmtId="165" fontId="14" fillId="0" borderId="0" applyNumberFormat="0" applyAlignment="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0" fontId="2" fillId="2" borderId="0" applyNumberFormat="0" applyFont="0" applyBorder="0" applyAlignment="0" applyProtection="0">
      <alignment vertical="center"/>
    </xf>
    <xf numFmtId="0" fontId="9" fillId="0" borderId="0" applyNumberFormat="0" applyAlignment="0">
      <alignment vertical="center"/>
    </xf>
    <xf numFmtId="0" fontId="7" fillId="0" borderId="0" applyNumberFormat="0" applyFill="0" applyBorder="0" applyAlignment="0" applyProtection="0">
      <alignment vertical="center"/>
    </xf>
    <xf numFmtId="164" fontId="2" fillId="0" borderId="0" applyFont="0" applyFill="0" applyBorder="0" applyAlignment="0" applyProtection="0">
      <alignment vertical="center"/>
    </xf>
    <xf numFmtId="0" fontId="2" fillId="3" borderId="0" applyNumberFormat="0" applyFont="0" applyBorder="0" applyAlignment="0" applyProtection="0">
      <alignment vertical="center"/>
    </xf>
    <xf numFmtId="166" fontId="2" fillId="0" borderId="0" applyFont="0" applyFill="0" applyBorder="0" applyAlignment="0" applyProtection="0">
      <alignment horizontal="right" vertical="center"/>
    </xf>
    <xf numFmtId="0" fontId="12" fillId="0" borderId="0" applyNumberFormat="0" applyFill="0" applyProtection="0">
      <alignment horizontal="left" vertical="center"/>
    </xf>
    <xf numFmtId="164" fontId="5" fillId="0" borderId="0" applyNumberFormat="0" applyFill="0" applyBorder="0" applyAlignment="0" applyProtection="0">
      <alignment vertical="center"/>
    </xf>
    <xf numFmtId="0" fontId="2" fillId="0" borderId="0" applyProtection="0">
      <alignment vertical="center"/>
    </xf>
    <xf numFmtId="0" fontId="2" fillId="0" borderId="2" applyNumberFormat="0" applyAlignment="0">
      <alignment vertical="center"/>
      <protection locked="0"/>
    </xf>
    <xf numFmtId="0" fontId="2" fillId="0" borderId="1" applyNumberFormat="0" applyAlignment="0">
      <alignment vertical="center"/>
      <protection locked="0"/>
    </xf>
    <xf numFmtId="0" fontId="12" fillId="0" borderId="0" applyNumberFormat="0" applyFill="0" applyBorder="0" applyAlignment="0" applyProtection="0">
      <alignment vertical="top"/>
    </xf>
    <xf numFmtId="0" fontId="2" fillId="4" borderId="0" applyNumberFormat="0" applyFont="0" applyBorder="0" applyAlignment="0" applyProtection="0">
      <alignment vertical="center"/>
    </xf>
    <xf numFmtId="0" fontId="2" fillId="5" borderId="0" applyNumberFormat="0" applyFont="0" applyBorder="0" applyAlignment="0" applyProtection="0">
      <alignment vertical="center"/>
    </xf>
    <xf numFmtId="0" fontId="7" fillId="0" borderId="0" applyFill="0" applyBorder="0" applyAlignment="0" applyProtection="0">
      <alignment vertical="center"/>
    </xf>
    <xf numFmtId="0" fontId="2" fillId="6" borderId="3" applyNumberFormat="0" applyFont="0" applyAlignment="0" applyProtection="0">
      <alignment vertical="center"/>
    </xf>
    <xf numFmtId="0" fontId="17" fillId="0" borderId="0"/>
    <xf numFmtId="0" fontId="2" fillId="0" borderId="0">
      <alignment vertical="center"/>
    </xf>
    <xf numFmtId="9" fontId="2" fillId="0" borderId="0" applyFont="0" applyFill="0" applyBorder="0" applyAlignment="0" applyProtection="0"/>
    <xf numFmtId="43" fontId="2" fillId="0" borderId="0" applyFont="0" applyFill="0" applyBorder="0" applyAlignment="0" applyProtection="0"/>
    <xf numFmtId="0" fontId="22" fillId="0" borderId="0" applyNumberFormat="0" applyFill="0" applyBorder="0" applyAlignment="0" applyProtection="0">
      <alignment vertical="center"/>
    </xf>
    <xf numFmtId="0" fontId="5" fillId="8" borderId="0" applyNumberFormat="0">
      <alignment horizontal="center" vertical="top" wrapText="1"/>
    </xf>
    <xf numFmtId="0" fontId="2" fillId="0" borderId="0"/>
    <xf numFmtId="0" fontId="2" fillId="0" borderId="0"/>
    <xf numFmtId="0" fontId="2" fillId="9" borderId="0" applyNumberFormat="0" applyAlignment="0">
      <alignment vertical="center"/>
    </xf>
    <xf numFmtId="174" fontId="2" fillId="0" borderId="0" applyFont="0" applyFill="0" applyBorder="0" applyAlignment="0" applyProtection="0">
      <alignment vertical="center"/>
    </xf>
    <xf numFmtId="164" fontId="2" fillId="10" borderId="7" applyNumberFormat="0" applyAlignment="0">
      <alignment vertical="center"/>
      <protection locked="0"/>
    </xf>
    <xf numFmtId="0" fontId="2" fillId="0" borderId="8" applyNumberFormat="0" applyAlignment="0">
      <alignment vertical="center"/>
    </xf>
    <xf numFmtId="166" fontId="2" fillId="0" borderId="0" applyFont="0" applyFill="0" applyBorder="0" applyAlignment="0" applyProtection="0">
      <alignment vertical="center"/>
    </xf>
    <xf numFmtId="0" fontId="2" fillId="13" borderId="0" applyNumberFormat="0" applyAlignment="0">
      <alignment vertical="center"/>
    </xf>
    <xf numFmtId="0" fontId="29" fillId="0" borderId="0">
      <alignment vertical="center"/>
    </xf>
    <xf numFmtId="0" fontId="30" fillId="0" borderId="0" applyNumberFormat="0" applyFill="0" applyBorder="0" applyAlignment="0" applyProtection="0">
      <alignment vertical="center"/>
    </xf>
    <xf numFmtId="0" fontId="31" fillId="0" borderId="0" applyNumberFormat="0" applyAlignment="0" applyProtection="0">
      <alignment vertical="center"/>
    </xf>
    <xf numFmtId="0" fontId="32" fillId="0" borderId="0" applyNumberFormat="0" applyFill="0" applyBorder="0" applyAlignment="0" applyProtection="0">
      <alignment horizontal="left" vertical="center"/>
    </xf>
    <xf numFmtId="0" fontId="33" fillId="18" borderId="0" applyNumberFormat="0" applyAlignment="0" applyProtection="0">
      <alignment vertical="center"/>
    </xf>
    <xf numFmtId="0" fontId="34" fillId="18" borderId="0" applyNumberFormat="0" applyAlignment="0" applyProtection="0">
      <alignment vertical="center"/>
      <protection locked="0"/>
    </xf>
    <xf numFmtId="0" fontId="33" fillId="19" borderId="0" applyNumberFormat="0" applyAlignment="0" applyProtection="0">
      <alignment vertical="center"/>
    </xf>
    <xf numFmtId="0" fontId="34" fillId="19" borderId="0" applyNumberFormat="0" applyAlignment="0" applyProtection="0">
      <alignment vertical="center"/>
    </xf>
    <xf numFmtId="0" fontId="34" fillId="6" borderId="3" applyNumberFormat="0" applyAlignment="0" applyProtection="0">
      <alignment vertical="center"/>
    </xf>
    <xf numFmtId="177" fontId="34" fillId="6" borderId="3" applyAlignment="0" applyProtection="0">
      <alignment vertical="center"/>
    </xf>
    <xf numFmtId="0" fontId="35" fillId="0" borderId="0" applyNumberFormat="0" applyAlignment="0" applyProtection="0">
      <alignment vertical="center"/>
    </xf>
    <xf numFmtId="0" fontId="2" fillId="17" borderId="0" applyNumberFormat="0" applyFont="0" applyBorder="0" applyAlignment="0" applyProtection="0">
      <alignment vertical="center"/>
    </xf>
    <xf numFmtId="0" fontId="33" fillId="20" borderId="0" applyNumberFormat="0" applyAlignment="0" applyProtection="0">
      <alignment vertical="center"/>
    </xf>
    <xf numFmtId="0" fontId="2" fillId="5" borderId="0" applyNumberFormat="0" applyFont="0" applyBorder="0" applyAlignment="0" applyProtection="0">
      <alignment vertical="center"/>
    </xf>
    <xf numFmtId="0" fontId="36" fillId="0" borderId="0" applyNumberFormat="0" applyAlignment="0" applyProtection="0">
      <alignment vertical="center"/>
    </xf>
    <xf numFmtId="0" fontId="29" fillId="0" borderId="0" applyProtection="0">
      <alignment vertical="center"/>
    </xf>
    <xf numFmtId="0" fontId="37" fillId="21" borderId="0" applyNumberFormat="0" applyAlignment="0" applyProtection="0">
      <alignment vertical="center"/>
    </xf>
    <xf numFmtId="0" fontId="29" fillId="0" borderId="23" applyNumberFormat="0" applyAlignment="0" applyProtection="0">
      <alignment vertical="center"/>
      <protection locked="0"/>
    </xf>
    <xf numFmtId="0" fontId="38" fillId="0" borderId="0" applyNumberFormat="0" applyAlignment="0" applyProtection="0">
      <alignment vertical="center"/>
    </xf>
  </cellStyleXfs>
  <cellXfs count="235">
    <xf numFmtId="0" fontId="0" fillId="0" borderId="0" xfId="0">
      <alignment vertical="center"/>
    </xf>
    <xf numFmtId="0" fontId="0" fillId="0" borderId="0" xfId="0" applyFill="1">
      <alignment vertical="center"/>
    </xf>
    <xf numFmtId="0" fontId="4" fillId="0" borderId="0" xfId="4" applyFill="1" applyAlignment="1">
      <alignment horizontal="left"/>
    </xf>
    <xf numFmtId="0" fontId="0" fillId="0" borderId="0" xfId="0" applyAlignment="1">
      <alignment horizontal="left" vertical="center" wrapText="1" indent="1"/>
    </xf>
    <xf numFmtId="0" fontId="0" fillId="0" borderId="0" xfId="0" applyFont="1" applyAlignment="1">
      <alignment vertical="center"/>
    </xf>
    <xf numFmtId="0" fontId="2" fillId="0" borderId="0" xfId="0" applyFont="1" applyAlignment="1">
      <alignment vertical="center"/>
    </xf>
    <xf numFmtId="0" fontId="11" fillId="0" borderId="0" xfId="0" applyFont="1">
      <alignment vertical="center"/>
    </xf>
    <xf numFmtId="0" fontId="5" fillId="0" borderId="0" xfId="0" applyFont="1" applyAlignment="1">
      <alignment horizontal="left" vertical="center" wrapText="1" indent="1"/>
    </xf>
    <xf numFmtId="0" fontId="0" fillId="0" borderId="0" xfId="0" applyFill="1" applyBorder="1">
      <alignment vertical="center"/>
    </xf>
    <xf numFmtId="0" fontId="5" fillId="0" borderId="0" xfId="0" applyFont="1" applyAlignment="1">
      <alignment vertical="center"/>
    </xf>
    <xf numFmtId="0" fontId="5" fillId="0" borderId="0" xfId="0" applyFont="1">
      <alignment vertical="center"/>
    </xf>
    <xf numFmtId="0" fontId="0" fillId="0" borderId="0" xfId="0" applyFill="1">
      <alignment vertical="center"/>
    </xf>
    <xf numFmtId="0" fontId="6" fillId="0" borderId="0" xfId="0" applyFont="1" applyAlignment="1"/>
    <xf numFmtId="0" fontId="6" fillId="0" borderId="0" xfId="0" applyFont="1" applyAlignment="1">
      <alignment horizontal="right"/>
    </xf>
    <xf numFmtId="0" fontId="13" fillId="0" borderId="0" xfId="0" applyFont="1" applyFill="1" applyAlignment="1">
      <alignment vertical="center"/>
    </xf>
    <xf numFmtId="0" fontId="0" fillId="0" borderId="0" xfId="0" applyBorder="1">
      <alignment vertical="center"/>
    </xf>
    <xf numFmtId="0" fontId="0" fillId="0" borderId="0" xfId="0">
      <alignment vertical="center"/>
    </xf>
    <xf numFmtId="0" fontId="0" fillId="0" borderId="0" xfId="0" applyFont="1" applyAlignment="1">
      <alignment vertical="center"/>
    </xf>
    <xf numFmtId="0" fontId="12" fillId="0" borderId="0" xfId="18" applyAlignment="1">
      <alignment vertical="center"/>
    </xf>
    <xf numFmtId="0" fontId="15" fillId="0" borderId="0" xfId="18" applyFont="1" applyAlignment="1">
      <alignment vertical="center"/>
    </xf>
    <xf numFmtId="0" fontId="8" fillId="0" borderId="0" xfId="0" applyFont="1">
      <alignment vertical="center"/>
    </xf>
    <xf numFmtId="0" fontId="2" fillId="0" borderId="0" xfId="15">
      <alignment vertical="center"/>
    </xf>
    <xf numFmtId="0" fontId="0" fillId="7" borderId="0" xfId="0" applyFill="1">
      <alignment vertical="center"/>
    </xf>
    <xf numFmtId="0" fontId="16" fillId="0" borderId="0" xfId="0" applyFont="1">
      <alignment vertical="center"/>
    </xf>
    <xf numFmtId="0" fontId="18" fillId="0" borderId="0" xfId="24" applyFont="1" applyAlignment="1">
      <alignment horizontal="center" vertical="center"/>
    </xf>
    <xf numFmtId="169" fontId="0" fillId="0" borderId="0" xfId="0" applyNumberFormat="1">
      <alignment vertical="center"/>
    </xf>
    <xf numFmtId="170" fontId="0" fillId="0" borderId="0" xfId="0" applyNumberFormat="1">
      <alignment vertical="center"/>
    </xf>
    <xf numFmtId="8" fontId="0" fillId="0" borderId="0" xfId="0" applyNumberFormat="1">
      <alignment vertical="center"/>
    </xf>
    <xf numFmtId="1" fontId="0" fillId="0" borderId="0" xfId="0" applyNumberFormat="1">
      <alignment vertical="center"/>
    </xf>
    <xf numFmtId="0" fontId="16" fillId="0" borderId="0" xfId="15" applyFont="1">
      <alignment vertical="center"/>
    </xf>
    <xf numFmtId="14" fontId="0" fillId="0" borderId="0" xfId="0" applyNumberFormat="1" applyFont="1" applyAlignment="1">
      <alignment vertical="center"/>
    </xf>
    <xf numFmtId="6" fontId="0" fillId="0" borderId="0" xfId="0" applyNumberFormat="1">
      <alignment vertical="center"/>
    </xf>
    <xf numFmtId="0" fontId="15" fillId="0" borderId="0" xfId="18" applyFont="1" applyFill="1" applyBorder="1" applyAlignment="1">
      <alignment vertical="center"/>
    </xf>
    <xf numFmtId="0" fontId="21" fillId="0" borderId="0" xfId="0" applyFont="1">
      <alignment vertical="center"/>
    </xf>
    <xf numFmtId="169" fontId="5" fillId="0" borderId="0" xfId="0" applyNumberFormat="1" applyFont="1">
      <alignment vertical="center"/>
    </xf>
    <xf numFmtId="0" fontId="5" fillId="0" borderId="0" xfId="0" applyFont="1" applyAlignment="1">
      <alignment horizontal="right" vertical="center"/>
    </xf>
    <xf numFmtId="169" fontId="10" fillId="0" borderId="0" xfId="0" applyNumberFormat="1" applyFont="1">
      <alignment vertical="center"/>
    </xf>
    <xf numFmtId="0" fontId="8" fillId="0" borderId="0" xfId="0" applyFont="1" applyAlignment="1">
      <alignment vertical="center" wrapText="1"/>
    </xf>
    <xf numFmtId="0" fontId="2" fillId="0" borderId="0" xfId="23" applyFont="1" applyAlignment="1">
      <alignment vertical="center"/>
    </xf>
    <xf numFmtId="0" fontId="5" fillId="8" borderId="0" xfId="28">
      <alignment horizontal="center" vertical="top" wrapText="1"/>
    </xf>
    <xf numFmtId="0" fontId="14" fillId="0" borderId="0" xfId="2" applyNumberFormat="1">
      <alignment vertical="center"/>
    </xf>
    <xf numFmtId="0" fontId="4" fillId="0" borderId="6" xfId="4" applyFill="1" applyBorder="1">
      <alignment vertical="center"/>
    </xf>
    <xf numFmtId="0" fontId="2" fillId="0" borderId="6" xfId="29" applyBorder="1" applyAlignment="1">
      <alignment vertical="center"/>
    </xf>
    <xf numFmtId="0" fontId="23" fillId="0" borderId="4" xfId="30" applyFont="1" applyBorder="1" applyAlignment="1">
      <alignment vertical="center"/>
    </xf>
    <xf numFmtId="0" fontId="5" fillId="0" borderId="6" xfId="6" applyFill="1" applyBorder="1">
      <alignment vertical="center"/>
    </xf>
    <xf numFmtId="0" fontId="2" fillId="9" borderId="0" xfId="31">
      <alignment vertical="center"/>
    </xf>
    <xf numFmtId="173" fontId="2" fillId="0" borderId="7" xfId="16" applyNumberFormat="1" applyBorder="1">
      <alignment vertical="center"/>
      <protection locked="0"/>
    </xf>
    <xf numFmtId="173" fontId="2" fillId="0" borderId="7" xfId="32" applyNumberFormat="1" applyFont="1" applyFill="1" applyBorder="1" applyAlignment="1" applyProtection="1">
      <alignment vertical="center"/>
      <protection locked="0"/>
    </xf>
    <xf numFmtId="173" fontId="2" fillId="0" borderId="7" xfId="33" applyNumberFormat="1" applyFill="1" applyAlignment="1">
      <alignment vertical="center"/>
      <protection locked="0"/>
    </xf>
    <xf numFmtId="166" fontId="2" fillId="11" borderId="0" xfId="31" applyNumberFormat="1" applyFill="1" applyAlignment="1"/>
    <xf numFmtId="175" fontId="2" fillId="12" borderId="7" xfId="32" applyNumberFormat="1" applyFont="1" applyFill="1" applyBorder="1" applyAlignment="1" applyProtection="1">
      <alignment vertical="center"/>
    </xf>
    <xf numFmtId="173" fontId="2" fillId="0" borderId="7" xfId="12" applyNumberFormat="1" applyFont="1" applyFill="1" applyBorder="1" applyAlignment="1" applyProtection="1">
      <alignment vertical="center"/>
      <protection locked="0"/>
    </xf>
    <xf numFmtId="176" fontId="2" fillId="0" borderId="7" xfId="32" applyNumberFormat="1" applyFont="1" applyFill="1" applyBorder="1" applyAlignment="1" applyProtection="1">
      <alignment vertical="center"/>
      <protection locked="0"/>
    </xf>
    <xf numFmtId="173" fontId="2" fillId="0" borderId="8" xfId="34" applyNumberFormat="1" applyAlignment="1">
      <alignment vertical="center"/>
    </xf>
    <xf numFmtId="173" fontId="2" fillId="9" borderId="0" xfId="31" applyNumberFormat="1" applyAlignment="1">
      <alignment vertical="center"/>
    </xf>
    <xf numFmtId="173" fontId="2" fillId="9" borderId="9" xfId="31" applyNumberFormat="1" applyBorder="1" applyAlignment="1">
      <alignment vertical="center"/>
    </xf>
    <xf numFmtId="173" fontId="2" fillId="9" borderId="10" xfId="31" applyNumberFormat="1" applyBorder="1" applyAlignment="1">
      <alignment vertical="center"/>
    </xf>
    <xf numFmtId="173" fontId="2" fillId="0" borderId="7" xfId="16" applyNumberFormat="1" applyBorder="1" applyAlignment="1">
      <alignment vertical="center"/>
      <protection locked="0"/>
    </xf>
    <xf numFmtId="173" fontId="2" fillId="9" borderId="0" xfId="31" applyNumberFormat="1">
      <alignment vertical="center"/>
    </xf>
    <xf numFmtId="166" fontId="2" fillId="0" borderId="7" xfId="12" applyFont="1" applyFill="1" applyBorder="1" applyAlignment="1" applyProtection="1">
      <alignment vertical="center"/>
      <protection locked="0"/>
    </xf>
    <xf numFmtId="166" fontId="2" fillId="0" borderId="11" xfId="12" applyFont="1" applyFill="1" applyBorder="1" applyAlignment="1" applyProtection="1">
      <alignment vertical="center"/>
      <protection locked="0"/>
    </xf>
    <xf numFmtId="173" fontId="2" fillId="9" borderId="12" xfId="31" applyNumberFormat="1" applyBorder="1" applyAlignment="1">
      <alignment vertical="center"/>
    </xf>
    <xf numFmtId="173" fontId="2" fillId="0" borderId="11" xfId="12" applyNumberFormat="1" applyFont="1" applyFill="1" applyBorder="1" applyAlignment="1" applyProtection="1">
      <alignment vertical="center"/>
      <protection locked="0"/>
    </xf>
    <xf numFmtId="173" fontId="2" fillId="0" borderId="7" xfId="33" applyNumberFormat="1" applyFill="1">
      <alignment vertical="center"/>
      <protection locked="0"/>
    </xf>
    <xf numFmtId="173" fontId="2" fillId="0" borderId="7" xfId="35" applyNumberFormat="1" applyFont="1" applyFill="1" applyBorder="1" applyProtection="1">
      <alignment vertical="center"/>
      <protection locked="0"/>
    </xf>
    <xf numFmtId="173" fontId="2" fillId="9" borderId="12" xfId="31" applyNumberFormat="1" applyBorder="1">
      <alignment vertical="center"/>
    </xf>
    <xf numFmtId="173" fontId="2" fillId="9" borderId="9" xfId="31" applyNumberFormat="1" applyBorder="1">
      <alignment vertical="center"/>
    </xf>
    <xf numFmtId="166" fontId="2" fillId="0" borderId="7" xfId="35" applyFont="1" applyFill="1" applyBorder="1" applyProtection="1">
      <alignment vertical="center"/>
      <protection locked="0"/>
    </xf>
    <xf numFmtId="0" fontId="2" fillId="13" borderId="0" xfId="36" applyAlignment="1">
      <alignment vertical="center"/>
    </xf>
    <xf numFmtId="173" fontId="2" fillId="9" borderId="10" xfId="31" applyNumberFormat="1" applyBorder="1">
      <alignment vertical="center"/>
    </xf>
    <xf numFmtId="173" fontId="2" fillId="14" borderId="0" xfId="7" applyNumberFormat="1" applyFont="1" applyFill="1" applyBorder="1" applyAlignment="1">
      <alignment vertical="center"/>
    </xf>
    <xf numFmtId="0" fontId="2" fillId="0" borderId="7" xfId="33" applyNumberFormat="1" applyFill="1">
      <alignment vertical="center"/>
      <protection locked="0"/>
    </xf>
    <xf numFmtId="166" fontId="2" fillId="0" borderId="7" xfId="16" applyNumberFormat="1" applyBorder="1">
      <alignment vertical="center"/>
      <protection locked="0"/>
    </xf>
    <xf numFmtId="173" fontId="2" fillId="15" borderId="7" xfId="34" applyNumberFormat="1" applyFill="1" applyBorder="1">
      <alignment vertical="center"/>
    </xf>
    <xf numFmtId="0" fontId="22" fillId="0" borderId="0" xfId="27">
      <alignment vertical="center"/>
    </xf>
    <xf numFmtId="0" fontId="25" fillId="0" borderId="17" xfId="0" applyFont="1" applyBorder="1" applyAlignment="1">
      <alignment vertical="center" wrapText="1"/>
    </xf>
    <xf numFmtId="0" fontId="25" fillId="0" borderId="18"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6" fontId="24" fillId="0" borderId="15" xfId="0" applyNumberFormat="1" applyFont="1" applyBorder="1" applyAlignment="1">
      <alignment vertical="center" wrapText="1"/>
    </xf>
    <xf numFmtId="0" fontId="25" fillId="0" borderId="14" xfId="0" applyFont="1" applyBorder="1" applyAlignment="1">
      <alignment vertical="center" wrapText="1"/>
    </xf>
    <xf numFmtId="6" fontId="25" fillId="0" borderId="15" xfId="0" applyNumberFormat="1" applyFont="1" applyBorder="1" applyAlignment="1">
      <alignmen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172" fontId="24" fillId="0" borderId="15" xfId="0" applyNumberFormat="1" applyFont="1" applyBorder="1" applyAlignment="1">
      <alignment vertical="center" wrapText="1"/>
    </xf>
    <xf numFmtId="0" fontId="0" fillId="0" borderId="0" xfId="0" applyAlignment="1">
      <alignment horizontal="center" vertical="center"/>
    </xf>
    <xf numFmtId="2" fontId="24" fillId="0" borderId="15" xfId="0" applyNumberFormat="1" applyFont="1" applyBorder="1" applyAlignment="1">
      <alignment vertical="center" wrapText="1"/>
    </xf>
    <xf numFmtId="0" fontId="26" fillId="0" borderId="0" xfId="0" applyFont="1">
      <alignment vertical="center"/>
    </xf>
    <xf numFmtId="0" fontId="26" fillId="0" borderId="0" xfId="0" applyFont="1" applyAlignment="1">
      <alignment horizontal="left" vertical="center" wrapText="1" indent="1"/>
    </xf>
    <xf numFmtId="0" fontId="27" fillId="0" borderId="13" xfId="5" applyFont="1" applyBorder="1" applyAlignment="1">
      <alignment horizontal="left"/>
    </xf>
    <xf numFmtId="0" fontId="27" fillId="0" borderId="13" xfId="5" applyFont="1" applyBorder="1" applyAlignment="1"/>
    <xf numFmtId="0" fontId="26" fillId="0" borderId="13" xfId="0" applyFont="1" applyBorder="1">
      <alignment vertical="center"/>
    </xf>
    <xf numFmtId="0" fontId="26" fillId="17" borderId="13" xfId="0" applyFont="1" applyFill="1" applyBorder="1">
      <alignment vertical="center"/>
    </xf>
    <xf numFmtId="0" fontId="26" fillId="0" borderId="20" xfId="0" applyFont="1" applyBorder="1" applyAlignment="1">
      <alignment horizontal="center" vertical="center"/>
    </xf>
    <xf numFmtId="0" fontId="29" fillId="0" borderId="0" xfId="37">
      <alignment vertical="center"/>
    </xf>
    <xf numFmtId="0" fontId="6" fillId="0" borderId="0" xfId="37" applyFont="1" applyAlignment="1"/>
    <xf numFmtId="0" fontId="30" fillId="0" borderId="0" xfId="38" applyAlignment="1">
      <alignment horizontal="left"/>
    </xf>
    <xf numFmtId="0" fontId="31" fillId="0" borderId="0" xfId="39">
      <alignment vertical="center"/>
    </xf>
    <xf numFmtId="0" fontId="32" fillId="0" borderId="0" xfId="40" applyAlignment="1">
      <alignment vertical="center"/>
    </xf>
    <xf numFmtId="0" fontId="1" fillId="0" borderId="0" xfId="37" applyFont="1">
      <alignment vertical="center"/>
    </xf>
    <xf numFmtId="0" fontId="29" fillId="0" borderId="0" xfId="37" applyAlignment="1">
      <alignment horizontal="left" vertical="center" wrapText="1"/>
    </xf>
    <xf numFmtId="0" fontId="33" fillId="18" borderId="0" xfId="41">
      <alignment vertical="center"/>
    </xf>
    <xf numFmtId="164" fontId="29" fillId="0" borderId="0" xfId="37" applyNumberFormat="1">
      <alignment vertical="center"/>
    </xf>
    <xf numFmtId="0" fontId="34" fillId="18" borderId="0" xfId="42">
      <alignment vertical="center"/>
      <protection locked="0"/>
    </xf>
    <xf numFmtId="0" fontId="33" fillId="19" borderId="0" xfId="43">
      <alignment vertical="center"/>
    </xf>
    <xf numFmtId="0" fontId="34" fillId="19" borderId="0" xfId="44">
      <alignment vertical="center"/>
    </xf>
    <xf numFmtId="0" fontId="34" fillId="6" borderId="3" xfId="45">
      <alignment vertical="center"/>
    </xf>
    <xf numFmtId="177" fontId="34" fillId="6" borderId="3" xfId="46">
      <alignment vertical="center"/>
    </xf>
    <xf numFmtId="0" fontId="29" fillId="0" borderId="22" xfId="37" applyBorder="1">
      <alignment vertical="center"/>
    </xf>
    <xf numFmtId="0" fontId="35" fillId="0" borderId="0" xfId="47">
      <alignment vertical="center"/>
    </xf>
    <xf numFmtId="0" fontId="2" fillId="17" borderId="0" xfId="48">
      <alignment vertical="center"/>
    </xf>
    <xf numFmtId="0" fontId="33" fillId="20" borderId="0" xfId="49">
      <alignment vertical="center"/>
    </xf>
    <xf numFmtId="0" fontId="0" fillId="2" borderId="0" xfId="7" applyFont="1">
      <alignment vertical="center"/>
    </xf>
    <xf numFmtId="0" fontId="0" fillId="5" borderId="0" xfId="50" applyFont="1">
      <alignment vertical="center"/>
    </xf>
    <xf numFmtId="0" fontId="36" fillId="0" borderId="0" xfId="51">
      <alignment vertical="center"/>
    </xf>
    <xf numFmtId="0" fontId="0" fillId="0" borderId="0" xfId="52" applyFont="1">
      <alignment vertical="center"/>
    </xf>
    <xf numFmtId="0" fontId="37" fillId="21" borderId="0" xfId="53">
      <alignment vertical="center"/>
    </xf>
    <xf numFmtId="0" fontId="29" fillId="0" borderId="24" xfId="54" applyBorder="1" applyProtection="1">
      <alignment vertical="center"/>
    </xf>
    <xf numFmtId="0" fontId="29" fillId="0" borderId="25" xfId="54" applyBorder="1" applyProtection="1">
      <alignment vertical="center"/>
    </xf>
    <xf numFmtId="164" fontId="38" fillId="0" borderId="0" xfId="55" applyNumberFormat="1">
      <alignment vertical="center"/>
    </xf>
    <xf numFmtId="0" fontId="5" fillId="0" borderId="0" xfId="37" applyFont="1" applyAlignment="1">
      <alignment horizontal="left" vertical="center" wrapText="1"/>
    </xf>
    <xf numFmtId="0" fontId="39" fillId="0" borderId="0" xfId="0" applyFont="1" applyFill="1">
      <alignment vertical="center"/>
    </xf>
    <xf numFmtId="0" fontId="26" fillId="0" borderId="0" xfId="0" applyFont="1" applyFill="1">
      <alignment vertical="center"/>
    </xf>
    <xf numFmtId="0" fontId="26" fillId="0" borderId="0" xfId="0" applyFont="1" applyBorder="1">
      <alignment vertical="center"/>
    </xf>
    <xf numFmtId="167" fontId="26" fillId="0" borderId="0" xfId="17" applyNumberFormat="1" applyFont="1" applyBorder="1">
      <alignment vertical="center"/>
      <protection locked="0"/>
    </xf>
    <xf numFmtId="0" fontId="41" fillId="0" borderId="0" xfId="18" applyFont="1" applyFill="1" applyBorder="1" applyAlignment="1">
      <alignment vertical="center"/>
    </xf>
    <xf numFmtId="0" fontId="42" fillId="0" borderId="0" xfId="18" applyFont="1" applyFill="1" applyBorder="1" applyAlignment="1">
      <alignment vertical="center"/>
    </xf>
    <xf numFmtId="0" fontId="42" fillId="0" borderId="0" xfId="18" applyFont="1" applyAlignment="1">
      <alignment vertical="center"/>
    </xf>
    <xf numFmtId="0" fontId="27" fillId="0" borderId="0" xfId="0" applyFont="1">
      <alignment vertical="center"/>
    </xf>
    <xf numFmtId="2" fontId="26" fillId="0" borderId="0" xfId="0" applyNumberFormat="1" applyFont="1">
      <alignment vertical="center"/>
    </xf>
    <xf numFmtId="0" fontId="26" fillId="0" borderId="0" xfId="17" applyFont="1" applyBorder="1">
      <alignment vertical="center"/>
      <protection locked="0"/>
    </xf>
    <xf numFmtId="0" fontId="40" fillId="0" borderId="0" xfId="0" applyFont="1">
      <alignment vertical="center"/>
    </xf>
    <xf numFmtId="167" fontId="26" fillId="0" borderId="0" xfId="0" applyNumberFormat="1" applyFont="1" applyBorder="1">
      <alignment vertical="center"/>
    </xf>
    <xf numFmtId="2" fontId="26" fillId="0" borderId="0" xfId="0" applyNumberFormat="1" applyFont="1" applyBorder="1">
      <alignment vertical="center"/>
    </xf>
    <xf numFmtId="42" fontId="26" fillId="0" borderId="0" xfId="17" applyNumberFormat="1" applyFont="1" applyBorder="1">
      <alignment vertical="center"/>
      <protection locked="0"/>
    </xf>
    <xf numFmtId="0" fontId="43" fillId="0" borderId="0" xfId="0" applyFont="1">
      <alignment vertical="center"/>
    </xf>
    <xf numFmtId="0" fontId="44" fillId="0" borderId="0" xfId="27" applyFont="1">
      <alignment vertical="center"/>
    </xf>
    <xf numFmtId="170" fontId="45" fillId="18" borderId="0" xfId="26" applyNumberFormat="1" applyFont="1" applyFill="1" applyAlignment="1">
      <alignment vertical="center"/>
    </xf>
    <xf numFmtId="0" fontId="46" fillId="0" borderId="0" xfId="18" applyFont="1" applyAlignment="1">
      <alignment vertical="center"/>
    </xf>
    <xf numFmtId="0" fontId="47" fillId="0" borderId="0" xfId="5" applyFont="1" applyAlignment="1">
      <alignment vertical="center"/>
    </xf>
    <xf numFmtId="0" fontId="43" fillId="0" borderId="0" xfId="15" applyFont="1">
      <alignment vertical="center"/>
    </xf>
    <xf numFmtId="0" fontId="45" fillId="18" borderId="0" xfId="26" applyNumberFormat="1" applyFont="1" applyFill="1" applyAlignment="1">
      <alignment vertical="center"/>
    </xf>
    <xf numFmtId="9" fontId="45" fillId="18" borderId="0" xfId="25" applyFont="1" applyFill="1" applyAlignment="1">
      <alignment vertical="center"/>
    </xf>
    <xf numFmtId="9" fontId="33" fillId="19" borderId="0" xfId="25" applyFont="1" applyFill="1" applyAlignment="1">
      <alignment vertical="center"/>
    </xf>
    <xf numFmtId="9" fontId="45" fillId="19" borderId="0" xfId="25" applyFont="1" applyFill="1" applyAlignment="1">
      <alignment vertical="center"/>
    </xf>
    <xf numFmtId="168" fontId="45" fillId="19" borderId="0" xfId="25" applyNumberFormat="1" applyFont="1" applyFill="1" applyAlignment="1">
      <alignment vertical="center"/>
    </xf>
    <xf numFmtId="0" fontId="45" fillId="18" borderId="0" xfId="41" applyFont="1">
      <alignment vertical="center"/>
    </xf>
    <xf numFmtId="0" fontId="48" fillId="18" borderId="0" xfId="42" applyFont="1">
      <alignment vertical="center"/>
      <protection locked="0"/>
    </xf>
    <xf numFmtId="2" fontId="45" fillId="20" borderId="0" xfId="49" applyNumberFormat="1" applyFont="1">
      <alignment vertical="center"/>
    </xf>
    <xf numFmtId="0" fontId="49" fillId="0" borderId="0" xfId="0" applyFont="1">
      <alignment vertical="center"/>
    </xf>
    <xf numFmtId="168" fontId="43" fillId="0" borderId="22" xfId="25" applyNumberFormat="1" applyFont="1" applyBorder="1" applyAlignment="1">
      <alignment vertical="center"/>
    </xf>
    <xf numFmtId="168" fontId="43" fillId="0" borderId="26" xfId="25" applyNumberFormat="1" applyFont="1" applyBorder="1" applyAlignment="1">
      <alignment vertical="center"/>
    </xf>
    <xf numFmtId="168" fontId="43" fillId="0" borderId="27" xfId="25" applyNumberFormat="1" applyFont="1" applyBorder="1" applyAlignment="1">
      <alignment vertical="center"/>
    </xf>
    <xf numFmtId="2" fontId="43" fillId="0" borderId="0" xfId="0" applyNumberFormat="1" applyFont="1">
      <alignment vertical="center"/>
    </xf>
    <xf numFmtId="0" fontId="47" fillId="0" borderId="0" xfId="0" applyFont="1">
      <alignment vertical="center"/>
    </xf>
    <xf numFmtId="0" fontId="50" fillId="0" borderId="0" xfId="2" applyNumberFormat="1" applyFont="1">
      <alignment vertical="center"/>
    </xf>
    <xf numFmtId="0" fontId="43" fillId="0" borderId="0" xfId="31" applyFont="1" applyFill="1">
      <alignment vertical="center"/>
    </xf>
    <xf numFmtId="168" fontId="43" fillId="0" borderId="0" xfId="25" applyNumberFormat="1" applyFont="1" applyAlignment="1">
      <alignment vertical="center"/>
    </xf>
    <xf numFmtId="0" fontId="17" fillId="0" borderId="0" xfId="0" applyFont="1">
      <alignment vertical="center"/>
    </xf>
    <xf numFmtId="164" fontId="51" fillId="0" borderId="0" xfId="55" applyNumberFormat="1" applyFont="1">
      <alignment vertical="center"/>
    </xf>
    <xf numFmtId="0" fontId="43" fillId="0" borderId="0" xfId="0" applyFont="1" applyFill="1" applyBorder="1">
      <alignment vertical="center"/>
    </xf>
    <xf numFmtId="0" fontId="47" fillId="0" borderId="0" xfId="0" applyFont="1" applyAlignment="1">
      <alignment vertical="center" wrapText="1"/>
    </xf>
    <xf numFmtId="0" fontId="43" fillId="0" borderId="0" xfId="15" applyFont="1" applyAlignment="1">
      <alignment vertical="center" wrapText="1"/>
    </xf>
    <xf numFmtId="0" fontId="47" fillId="0" borderId="0" xfId="15" applyFont="1" applyFill="1" applyAlignment="1">
      <alignment horizontal="center" vertical="center" wrapText="1"/>
    </xf>
    <xf numFmtId="0" fontId="43" fillId="0" borderId="0" xfId="0" applyFont="1" applyAlignment="1">
      <alignment horizontal="center" vertical="center" wrapText="1"/>
    </xf>
    <xf numFmtId="0" fontId="47" fillId="0" borderId="0" xfId="15" applyFont="1" applyAlignment="1">
      <alignment vertical="center" wrapText="1"/>
    </xf>
    <xf numFmtId="0" fontId="47" fillId="0" borderId="0" xfId="15" applyFont="1">
      <alignment vertical="center"/>
    </xf>
    <xf numFmtId="169" fontId="33" fillId="19" borderId="0" xfId="26" applyNumberFormat="1" applyFont="1" applyFill="1" applyAlignment="1">
      <alignment vertical="center"/>
    </xf>
    <xf numFmtId="169" fontId="29" fillId="0" borderId="22" xfId="37" applyNumberFormat="1" applyBorder="1">
      <alignment vertical="center"/>
    </xf>
    <xf numFmtId="169" fontId="45" fillId="20" borderId="0" xfId="49" applyNumberFormat="1" applyFont="1">
      <alignment vertical="center"/>
    </xf>
    <xf numFmtId="0" fontId="33" fillId="19" borderId="0" xfId="25" applyNumberFormat="1" applyFont="1" applyFill="1" applyAlignment="1">
      <alignment vertical="center"/>
    </xf>
    <xf numFmtId="0" fontId="29" fillId="0" borderId="22" xfId="37" applyNumberFormat="1" applyBorder="1">
      <alignment vertical="center"/>
    </xf>
    <xf numFmtId="0" fontId="31" fillId="0" borderId="0" xfId="18" applyFont="1" applyAlignment="1">
      <alignment vertical="center"/>
    </xf>
    <xf numFmtId="8" fontId="43" fillId="0" borderId="0" xfId="0" applyNumberFormat="1" applyFont="1">
      <alignment vertical="center"/>
    </xf>
    <xf numFmtId="0" fontId="46" fillId="0" borderId="0" xfId="18" applyFont="1" applyFill="1" applyBorder="1" applyAlignment="1">
      <alignment vertical="center"/>
    </xf>
    <xf numFmtId="9" fontId="43" fillId="0" borderId="0" xfId="0" applyNumberFormat="1" applyFont="1" applyFill="1" applyBorder="1">
      <alignment vertical="center"/>
    </xf>
    <xf numFmtId="6" fontId="43" fillId="0" borderId="0" xfId="0" applyNumberFormat="1" applyFont="1">
      <alignment vertical="center"/>
    </xf>
    <xf numFmtId="1" fontId="43" fillId="0" borderId="0" xfId="0" applyNumberFormat="1" applyFont="1">
      <alignment vertical="center"/>
    </xf>
    <xf numFmtId="0" fontId="52" fillId="0" borderId="0" xfId="24" applyFont="1" applyAlignment="1">
      <alignment horizontal="center" vertical="center"/>
    </xf>
    <xf numFmtId="0" fontId="53" fillId="0" borderId="0" xfId="0" applyFont="1">
      <alignment vertical="center"/>
    </xf>
    <xf numFmtId="169" fontId="43" fillId="0" borderId="0" xfId="0" applyNumberFormat="1" applyFont="1">
      <alignment vertical="center"/>
    </xf>
    <xf numFmtId="169" fontId="54" fillId="0" borderId="0" xfId="0" applyNumberFormat="1" applyFont="1" applyAlignment="1">
      <alignment horizontal="right" vertical="center"/>
    </xf>
    <xf numFmtId="0" fontId="54" fillId="0" borderId="0" xfId="0" applyFont="1" applyAlignment="1">
      <alignment horizontal="right" vertical="center"/>
    </xf>
    <xf numFmtId="0" fontId="43" fillId="0" borderId="0" xfId="0" applyFont="1" applyAlignment="1">
      <alignment horizontal="right" vertical="center"/>
    </xf>
    <xf numFmtId="169" fontId="43" fillId="0" borderId="0" xfId="0" applyNumberFormat="1" applyFont="1" applyAlignment="1">
      <alignment horizontal="right" vertical="center"/>
    </xf>
    <xf numFmtId="170" fontId="43" fillId="0" borderId="0" xfId="0" applyNumberFormat="1" applyFont="1">
      <alignment vertical="center"/>
    </xf>
    <xf numFmtId="0" fontId="43" fillId="0" borderId="0" xfId="0" applyFont="1" applyAlignment="1">
      <alignment horizontal="center" vertical="center"/>
    </xf>
    <xf numFmtId="0" fontId="55" fillId="0" borderId="0" xfId="15" applyFont="1">
      <alignment vertical="center"/>
    </xf>
    <xf numFmtId="168" fontId="45" fillId="18" borderId="0" xfId="25" applyNumberFormat="1" applyFont="1" applyFill="1" applyAlignment="1">
      <alignment vertical="center"/>
    </xf>
    <xf numFmtId="0" fontId="43" fillId="0" borderId="13" xfId="17" applyFont="1" applyBorder="1">
      <alignment vertical="center"/>
      <protection locked="0"/>
    </xf>
    <xf numFmtId="0" fontId="43" fillId="0" borderId="28" xfId="17" applyFont="1" applyBorder="1" applyAlignment="1">
      <alignment horizontal="center" vertical="center"/>
      <protection locked="0"/>
    </xf>
    <xf numFmtId="169" fontId="45" fillId="19" borderId="0" xfId="26" applyNumberFormat="1" applyFont="1" applyFill="1" applyAlignment="1">
      <alignment vertical="center"/>
    </xf>
    <xf numFmtId="0" fontId="45" fillId="19" borderId="0" xfId="25" applyNumberFormat="1" applyFont="1" applyFill="1" applyAlignment="1">
      <alignment vertical="center"/>
    </xf>
    <xf numFmtId="2" fontId="43" fillId="0" borderId="21" xfId="37" applyNumberFormat="1" applyFont="1" applyBorder="1">
      <alignment vertical="center"/>
    </xf>
    <xf numFmtId="2" fontId="43" fillId="0" borderId="13" xfId="37" applyNumberFormat="1" applyFont="1" applyBorder="1">
      <alignment vertical="center"/>
    </xf>
    <xf numFmtId="0" fontId="43" fillId="0" borderId="13" xfId="37" applyNumberFormat="1" applyFont="1" applyBorder="1">
      <alignment vertical="center"/>
    </xf>
    <xf numFmtId="169" fontId="43" fillId="0" borderId="21" xfId="37" applyNumberFormat="1" applyFont="1" applyBorder="1">
      <alignment vertical="center"/>
    </xf>
    <xf numFmtId="0" fontId="54" fillId="0" borderId="0" xfId="0" applyFont="1">
      <alignment vertical="center"/>
    </xf>
    <xf numFmtId="0" fontId="56" fillId="0" borderId="0" xfId="0" applyFont="1">
      <alignment vertical="center"/>
    </xf>
    <xf numFmtId="169" fontId="43" fillId="0" borderId="0" xfId="16" applyNumberFormat="1" applyFont="1" applyBorder="1">
      <alignment vertical="center"/>
      <protection locked="0"/>
    </xf>
    <xf numFmtId="169" fontId="43" fillId="16" borderId="0" xfId="16" applyNumberFormat="1" applyFont="1" applyFill="1" applyBorder="1">
      <alignment vertical="center"/>
      <protection locked="0"/>
    </xf>
    <xf numFmtId="169" fontId="43" fillId="0" borderId="0" xfId="16" applyNumberFormat="1" applyFont="1" applyFill="1" applyBorder="1">
      <alignment vertical="center"/>
      <protection locked="0"/>
    </xf>
    <xf numFmtId="169" fontId="43" fillId="0" borderId="0" xfId="17" applyNumberFormat="1" applyFont="1" applyBorder="1" applyAlignment="1">
      <alignment horizontal="right" vertical="center"/>
      <protection locked="0"/>
    </xf>
    <xf numFmtId="0" fontId="55" fillId="0" borderId="0" xfId="0" applyFont="1">
      <alignment vertical="center"/>
    </xf>
    <xf numFmtId="0" fontId="54" fillId="0" borderId="0" xfId="0" applyFont="1" applyAlignment="1">
      <alignment vertical="center" wrapText="1"/>
    </xf>
    <xf numFmtId="169" fontId="49" fillId="0" borderId="0" xfId="0" applyNumberFormat="1" applyFont="1">
      <alignment vertical="center"/>
    </xf>
    <xf numFmtId="169" fontId="43" fillId="0" borderId="0" xfId="19" applyNumberFormat="1" applyFont="1" applyFill="1">
      <alignment vertical="center"/>
    </xf>
    <xf numFmtId="0" fontId="47" fillId="0" borderId="16" xfId="0" applyFont="1" applyBorder="1" applyAlignment="1">
      <alignment vertical="center" wrapText="1"/>
    </xf>
    <xf numFmtId="46" fontId="43" fillId="0" borderId="0" xfId="0" applyNumberFormat="1" applyFont="1">
      <alignment vertical="center"/>
    </xf>
    <xf numFmtId="9" fontId="43" fillId="0" borderId="0" xfId="16" applyNumberFormat="1" applyFont="1" applyBorder="1">
      <alignment vertical="center"/>
      <protection locked="0"/>
    </xf>
    <xf numFmtId="9" fontId="34" fillId="18" borderId="0" xfId="25" applyFont="1" applyFill="1" applyAlignment="1" applyProtection="1">
      <alignment vertical="center"/>
      <protection locked="0"/>
    </xf>
    <xf numFmtId="169" fontId="34" fillId="18" borderId="0" xfId="25" applyNumberFormat="1" applyFont="1" applyFill="1" applyAlignment="1" applyProtection="1">
      <alignment vertical="center"/>
      <protection locked="0"/>
    </xf>
    <xf numFmtId="0" fontId="0" fillId="0" borderId="0" xfId="0" applyProtection="1">
      <alignment vertical="center"/>
    </xf>
    <xf numFmtId="0" fontId="19" fillId="0" borderId="13" xfId="0" applyFont="1" applyFill="1" applyBorder="1" applyAlignment="1" applyProtection="1">
      <alignment horizontal="left" wrapText="1" readingOrder="1"/>
    </xf>
    <xf numFmtId="0" fontId="20" fillId="0" borderId="13" xfId="0" applyFont="1" applyFill="1" applyBorder="1" applyAlignment="1" applyProtection="1">
      <alignment horizontal="left" wrapText="1" readingOrder="1"/>
    </xf>
    <xf numFmtId="171" fontId="0" fillId="0" borderId="13" xfId="26" applyNumberFormat="1" applyFont="1" applyFill="1" applyBorder="1" applyAlignment="1" applyProtection="1">
      <alignment vertical="center"/>
    </xf>
    <xf numFmtId="0" fontId="0" fillId="0" borderId="0" xfId="0" applyAlignment="1" applyProtection="1">
      <alignment vertical="center" wrapText="1"/>
    </xf>
    <xf numFmtId="0" fontId="21" fillId="0" borderId="0" xfId="0" applyFont="1" applyProtection="1">
      <alignment vertical="center"/>
    </xf>
    <xf numFmtId="0" fontId="34" fillId="18" borderId="0" xfId="25" applyNumberFormat="1" applyFont="1" applyFill="1" applyAlignment="1" applyProtection="1">
      <alignment vertical="center"/>
      <protection locked="0"/>
    </xf>
    <xf numFmtId="43" fontId="0" fillId="0" borderId="13" xfId="26" applyNumberFormat="1" applyFont="1" applyFill="1" applyBorder="1" applyAlignment="1" applyProtection="1">
      <alignment vertical="center"/>
    </xf>
    <xf numFmtId="0" fontId="24" fillId="0" borderId="18" xfId="0" applyFont="1" applyFill="1" applyBorder="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17" borderId="19" xfId="0" applyFont="1" applyFill="1" applyBorder="1" applyAlignment="1">
      <alignment horizontal="center" vertical="center"/>
    </xf>
    <xf numFmtId="0" fontId="26" fillId="17" borderId="20" xfId="0" applyFont="1" applyFill="1" applyBorder="1" applyAlignment="1">
      <alignment horizontal="center" vertical="center"/>
    </xf>
    <xf numFmtId="0" fontId="0" fillId="0" borderId="20" xfId="0" applyBorder="1" applyAlignment="1">
      <alignment horizontal="center" vertical="center"/>
    </xf>
    <xf numFmtId="0" fontId="26" fillId="0" borderId="0" xfId="0" applyFont="1" applyAlignment="1">
      <alignment horizontal="left" vertical="center"/>
    </xf>
    <xf numFmtId="0" fontId="47" fillId="0" borderId="0" xfId="15" applyFont="1" applyFill="1" applyAlignment="1">
      <alignment horizontal="center" vertical="center" wrapText="1"/>
    </xf>
    <xf numFmtId="0" fontId="43" fillId="0" borderId="0" xfId="0" applyFont="1" applyAlignment="1">
      <alignment horizontal="center" vertical="center" wrapText="1"/>
    </xf>
    <xf numFmtId="0" fontId="43" fillId="0" borderId="0" xfId="0" applyFont="1" applyBorder="1" applyAlignment="1">
      <alignment horizontal="center" vertical="center"/>
    </xf>
    <xf numFmtId="0" fontId="43" fillId="0" borderId="0" xfId="0" applyFont="1" applyAlignment="1">
      <alignment horizontal="center" vertical="center"/>
    </xf>
    <xf numFmtId="0" fontId="43" fillId="0" borderId="5" xfId="0" applyFont="1" applyBorder="1" applyAlignment="1">
      <alignment horizontal="center" vertical="center"/>
    </xf>
    <xf numFmtId="0" fontId="0" fillId="0" borderId="5" xfId="0" applyBorder="1" applyAlignment="1">
      <alignment horizontal="center" vertical="center"/>
    </xf>
  </cellXfs>
  <cellStyles count="56">
    <cellStyle name="%" xfId="29" xr:uid="{6146ACDE-CDE0-4AE1-95D8-5EC7A8449606}"/>
    <cellStyle name="Calculation" xfId="1" builtinId="22" customBuiltin="1"/>
    <cellStyle name="Check fail" xfId="53" xr:uid="{3BF05E9B-69BA-4D32-9F30-A82573E4C000}"/>
    <cellStyle name="Check pass" xfId="51" xr:uid="{EA88BC6F-A19D-4082-9110-EA9F7AE88240}"/>
    <cellStyle name="Checksum" xfId="2" xr:uid="{00000000-0005-0000-0000-000001000000}"/>
    <cellStyle name="Column label" xfId="28" xr:uid="{9C957D59-D411-4AD8-94F9-DBA1B2191917}"/>
    <cellStyle name="Comma" xfId="26" builtinId="3"/>
    <cellStyle name="Confidential" xfId="45" xr:uid="{C5E91609-76A9-4E17-BD90-B6DEFFC3C5D7}"/>
    <cellStyle name="Feed external" xfId="44" xr:uid="{AA95ECF5-FA82-4F27-98AB-01357AC52F23}"/>
    <cellStyle name="Feed internal" xfId="43" xr:uid="{3C2937CD-D03C-4446-BB2B-E583F8C58029}"/>
    <cellStyle name="H1" xfId="3" xr:uid="{00000000-0005-0000-0000-000002000000}"/>
    <cellStyle name="H1 2" xfId="38" xr:uid="{08235F5A-C1B1-484F-953E-ECE029B0B82F}"/>
    <cellStyle name="H2" xfId="4" xr:uid="{00000000-0005-0000-0000-000003000000}"/>
    <cellStyle name="H3" xfId="5" xr:uid="{00000000-0005-0000-0000-000004000000}"/>
    <cellStyle name="H3 2" xfId="40" xr:uid="{0E9F291A-77BC-4F2A-8736-436D6CC80C6C}"/>
    <cellStyle name="H4" xfId="6" xr:uid="{00000000-0005-0000-0000-000005000000}"/>
    <cellStyle name="Highlight" xfId="7" xr:uid="{00000000-0005-0000-0000-000006000000}"/>
    <cellStyle name="Hyperlink" xfId="27" builtinId="8"/>
    <cellStyle name="Input assumption or parameter" xfId="42" xr:uid="{A25392D1-69AD-4971-9517-400F2BEA5A47}"/>
    <cellStyle name="Input calculation" xfId="34" xr:uid="{4B271165-84F4-4C5A-B8FF-3B891ED320D8}"/>
    <cellStyle name="Input data" xfId="16" xr:uid="{00000000-0005-0000-0000-000007000000}"/>
    <cellStyle name="Input data 2" xfId="41" xr:uid="{0FF891AB-02D4-4E12-BB0C-BA0B0A572403}"/>
    <cellStyle name="Input estimate" xfId="33" xr:uid="{370BBF44-0FF9-46F5-B464-41B0700C5A1A}"/>
    <cellStyle name="Input link" xfId="31" xr:uid="{E9C0EDDC-8516-490E-985D-888F890623EE}"/>
    <cellStyle name="Input link (different workbook)" xfId="36" xr:uid="{44E9BC5D-36C2-4A74-989F-7FCC7C4408DD}"/>
    <cellStyle name="Input parameter" xfId="17" xr:uid="{00000000-0005-0000-0000-000008000000}"/>
    <cellStyle name="Intentionally blank" xfId="48" xr:uid="{8820BE7C-3CF5-4951-93B6-3536E394236B}"/>
    <cellStyle name="Model logic" xfId="47" xr:uid="{8B4839FA-C74B-42AB-8F0F-A2E9F09B928A}"/>
    <cellStyle name="Name" xfId="8" xr:uid="{00000000-0005-0000-0000-000009000000}"/>
    <cellStyle name="Named range" xfId="54" xr:uid="{85A04F53-26EC-4D19-BB74-18FF6A9F00C8}"/>
    <cellStyle name="Normal" xfId="0" builtinId="0"/>
    <cellStyle name="Normal 15" xfId="30" xr:uid="{F0F2CFB8-DF90-43D2-9E5B-6B80A4D59507}"/>
    <cellStyle name="Normal 2" xfId="23" xr:uid="{00000000-0005-0000-0000-000043000000}"/>
    <cellStyle name="Normal 2 2" xfId="24" xr:uid="{19D5A6AF-30BC-4ECA-ACB5-0D19AF4B30A0}"/>
    <cellStyle name="Normal 7" xfId="37" xr:uid="{7BF3080C-6ABC-4B0E-B58F-1CF843416CAE}"/>
    <cellStyle name="Note" xfId="9" builtinId="10" customBuiltin="1"/>
    <cellStyle name="Note or source" xfId="39" xr:uid="{7C359195-048D-4218-AD16-D80EBB6B4B4E}"/>
    <cellStyle name="NoteOrSource" xfId="18" xr:uid="{00000000-0005-0000-0000-00000C000000}"/>
    <cellStyle name="Number" xfId="10" xr:uid="{00000000-0005-0000-0000-00000D000000}"/>
    <cellStyle name="Ofcom Note" xfId="21" xr:uid="{00000000-0005-0000-0000-00000E000000}"/>
    <cellStyle name="Ofcom Output" xfId="19" xr:uid="{00000000-0005-0000-0000-00000F000000}"/>
    <cellStyle name="OfcomConfidential" xfId="22" xr:uid="{00000000-0005-0000-0000-000010000000}"/>
    <cellStyle name="Output" xfId="11" builtinId="21" customBuiltin="1"/>
    <cellStyle name="Output oet2017" xfId="49" xr:uid="{3FA3EBED-272A-47B1-8C13-377DB45EEA4D}"/>
    <cellStyle name="Percent" xfId="25" builtinId="5"/>
    <cellStyle name="Percent 2" xfId="35" xr:uid="{F971A7FF-4829-4B44-BA35-7901C3555BAF}"/>
    <cellStyle name="Percentage" xfId="12" xr:uid="{00000000-0005-0000-0000-000012000000}"/>
    <cellStyle name="Percentage (2dp)" xfId="32" xr:uid="{13601E19-0E91-4953-8AD9-4EAF9C25EE30}"/>
    <cellStyle name="QA highlight" xfId="50" xr:uid="{EFF653F8-B134-4594-83C5-6925C1056E18}"/>
    <cellStyle name="QA_Highlight" xfId="20" xr:uid="{00000000-0005-0000-0000-000013000000}"/>
    <cellStyle name="Randomized" xfId="46" xr:uid="{ECD97EE5-CCD9-46AF-9F02-52F7AB0A7A14}"/>
    <cellStyle name="Range name" xfId="55" xr:uid="{B08464DE-587A-46B5-BD6D-E2CED1FFD630}"/>
    <cellStyle name="Source" xfId="13" xr:uid="{00000000-0005-0000-0000-000014000000}"/>
    <cellStyle name="Total" xfId="14" builtinId="25" customBuiltin="1"/>
    <cellStyle name="Unhighlight" xfId="15" xr:uid="{00000000-0005-0000-0000-000016000000}"/>
    <cellStyle name="Unhighlight 2" xfId="52" xr:uid="{8A95AEE4-7B61-48E5-A856-A208CDA4A1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A0A0A0"/>
      <rgbColor rgb="00E4E4E4"/>
      <rgbColor rgb="007B7B7B"/>
      <rgbColor rgb="00C8C8C8"/>
      <rgbColor rgb="00565656"/>
      <rgbColor rgb="00FAFAFA"/>
      <rgbColor rgb="00323232"/>
      <rgbColor rgb="00000000"/>
      <rgbColor rgb="00660066"/>
      <rgbColor rgb="00E3738F"/>
      <rgbColor rgb="00CAA6CA"/>
      <rgbColor rgb="00CC0033"/>
      <rgbColor rgb="009B599B"/>
      <rgbColor rgb="00F2BFCC"/>
      <rgbColor rgb="00853385"/>
      <rgbColor rgb="00EB99AD"/>
      <rgbColor rgb="00E8D9E8"/>
      <rgbColor rgb="00DB4C70"/>
      <rgbColor rgb="00B27FB2"/>
      <rgbColor rgb="00FAE5EA"/>
      <rgbColor rgb="00FAE5EA"/>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FFF200"/>
      <color rgb="FFF7941D"/>
      <color rgb="FFFFCC00"/>
      <color rgb="FFC90044"/>
      <color rgb="FF00FFFF"/>
      <color rgb="FF969696"/>
      <color rgb="FF660066"/>
      <color rgb="FFE8D9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attachedToolbars" Target="attachedToolbars.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628650</xdr:colOff>
      <xdr:row>2</xdr:row>
      <xdr:rowOff>19050</xdr:rowOff>
    </xdr:to>
    <xdr:pic>
      <xdr:nvPicPr>
        <xdr:cNvPr id="5188" name="Picture 66">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150" y="57150"/>
          <a:ext cx="2200275" cy="6477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9526</xdr:rowOff>
    </xdr:from>
    <xdr:to>
      <xdr:col>1</xdr:col>
      <xdr:colOff>2057400</xdr:colOff>
      <xdr:row>2</xdr:row>
      <xdr:rowOff>19051</xdr:rowOff>
    </xdr:to>
    <xdr:pic>
      <xdr:nvPicPr>
        <xdr:cNvPr id="2" name="Picture 1" descr="image003">
          <a:extLst>
            <a:ext uri="{FF2B5EF4-FFF2-40B4-BE49-F238E27FC236}">
              <a16:creationId xmlns:a16="http://schemas.microsoft.com/office/drawing/2014/main" id="{1788E618-EE2C-4536-BB6E-AD58AAC03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6"/>
          <a:ext cx="2243138"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ssets.publishing.service.gov.uk/government/uploads/system/uploads/attachment_data/file/938046/The_Green_Book_2020.pdf" TargetMode="External"/><Relationship Id="rId1" Type="http://schemas.openxmlformats.org/officeDocument/2006/relationships/hyperlink" Target="https://www.ofcom.org.uk/__data/assets/pdf_file/0029/216794/statement-2021-26-wholesale-voice-markets-review.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fcom.org.uk/__data/assets/pdf_file/0030/79464/plum_report.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com.org.uk/__data/assets/file/0028/216793/mct-model-2021-26-wholesale-voice-markets-review.zip" TargetMode="External"/><Relationship Id="rId1" Type="http://schemas.openxmlformats.org/officeDocument/2006/relationships/hyperlink" Target="https://www.ofcom.org.uk/consultations-and-statements/category-2/2021-26-wholesale-voice-markets-review"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economy/inflationandpriceindices/timeseries/d7g7/mm2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ssets.publishing.service.gov.uk/government/uploads/system/uploads/attachment_data/file/938046/The_Green_Book_2020.pdf" TargetMode="External"/><Relationship Id="rId1" Type="http://schemas.openxmlformats.org/officeDocument/2006/relationships/hyperlink" Target="https://www.ofcom.org.uk/__data/assets/pdf_file/0029/216794/statement-2021-26-wholesale-voice-markets-re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reamble1">
    <tabColor rgb="FFFF0000"/>
    <outlinePr summaryBelow="0"/>
    <pageSetUpPr autoPageBreaks="0"/>
  </sheetPr>
  <dimension ref="A1:F37"/>
  <sheetViews>
    <sheetView showGridLines="0" tabSelected="1" defaultGridColor="0" colorId="22" zoomScaleNormal="100" zoomScaleSheetLayoutView="75" workbookViewId="0">
      <pane ySplit="2" topLeftCell="A3" activePane="bottomLeft" state="frozen"/>
      <selection pane="bottomLeft" activeCell="F36" sqref="F36"/>
    </sheetView>
  </sheetViews>
  <sheetFormatPr defaultColWidth="12.7109375" defaultRowHeight="12" x14ac:dyDescent="0.2"/>
  <cols>
    <col min="1" max="1" width="24.42578125" style="4" customWidth="1"/>
    <col min="2" max="2" width="25.42578125" style="4" customWidth="1"/>
    <col min="3" max="3" width="37.42578125" style="4" customWidth="1"/>
    <col min="4" max="4" width="14.42578125" style="4" customWidth="1"/>
    <col min="5" max="5" width="15" style="4" customWidth="1"/>
  </cols>
  <sheetData>
    <row r="1" spans="1:6" ht="12" customHeight="1" x14ac:dyDescent="0.4">
      <c r="C1" s="12"/>
    </row>
    <row r="2" spans="1:6" ht="42" customHeight="1" x14ac:dyDescent="0.4">
      <c r="A2"/>
      <c r="B2"/>
      <c r="C2"/>
      <c r="D2"/>
      <c r="E2"/>
      <c r="F2" s="13" t="str">
        <f>Workbook.Title</f>
        <v>mmWave fixed links clearance cost model</v>
      </c>
    </row>
    <row r="3" spans="1:6" ht="7.5" customHeight="1" x14ac:dyDescent="0.2">
      <c r="A3"/>
      <c r="B3"/>
      <c r="C3"/>
      <c r="D3"/>
      <c r="E3"/>
    </row>
    <row r="4" spans="1:6" s="1" customFormat="1" ht="18" x14ac:dyDescent="0.25">
      <c r="A4" s="2" t="s">
        <v>11</v>
      </c>
      <c r="C4"/>
      <c r="D4" s="6"/>
    </row>
    <row r="5" spans="1:6" ht="6" customHeight="1" x14ac:dyDescent="0.2">
      <c r="A5"/>
      <c r="B5"/>
      <c r="C5"/>
      <c r="D5"/>
      <c r="E5"/>
    </row>
    <row r="6" spans="1:6" x14ac:dyDescent="0.2">
      <c r="A6" s="88" t="s">
        <v>10</v>
      </c>
      <c r="B6" s="15" t="s">
        <v>433</v>
      </c>
      <c r="C6"/>
      <c r="D6"/>
    </row>
    <row r="7" spans="1:6" x14ac:dyDescent="0.2">
      <c r="A7" s="88" t="s">
        <v>423</v>
      </c>
      <c r="B7" s="5" t="s">
        <v>502</v>
      </c>
      <c r="C7"/>
      <c r="D7"/>
      <c r="E7"/>
    </row>
    <row r="8" spans="1:6" x14ac:dyDescent="0.2">
      <c r="A8" s="88" t="s">
        <v>9</v>
      </c>
      <c r="B8" s="4" t="s">
        <v>503</v>
      </c>
      <c r="C8"/>
      <c r="D8" s="9"/>
      <c r="E8"/>
    </row>
    <row r="9" spans="1:6" x14ac:dyDescent="0.2">
      <c r="A9" s="88" t="s">
        <v>1</v>
      </c>
      <c r="B9" s="4" t="s">
        <v>434</v>
      </c>
      <c r="C9"/>
    </row>
    <row r="10" spans="1:6" x14ac:dyDescent="0.2">
      <c r="A10" s="88" t="s">
        <v>424</v>
      </c>
      <c r="B10" s="4" t="s">
        <v>435</v>
      </c>
      <c r="C10" s="8"/>
      <c r="D10"/>
    </row>
    <row r="11" spans="1:6" x14ac:dyDescent="0.2">
      <c r="A11" s="3"/>
      <c r="C11" s="1"/>
      <c r="D11"/>
      <c r="E11"/>
    </row>
    <row r="12" spans="1:6" x14ac:dyDescent="0.2">
      <c r="A12" s="7"/>
      <c r="B12" s="14"/>
      <c r="C12"/>
      <c r="D12"/>
      <c r="E12"/>
    </row>
    <row r="13" spans="1:6" x14ac:dyDescent="0.2">
      <c r="A13" s="7"/>
      <c r="B13" s="5"/>
      <c r="C13"/>
      <c r="D13"/>
      <c r="E13"/>
    </row>
    <row r="14" spans="1:6" x14ac:dyDescent="0.2">
      <c r="A14" s="3"/>
      <c r="B14" s="5"/>
      <c r="C14"/>
      <c r="D14"/>
      <c r="E14"/>
    </row>
    <row r="15" spans="1:6" s="1" customFormat="1" ht="18" x14ac:dyDescent="0.25">
      <c r="A15" s="2" t="s">
        <v>12</v>
      </c>
      <c r="C15"/>
    </row>
    <row r="16" spans="1:6" x14ac:dyDescent="0.2">
      <c r="A16"/>
      <c r="B16"/>
      <c r="C16"/>
      <c r="D16"/>
      <c r="E16"/>
    </row>
    <row r="17" spans="1:3" s="87" customFormat="1" ht="15" x14ac:dyDescent="0.25">
      <c r="A17" s="89" t="s">
        <v>425</v>
      </c>
      <c r="B17" s="90" t="s">
        <v>426</v>
      </c>
      <c r="C17" s="90" t="s">
        <v>0</v>
      </c>
    </row>
    <row r="18" spans="1:3" s="87" customFormat="1" ht="13.5" customHeight="1" x14ac:dyDescent="0.2">
      <c r="A18" s="223" t="s">
        <v>429</v>
      </c>
      <c r="B18" s="91" t="s">
        <v>76</v>
      </c>
      <c r="C18" s="91" t="s">
        <v>483</v>
      </c>
    </row>
    <row r="19" spans="1:3" s="87" customFormat="1" ht="13.5" customHeight="1" x14ac:dyDescent="0.2">
      <c r="A19" s="224"/>
      <c r="B19" s="91" t="s">
        <v>482</v>
      </c>
      <c r="C19" s="91" t="s">
        <v>484</v>
      </c>
    </row>
    <row r="20" spans="1:3" s="87" customFormat="1" ht="13.5" customHeight="1" x14ac:dyDescent="0.2">
      <c r="A20" s="225" t="s">
        <v>428</v>
      </c>
      <c r="B20" s="92" t="s">
        <v>485</v>
      </c>
      <c r="C20" s="92" t="s">
        <v>486</v>
      </c>
    </row>
    <row r="21" spans="1:3" s="87" customFormat="1" ht="13.5" customHeight="1" x14ac:dyDescent="0.2">
      <c r="A21" s="226"/>
      <c r="B21" s="92" t="s">
        <v>46</v>
      </c>
      <c r="C21" s="92" t="s">
        <v>493</v>
      </c>
    </row>
    <row r="22" spans="1:3" s="87" customFormat="1" ht="13.5" customHeight="1" x14ac:dyDescent="0.2">
      <c r="A22" s="226"/>
      <c r="B22" s="92" t="s">
        <v>487</v>
      </c>
      <c r="C22" s="92" t="s">
        <v>489</v>
      </c>
    </row>
    <row r="23" spans="1:3" s="87" customFormat="1" ht="13.5" customHeight="1" x14ac:dyDescent="0.2">
      <c r="A23" s="226"/>
      <c r="B23" s="92" t="s">
        <v>488</v>
      </c>
      <c r="C23" s="92" t="s">
        <v>490</v>
      </c>
    </row>
    <row r="24" spans="1:3" s="87" customFormat="1" ht="13.5" customHeight="1" x14ac:dyDescent="0.2">
      <c r="A24" s="226"/>
      <c r="B24" s="92" t="s">
        <v>491</v>
      </c>
      <c r="C24" s="92" t="s">
        <v>494</v>
      </c>
    </row>
    <row r="25" spans="1:3" s="87" customFormat="1" ht="13.5" customHeight="1" x14ac:dyDescent="0.2">
      <c r="A25" s="226"/>
      <c r="B25" s="92" t="s">
        <v>492</v>
      </c>
      <c r="C25" s="92" t="s">
        <v>495</v>
      </c>
    </row>
    <row r="26" spans="1:3" s="87" customFormat="1" ht="13.5" customHeight="1" x14ac:dyDescent="0.2">
      <c r="A26" s="226"/>
      <c r="B26" s="92" t="s">
        <v>72</v>
      </c>
      <c r="C26" s="92" t="s">
        <v>496</v>
      </c>
    </row>
    <row r="27" spans="1:3" s="87" customFormat="1" ht="13.5" customHeight="1" x14ac:dyDescent="0.2">
      <c r="A27" s="227"/>
      <c r="B27" s="92" t="s">
        <v>497</v>
      </c>
      <c r="C27" s="92" t="s">
        <v>499</v>
      </c>
    </row>
    <row r="28" spans="1:3" s="87" customFormat="1" ht="13.5" customHeight="1" x14ac:dyDescent="0.2">
      <c r="A28" s="93" t="s">
        <v>427</v>
      </c>
      <c r="B28" s="91" t="s">
        <v>498</v>
      </c>
      <c r="C28" s="91" t="s">
        <v>500</v>
      </c>
    </row>
    <row r="29" spans="1:3" s="16" customFormat="1" x14ac:dyDescent="0.2"/>
    <row r="30" spans="1:3" x14ac:dyDescent="0.2">
      <c r="A30" s="30"/>
      <c r="B30" s="17"/>
    </row>
    <row r="31" spans="1:3" x14ac:dyDescent="0.2">
      <c r="A31" s="30"/>
    </row>
    <row r="32" spans="1:3" ht="18" x14ac:dyDescent="0.25">
      <c r="A32" s="2" t="s">
        <v>430</v>
      </c>
      <c r="B32" s="87"/>
      <c r="C32" s="87"/>
    </row>
    <row r="33" spans="1:3" x14ac:dyDescent="0.2">
      <c r="A33" s="87"/>
      <c r="B33" s="87" t="s">
        <v>433</v>
      </c>
      <c r="C33" s="87"/>
    </row>
    <row r="34" spans="1:3" x14ac:dyDescent="0.2">
      <c r="A34" s="228" t="s">
        <v>431</v>
      </c>
      <c r="B34" s="228"/>
      <c r="C34" s="228"/>
    </row>
    <row r="35" spans="1:3" ht="52.9" customHeight="1" x14ac:dyDescent="0.2">
      <c r="A35" s="221" t="s">
        <v>501</v>
      </c>
      <c r="B35" s="221"/>
      <c r="C35" s="221"/>
    </row>
    <row r="36" spans="1:3" ht="66.400000000000006" customHeight="1" x14ac:dyDescent="0.2">
      <c r="A36" s="222" t="s">
        <v>504</v>
      </c>
      <c r="B36" s="222"/>
      <c r="C36" s="222"/>
    </row>
    <row r="37" spans="1:3" ht="60" customHeight="1" x14ac:dyDescent="0.2">
      <c r="A37" s="221" t="s">
        <v>432</v>
      </c>
      <c r="B37" s="221"/>
      <c r="C37" s="221"/>
    </row>
  </sheetData>
  <mergeCells count="6">
    <mergeCell ref="A35:C35"/>
    <mergeCell ref="A36:C36"/>
    <mergeCell ref="A37:C37"/>
    <mergeCell ref="A18:A19"/>
    <mergeCell ref="A20:A27"/>
    <mergeCell ref="A34:C34"/>
  </mergeCells>
  <phoneticPr fontId="0" type="noConversion"/>
  <dataValidations disablePrompts="1" xWindow="1361" yWindow="1512" count="1">
    <dataValidation type="list" allowBlank="1" showInputMessage="1" promptTitle="Input Parameter" prompt="Select from list" sqref="B10" xr:uid="{00000000-0002-0000-0000-000001000000}">
      <formula1>"Work in progress, Ready for review, Approved for release, Archived"</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A2A8B-CEE2-4D09-B5D9-341768CD9632}">
  <sheetPr codeName="Sheet29">
    <pageSetUpPr autoPageBreaks="0"/>
  </sheetPr>
  <dimension ref="A1:Y166"/>
  <sheetViews>
    <sheetView defaultGridColor="0" colorId="22" zoomScaleNormal="100" workbookViewId="0">
      <pane ySplit="1" topLeftCell="A2" activePane="bottomLeft" state="frozen"/>
      <selection pane="bottomLeft"/>
    </sheetView>
  </sheetViews>
  <sheetFormatPr defaultColWidth="12.7109375" defaultRowHeight="12" x14ac:dyDescent="0.2"/>
  <cols>
    <col min="1" max="1" width="17.42578125" style="16" customWidth="1"/>
    <col min="2" max="2" width="24.42578125" style="16" customWidth="1"/>
    <col min="3" max="9" width="9.42578125" style="16" customWidth="1"/>
    <col min="10" max="21" width="12.7109375" style="16"/>
    <col min="22" max="22" width="17.140625" style="16" customWidth="1"/>
    <col min="23" max="23" width="20.7109375" style="16" customWidth="1"/>
    <col min="24" max="24" width="17.140625" style="16" customWidth="1"/>
    <col min="25" max="16384" width="12.7109375" style="16"/>
  </cols>
  <sheetData>
    <row r="1" spans="1:12" s="11" customFormat="1" ht="40.5" customHeight="1" x14ac:dyDescent="0.2">
      <c r="A1" s="121" t="s">
        <v>471</v>
      </c>
      <c r="L1" s="11" t="s">
        <v>13</v>
      </c>
    </row>
    <row r="2" spans="1:12" s="135" customFormat="1" ht="12.75" x14ac:dyDescent="0.2"/>
    <row r="3" spans="1:12" s="135" customFormat="1" ht="12.75" x14ac:dyDescent="0.2">
      <c r="B3" s="135" t="s">
        <v>25</v>
      </c>
      <c r="C3" s="147">
        <v>20</v>
      </c>
    </row>
    <row r="4" spans="1:12" s="135" customFormat="1" ht="12.75" x14ac:dyDescent="0.2"/>
    <row r="5" spans="1:12" s="135" customFormat="1" ht="12.75" x14ac:dyDescent="0.2">
      <c r="B5" s="135" t="s">
        <v>59</v>
      </c>
      <c r="C5" s="188">
        <v>5.7000000000000002E-2</v>
      </c>
      <c r="D5" s="159" t="s">
        <v>89</v>
      </c>
      <c r="E5" s="172"/>
      <c r="F5" s="172" t="s">
        <v>124</v>
      </c>
      <c r="I5" s="136" t="s">
        <v>400</v>
      </c>
    </row>
    <row r="6" spans="1:12" s="135" customFormat="1" ht="12.75" x14ac:dyDescent="0.2">
      <c r="B6" s="135" t="s">
        <v>21</v>
      </c>
      <c r="C6" s="188">
        <v>3.5000000000000003E-2</v>
      </c>
      <c r="D6" s="159" t="s">
        <v>22</v>
      </c>
      <c r="E6" s="172"/>
      <c r="F6" s="172" t="s">
        <v>401</v>
      </c>
      <c r="I6" s="136" t="s">
        <v>402</v>
      </c>
    </row>
    <row r="7" spans="1:12" s="135" customFormat="1" ht="12.75" x14ac:dyDescent="0.2">
      <c r="H7" s="173"/>
    </row>
    <row r="8" spans="1:12" s="135" customFormat="1" ht="12.75" x14ac:dyDescent="0.2">
      <c r="B8" s="160" t="s">
        <v>86</v>
      </c>
      <c r="C8" s="191">
        <f>Equipment</f>
        <v>7000</v>
      </c>
      <c r="D8" s="159" t="s">
        <v>90</v>
      </c>
      <c r="H8" s="173"/>
    </row>
    <row r="9" spans="1:12" s="135" customFormat="1" ht="12.75" x14ac:dyDescent="0.2">
      <c r="B9" s="160" t="s">
        <v>369</v>
      </c>
      <c r="C9" s="191">
        <f>'Cost calculations'!G37</f>
        <v>10500</v>
      </c>
      <c r="D9" s="159" t="s">
        <v>370</v>
      </c>
      <c r="H9" s="173"/>
    </row>
    <row r="10" spans="1:12" s="135" customFormat="1" ht="12.75" x14ac:dyDescent="0.2">
      <c r="B10" s="160" t="s">
        <v>87</v>
      </c>
      <c r="C10" s="191">
        <f>'Cost calculations'!C23</f>
        <v>113398.75065063636</v>
      </c>
      <c r="D10" s="159" t="s">
        <v>91</v>
      </c>
      <c r="H10" s="173"/>
    </row>
    <row r="11" spans="1:12" s="135" customFormat="1" ht="12.75" x14ac:dyDescent="0.2">
      <c r="B11" s="160" t="s">
        <v>88</v>
      </c>
      <c r="C11" s="191">
        <f>'Cost calculations'!C24</f>
        <v>11339.875065063636</v>
      </c>
      <c r="D11" s="159" t="s">
        <v>92</v>
      </c>
      <c r="H11" s="173"/>
    </row>
    <row r="12" spans="1:12" s="135" customFormat="1" ht="12.75" x14ac:dyDescent="0.2">
      <c r="B12" s="160"/>
      <c r="D12" s="174"/>
      <c r="H12" s="173"/>
    </row>
    <row r="13" spans="1:12" s="135" customFormat="1" ht="12.75" x14ac:dyDescent="0.2">
      <c r="B13" s="160"/>
      <c r="D13" s="174"/>
      <c r="H13" s="173"/>
    </row>
    <row r="14" spans="1:12" s="135" customFormat="1" ht="12.75" x14ac:dyDescent="0.2">
      <c r="B14" s="160" t="s">
        <v>121</v>
      </c>
      <c r="C14" s="144">
        <v>0.5</v>
      </c>
      <c r="D14" s="174"/>
      <c r="H14" s="173"/>
    </row>
    <row r="15" spans="1:12" s="135" customFormat="1" ht="12.75" x14ac:dyDescent="0.2">
      <c r="B15" s="160"/>
      <c r="D15" s="174"/>
      <c r="H15" s="173"/>
    </row>
    <row r="16" spans="1:12" s="135" customFormat="1" ht="12.75" x14ac:dyDescent="0.2">
      <c r="B16" s="160"/>
      <c r="C16" s="176"/>
      <c r="H16" s="173"/>
    </row>
    <row r="17" spans="2:25" s="135" customFormat="1" ht="12.75" customHeight="1" x14ac:dyDescent="0.2">
      <c r="B17" s="135" t="s">
        <v>43</v>
      </c>
      <c r="C17" s="147">
        <v>15</v>
      </c>
      <c r="D17" s="159" t="s">
        <v>93</v>
      </c>
    </row>
    <row r="18" spans="2:25" s="135" customFormat="1" ht="12.75" x14ac:dyDescent="0.2">
      <c r="B18" s="135" t="s">
        <v>45</v>
      </c>
      <c r="C18" s="192">
        <f>'Spectrum cost inputs'!D21</f>
        <v>20</v>
      </c>
      <c r="D18" s="135" t="s">
        <v>94</v>
      </c>
      <c r="F18" s="177"/>
    </row>
    <row r="19" spans="2:25" s="135" customFormat="1" ht="12.75" x14ac:dyDescent="0.2"/>
    <row r="20" spans="2:25" s="135" customFormat="1" ht="12.75" x14ac:dyDescent="0.2">
      <c r="C20" s="233" t="s">
        <v>44</v>
      </c>
      <c r="D20" s="233"/>
      <c r="E20" s="233"/>
      <c r="F20" s="233"/>
      <c r="G20" s="233"/>
      <c r="H20" s="233"/>
      <c r="I20" s="233"/>
      <c r="J20" s="233"/>
      <c r="K20" s="233"/>
      <c r="L20" s="233"/>
      <c r="M20" s="233"/>
      <c r="N20" s="233"/>
      <c r="O20" s="233"/>
      <c r="P20" s="233"/>
      <c r="Q20" s="233"/>
      <c r="R20" s="233"/>
      <c r="S20" s="233"/>
      <c r="T20" s="233"/>
      <c r="U20" s="233"/>
      <c r="V20" s="233"/>
    </row>
    <row r="21" spans="2:25" s="135" customFormat="1" ht="12.75" x14ac:dyDescent="0.2">
      <c r="B21" s="189"/>
      <c r="C21" s="190">
        <v>1</v>
      </c>
      <c r="D21" s="190">
        <v>2</v>
      </c>
      <c r="E21" s="190">
        <v>3</v>
      </c>
      <c r="F21" s="190">
        <v>4</v>
      </c>
      <c r="G21" s="190">
        <v>5</v>
      </c>
      <c r="H21" s="190">
        <v>6</v>
      </c>
      <c r="I21" s="190">
        <v>7</v>
      </c>
      <c r="J21" s="190">
        <v>8</v>
      </c>
      <c r="K21" s="190">
        <v>9</v>
      </c>
      <c r="L21" s="190">
        <v>10</v>
      </c>
      <c r="M21" s="190">
        <v>11</v>
      </c>
      <c r="N21" s="190">
        <v>12</v>
      </c>
      <c r="O21" s="190">
        <v>13</v>
      </c>
      <c r="P21" s="190">
        <v>14</v>
      </c>
      <c r="Q21" s="190">
        <v>15</v>
      </c>
      <c r="R21" s="190">
        <v>16</v>
      </c>
      <c r="S21" s="190">
        <v>17</v>
      </c>
      <c r="T21" s="190">
        <v>18</v>
      </c>
      <c r="U21" s="190">
        <v>19</v>
      </c>
      <c r="V21" s="190">
        <v>20</v>
      </c>
    </row>
    <row r="22" spans="2:25" s="135" customFormat="1" ht="12.75" x14ac:dyDescent="0.2">
      <c r="B22" s="189" t="s">
        <v>60</v>
      </c>
      <c r="C22" s="193">
        <f t="shared" ref="C22:V22" si="0">1/(1+$C5)^(C$21)</f>
        <v>0.94607379375591305</v>
      </c>
      <c r="D22" s="193">
        <f t="shared" si="0"/>
        <v>0.89505562323170573</v>
      </c>
      <c r="E22" s="193">
        <f t="shared" si="0"/>
        <v>0.84678866909338302</v>
      </c>
      <c r="F22" s="193">
        <f t="shared" si="0"/>
        <v>0.80112456867869719</v>
      </c>
      <c r="G22" s="193">
        <f t="shared" si="0"/>
        <v>0.75792295996092451</v>
      </c>
      <c r="H22" s="193">
        <f t="shared" si="0"/>
        <v>0.71705105010494274</v>
      </c>
      <c r="I22" s="193">
        <f t="shared" si="0"/>
        <v>0.67838320728944457</v>
      </c>
      <c r="J22" s="193">
        <f t="shared" si="0"/>
        <v>0.64180057454062855</v>
      </c>
      <c r="K22" s="193">
        <f t="shared" si="0"/>
        <v>0.60719070439037715</v>
      </c>
      <c r="L22" s="193">
        <f t="shared" si="0"/>
        <v>0.57444721323592918</v>
      </c>
      <c r="M22" s="193">
        <f t="shared" si="0"/>
        <v>0.54346945433862748</v>
      </c>
      <c r="N22" s="193">
        <f t="shared" si="0"/>
        <v>0.51416220845660121</v>
      </c>
      <c r="O22" s="193">
        <f t="shared" si="0"/>
        <v>0.4864353911604552</v>
      </c>
      <c r="P22" s="193">
        <f t="shared" si="0"/>
        <v>0.46020377593231337</v>
      </c>
      <c r="Q22" s="193">
        <f t="shared" si="0"/>
        <v>0.43538673219707991</v>
      </c>
      <c r="R22" s="193">
        <f t="shared" si="0"/>
        <v>0.41190797748068098</v>
      </c>
      <c r="S22" s="193">
        <f t="shared" si="0"/>
        <v>0.38969534293347302</v>
      </c>
      <c r="T22" s="193">
        <f t="shared" si="0"/>
        <v>0.36868055149808232</v>
      </c>
      <c r="U22" s="193">
        <f t="shared" si="0"/>
        <v>0.34879900803981301</v>
      </c>
      <c r="V22" s="193">
        <f t="shared" si="0"/>
        <v>0.32998960079452505</v>
      </c>
    </row>
    <row r="23" spans="2:25" s="135" customFormat="1" ht="12.75" x14ac:dyDescent="0.2">
      <c r="B23" s="189" t="s">
        <v>61</v>
      </c>
      <c r="C23" s="194">
        <f t="shared" ref="C23:V23" si="1">1/(1+$C6)^(C$21)</f>
        <v>0.96618357487922713</v>
      </c>
      <c r="D23" s="194">
        <f t="shared" si="1"/>
        <v>0.93351070036640305</v>
      </c>
      <c r="E23" s="194">
        <f t="shared" si="1"/>
        <v>0.90194270566802237</v>
      </c>
      <c r="F23" s="194">
        <f t="shared" si="1"/>
        <v>0.87144222769857238</v>
      </c>
      <c r="G23" s="194">
        <f t="shared" si="1"/>
        <v>0.84197316685852419</v>
      </c>
      <c r="H23" s="194">
        <f t="shared" si="1"/>
        <v>0.81350064430775282</v>
      </c>
      <c r="I23" s="194">
        <f t="shared" si="1"/>
        <v>0.78599096068381913</v>
      </c>
      <c r="J23" s="194">
        <f t="shared" si="1"/>
        <v>0.75941155621625056</v>
      </c>
      <c r="K23" s="194">
        <f t="shared" si="1"/>
        <v>0.73373097218961414</v>
      </c>
      <c r="L23" s="194">
        <f t="shared" si="1"/>
        <v>0.70891881370977217</v>
      </c>
      <c r="M23" s="194">
        <f t="shared" si="1"/>
        <v>0.68494571372924851</v>
      </c>
      <c r="N23" s="194">
        <f t="shared" si="1"/>
        <v>0.66178329828912896</v>
      </c>
      <c r="O23" s="194">
        <f t="shared" si="1"/>
        <v>0.63940415293635666</v>
      </c>
      <c r="P23" s="194">
        <f t="shared" si="1"/>
        <v>0.61778179027667302</v>
      </c>
      <c r="Q23" s="194">
        <f t="shared" si="1"/>
        <v>0.59689061862480497</v>
      </c>
      <c r="R23" s="194">
        <f t="shared" si="1"/>
        <v>0.57670591171478747</v>
      </c>
      <c r="S23" s="194">
        <f t="shared" si="1"/>
        <v>0.55720377943457733</v>
      </c>
      <c r="T23" s="194">
        <f t="shared" si="1"/>
        <v>0.53836113955031628</v>
      </c>
      <c r="U23" s="194">
        <f t="shared" si="1"/>
        <v>0.52015569038677911</v>
      </c>
      <c r="V23" s="194">
        <f t="shared" si="1"/>
        <v>0.50256588443167061</v>
      </c>
      <c r="Y23" s="153"/>
    </row>
    <row r="24" spans="2:25" s="135" customFormat="1" ht="12.75" x14ac:dyDescent="0.2">
      <c r="B24" s="189" t="s">
        <v>62</v>
      </c>
      <c r="C24" s="195" t="s">
        <v>15</v>
      </c>
      <c r="D24" s="195" t="s">
        <v>63</v>
      </c>
      <c r="E24" s="195" t="s">
        <v>63</v>
      </c>
      <c r="F24" s="195" t="s">
        <v>63</v>
      </c>
      <c r="G24" s="195" t="s">
        <v>63</v>
      </c>
      <c r="H24" s="195" t="s">
        <v>63</v>
      </c>
      <c r="I24" s="195" t="s">
        <v>63</v>
      </c>
      <c r="J24" s="195" t="s">
        <v>15</v>
      </c>
      <c r="K24" s="195" t="s">
        <v>63</v>
      </c>
      <c r="L24" s="195" t="s">
        <v>63</v>
      </c>
      <c r="M24" s="195" t="s">
        <v>63</v>
      </c>
      <c r="N24" s="195" t="s">
        <v>63</v>
      </c>
      <c r="O24" s="195" t="s">
        <v>63</v>
      </c>
      <c r="P24" s="195" t="s">
        <v>63</v>
      </c>
      <c r="Q24" s="195" t="s">
        <v>15</v>
      </c>
      <c r="R24" s="195" t="s">
        <v>63</v>
      </c>
      <c r="S24" s="195" t="s">
        <v>63</v>
      </c>
      <c r="T24" s="195" t="s">
        <v>63</v>
      </c>
      <c r="U24" s="195" t="s">
        <v>63</v>
      </c>
      <c r="V24" s="195" t="s">
        <v>63</v>
      </c>
    </row>
    <row r="25" spans="2:25" s="135" customFormat="1" ht="12.75" x14ac:dyDescent="0.2">
      <c r="B25" s="189" t="s">
        <v>64</v>
      </c>
      <c r="C25" s="195" t="s">
        <v>15</v>
      </c>
      <c r="D25" s="195" t="s">
        <v>63</v>
      </c>
      <c r="E25" s="195" t="s">
        <v>63</v>
      </c>
      <c r="F25" s="195" t="s">
        <v>63</v>
      </c>
      <c r="G25" s="195" t="s">
        <v>63</v>
      </c>
      <c r="H25" s="195" t="s">
        <v>63</v>
      </c>
      <c r="I25" s="195" t="s">
        <v>63</v>
      </c>
      <c r="J25" s="195" t="s">
        <v>63</v>
      </c>
      <c r="K25" s="195" t="s">
        <v>63</v>
      </c>
      <c r="L25" s="195" t="s">
        <v>63</v>
      </c>
      <c r="M25" s="195" t="s">
        <v>63</v>
      </c>
      <c r="N25" s="195" t="s">
        <v>63</v>
      </c>
      <c r="O25" s="195" t="s">
        <v>63</v>
      </c>
      <c r="P25" s="195" t="s">
        <v>63</v>
      </c>
      <c r="Q25" s="195" t="s">
        <v>63</v>
      </c>
      <c r="R25" s="195" t="s">
        <v>63</v>
      </c>
      <c r="S25" s="195" t="s">
        <v>63</v>
      </c>
      <c r="T25" s="195" t="s">
        <v>63</v>
      </c>
      <c r="U25" s="195" t="s">
        <v>63</v>
      </c>
      <c r="V25" s="195" t="s">
        <v>63</v>
      </c>
    </row>
    <row r="26" spans="2:25" s="135" customFormat="1" ht="12.75" x14ac:dyDescent="0.2">
      <c r="B26" s="160"/>
    </row>
    <row r="27" spans="2:25" s="135" customFormat="1" ht="12.75" x14ac:dyDescent="0.2">
      <c r="B27" s="160"/>
    </row>
    <row r="28" spans="2:25" s="135" customFormat="1" ht="12.75" x14ac:dyDescent="0.2">
      <c r="B28" s="160"/>
    </row>
    <row r="29" spans="2:25" s="135" customFormat="1" ht="12.75" x14ac:dyDescent="0.2">
      <c r="B29" s="179" t="s">
        <v>356</v>
      </c>
    </row>
    <row r="30" spans="2:25" s="135" customFormat="1" ht="12.75" x14ac:dyDescent="0.2">
      <c r="B30" s="160" t="s">
        <v>354</v>
      </c>
    </row>
    <row r="31" spans="2:25" s="135" customFormat="1" ht="12.75" x14ac:dyDescent="0.2">
      <c r="B31" s="160" t="s">
        <v>368</v>
      </c>
    </row>
    <row r="32" spans="2:25" s="135" customFormat="1" ht="12.75" x14ac:dyDescent="0.2">
      <c r="B32" s="160"/>
    </row>
    <row r="33" spans="1:24" s="135" customFormat="1" ht="12.75" x14ac:dyDescent="0.2">
      <c r="B33" s="154"/>
      <c r="C33" s="135" t="s">
        <v>70</v>
      </c>
    </row>
    <row r="34" spans="1:24" s="135" customFormat="1" ht="12.75" x14ac:dyDescent="0.2">
      <c r="C34" s="178">
        <v>1</v>
      </c>
      <c r="D34" s="178">
        <v>2</v>
      </c>
      <c r="E34" s="178">
        <v>3</v>
      </c>
      <c r="F34" s="178">
        <v>4</v>
      </c>
      <c r="G34" s="178">
        <v>5</v>
      </c>
      <c r="H34" s="178">
        <v>6</v>
      </c>
      <c r="I34" s="178">
        <v>7</v>
      </c>
      <c r="J34" s="178">
        <v>8</v>
      </c>
      <c r="K34" s="178">
        <v>9</v>
      </c>
      <c r="L34" s="178">
        <v>10</v>
      </c>
      <c r="M34" s="178">
        <v>11</v>
      </c>
      <c r="N34" s="178">
        <v>12</v>
      </c>
      <c r="O34" s="178">
        <v>13</v>
      </c>
      <c r="P34" s="178">
        <v>14</v>
      </c>
      <c r="Q34" s="178">
        <v>15</v>
      </c>
      <c r="R34" s="178">
        <v>16</v>
      </c>
      <c r="S34" s="178">
        <v>17</v>
      </c>
      <c r="T34" s="178">
        <v>18</v>
      </c>
      <c r="U34" s="178">
        <v>19</v>
      </c>
      <c r="V34" s="178">
        <v>20</v>
      </c>
    </row>
    <row r="35" spans="1:24" s="135" customFormat="1" ht="12.75" x14ac:dyDescent="0.2">
      <c r="B35" s="179" t="s">
        <v>71</v>
      </c>
      <c r="C35" s="178"/>
      <c r="D35" s="178"/>
      <c r="E35" s="178"/>
      <c r="F35" s="178"/>
      <c r="G35" s="178"/>
      <c r="H35" s="178"/>
      <c r="I35" s="178"/>
      <c r="J35" s="178"/>
      <c r="K35" s="178"/>
      <c r="L35" s="178"/>
      <c r="M35" s="178"/>
      <c r="N35" s="178"/>
      <c r="O35" s="178"/>
      <c r="P35" s="178"/>
      <c r="Q35" s="178"/>
      <c r="R35" s="178"/>
      <c r="S35" s="178"/>
      <c r="T35" s="178"/>
      <c r="U35" s="178"/>
      <c r="V35" s="178"/>
    </row>
    <row r="36" spans="1:24" s="135" customFormat="1" ht="12.75" x14ac:dyDescent="0.2">
      <c r="B36" s="135" t="s">
        <v>111</v>
      </c>
      <c r="C36" s="196">
        <f t="shared" ref="C36:Q36" si="2">-PMT(finance_rate,equipment_lifetime_15,equipment_capital_ins,,1)</f>
        <v>1002.8548704961647</v>
      </c>
      <c r="D36" s="196">
        <f t="shared" si="2"/>
        <v>1002.8548704961647</v>
      </c>
      <c r="E36" s="196">
        <f t="shared" si="2"/>
        <v>1002.8548704961647</v>
      </c>
      <c r="F36" s="196">
        <f t="shared" si="2"/>
        <v>1002.8548704961647</v>
      </c>
      <c r="G36" s="196">
        <f t="shared" si="2"/>
        <v>1002.8548704961647</v>
      </c>
      <c r="H36" s="196">
        <f t="shared" si="2"/>
        <v>1002.8548704961647</v>
      </c>
      <c r="I36" s="196">
        <f t="shared" si="2"/>
        <v>1002.8548704961647</v>
      </c>
      <c r="J36" s="196">
        <f t="shared" si="2"/>
        <v>1002.8548704961647</v>
      </c>
      <c r="K36" s="196">
        <f t="shared" si="2"/>
        <v>1002.8548704961647</v>
      </c>
      <c r="L36" s="196">
        <f t="shared" si="2"/>
        <v>1002.8548704961647</v>
      </c>
      <c r="M36" s="196">
        <f t="shared" si="2"/>
        <v>1002.8548704961647</v>
      </c>
      <c r="N36" s="196">
        <f t="shared" si="2"/>
        <v>1002.8548704961647</v>
      </c>
      <c r="O36" s="196">
        <f t="shared" si="2"/>
        <v>1002.8548704961647</v>
      </c>
      <c r="P36" s="196">
        <f t="shared" si="2"/>
        <v>1002.8548704961647</v>
      </c>
      <c r="Q36" s="196">
        <f t="shared" si="2"/>
        <v>1002.8548704961647</v>
      </c>
      <c r="R36" s="196"/>
      <c r="S36" s="196"/>
      <c r="T36" s="196"/>
      <c r="U36" s="196"/>
      <c r="V36" s="196"/>
      <c r="W36" s="180"/>
    </row>
    <row r="37" spans="1:24" s="135" customFormat="1" ht="12.75" x14ac:dyDescent="0.2">
      <c r="C37" s="196"/>
      <c r="D37" s="196"/>
      <c r="E37" s="196"/>
      <c r="F37" s="196"/>
      <c r="G37" s="196"/>
      <c r="H37" s="196"/>
      <c r="I37" s="196"/>
      <c r="J37" s="196"/>
      <c r="K37" s="196"/>
      <c r="L37" s="196"/>
      <c r="M37" s="196"/>
      <c r="N37" s="196"/>
      <c r="O37" s="196"/>
      <c r="P37" s="196"/>
      <c r="Q37" s="196"/>
      <c r="R37" s="196"/>
      <c r="S37" s="196"/>
      <c r="T37" s="196"/>
      <c r="U37" s="196"/>
      <c r="V37" s="196"/>
      <c r="W37" s="180"/>
    </row>
    <row r="38" spans="1:24" s="135" customFormat="1" ht="12.75" x14ac:dyDescent="0.2">
      <c r="B38" s="154" t="s">
        <v>407</v>
      </c>
      <c r="C38" s="196"/>
      <c r="D38" s="196"/>
      <c r="E38" s="196"/>
      <c r="F38" s="196"/>
      <c r="G38" s="196"/>
      <c r="H38" s="196"/>
      <c r="I38" s="196"/>
      <c r="J38" s="196"/>
      <c r="K38" s="196"/>
      <c r="L38" s="196"/>
      <c r="M38" s="196"/>
      <c r="N38" s="196"/>
      <c r="O38" s="196"/>
      <c r="P38" s="196"/>
      <c r="Q38" s="196"/>
      <c r="R38" s="196"/>
      <c r="S38" s="196"/>
      <c r="T38" s="196"/>
      <c r="U38" s="196"/>
      <c r="V38" s="196"/>
      <c r="W38" s="180"/>
    </row>
    <row r="39" spans="1:24" s="135" customFormat="1" ht="12.75" x14ac:dyDescent="0.2">
      <c r="B39" s="179"/>
      <c r="C39" s="196"/>
      <c r="D39" s="196"/>
      <c r="E39" s="196"/>
      <c r="F39" s="196"/>
      <c r="G39" s="196"/>
      <c r="H39" s="196"/>
      <c r="I39" s="196"/>
      <c r="J39" s="196"/>
      <c r="K39" s="196"/>
      <c r="L39" s="196"/>
      <c r="M39" s="196"/>
      <c r="N39" s="196"/>
      <c r="O39" s="196"/>
      <c r="P39" s="196"/>
      <c r="Q39" s="196"/>
      <c r="R39" s="196"/>
      <c r="S39" s="196"/>
      <c r="T39" s="196"/>
      <c r="U39" s="196"/>
      <c r="V39" s="196"/>
      <c r="W39" s="180"/>
    </row>
    <row r="40" spans="1:24" s="135" customFormat="1" ht="12.75" x14ac:dyDescent="0.2">
      <c r="A40" s="149" t="s">
        <v>120</v>
      </c>
      <c r="B40" s="198" t="s">
        <v>465</v>
      </c>
      <c r="C40" s="196"/>
      <c r="D40" s="196"/>
      <c r="E40" s="196"/>
      <c r="F40" s="196"/>
      <c r="G40" s="196"/>
      <c r="H40" s="196"/>
      <c r="I40" s="196"/>
      <c r="J40" s="196"/>
      <c r="K40" s="196"/>
      <c r="L40" s="196"/>
      <c r="M40" s="196"/>
      <c r="N40" s="196"/>
      <c r="O40" s="196"/>
      <c r="P40" s="196"/>
      <c r="Q40" s="196"/>
      <c r="R40" s="196"/>
      <c r="S40" s="196"/>
      <c r="T40" s="196"/>
      <c r="U40" s="196"/>
      <c r="V40" s="196"/>
      <c r="W40" s="180"/>
    </row>
    <row r="41" spans="1:24" s="135" customFormat="1" ht="12.75" x14ac:dyDescent="0.2">
      <c r="A41" s="149">
        <f t="shared" ref="A41:A56" si="3">equipment_lifetime_15-LEFT(B41,2)</f>
        <v>15</v>
      </c>
      <c r="B41" s="160" t="s">
        <v>133</v>
      </c>
      <c r="C41" s="196">
        <f t="shared" ref="C41:Q50" si="4">IF(C$34&lt;=$A41,equipment_capital_ins/equipment_lifetime,0)</f>
        <v>700</v>
      </c>
      <c r="D41" s="196">
        <f t="shared" si="4"/>
        <v>700</v>
      </c>
      <c r="E41" s="196">
        <f t="shared" si="4"/>
        <v>700</v>
      </c>
      <c r="F41" s="196">
        <f t="shared" si="4"/>
        <v>700</v>
      </c>
      <c r="G41" s="196">
        <f t="shared" si="4"/>
        <v>700</v>
      </c>
      <c r="H41" s="196">
        <f t="shared" si="4"/>
        <v>700</v>
      </c>
      <c r="I41" s="196">
        <f t="shared" si="4"/>
        <v>700</v>
      </c>
      <c r="J41" s="196">
        <f t="shared" si="4"/>
        <v>700</v>
      </c>
      <c r="K41" s="196">
        <f t="shared" si="4"/>
        <v>700</v>
      </c>
      <c r="L41" s="196">
        <f t="shared" si="4"/>
        <v>700</v>
      </c>
      <c r="M41" s="196">
        <f t="shared" si="4"/>
        <v>700</v>
      </c>
      <c r="N41" s="196">
        <f t="shared" si="4"/>
        <v>700</v>
      </c>
      <c r="O41" s="196">
        <f t="shared" si="4"/>
        <v>700</v>
      </c>
      <c r="P41" s="196">
        <f t="shared" si="4"/>
        <v>700</v>
      </c>
      <c r="Q41" s="196">
        <f t="shared" si="4"/>
        <v>700</v>
      </c>
      <c r="R41" s="196"/>
      <c r="S41" s="196"/>
      <c r="T41" s="196"/>
      <c r="U41" s="196"/>
      <c r="V41" s="196"/>
      <c r="W41" s="184"/>
      <c r="X41" s="184"/>
    </row>
    <row r="42" spans="1:24" s="135" customFormat="1" ht="12.75" x14ac:dyDescent="0.2">
      <c r="A42" s="149">
        <f t="shared" si="3"/>
        <v>14</v>
      </c>
      <c r="B42" s="135" t="s">
        <v>112</v>
      </c>
      <c r="C42" s="196">
        <f t="shared" si="4"/>
        <v>700</v>
      </c>
      <c r="D42" s="196">
        <f t="shared" si="4"/>
        <v>700</v>
      </c>
      <c r="E42" s="196">
        <f t="shared" si="4"/>
        <v>700</v>
      </c>
      <c r="F42" s="196">
        <f t="shared" si="4"/>
        <v>700</v>
      </c>
      <c r="G42" s="196">
        <f t="shared" si="4"/>
        <v>700</v>
      </c>
      <c r="H42" s="196">
        <f t="shared" si="4"/>
        <v>700</v>
      </c>
      <c r="I42" s="196">
        <f t="shared" si="4"/>
        <v>700</v>
      </c>
      <c r="J42" s="196">
        <f t="shared" si="4"/>
        <v>700</v>
      </c>
      <c r="K42" s="196">
        <f t="shared" si="4"/>
        <v>700</v>
      </c>
      <c r="L42" s="196">
        <f t="shared" si="4"/>
        <v>700</v>
      </c>
      <c r="M42" s="196">
        <f t="shared" si="4"/>
        <v>700</v>
      </c>
      <c r="N42" s="196">
        <f t="shared" si="4"/>
        <v>700</v>
      </c>
      <c r="O42" s="196">
        <f t="shared" si="4"/>
        <v>700</v>
      </c>
      <c r="P42" s="196">
        <f t="shared" si="4"/>
        <v>700</v>
      </c>
      <c r="Q42" s="196">
        <f t="shared" si="4"/>
        <v>0</v>
      </c>
      <c r="R42" s="196"/>
      <c r="S42" s="196"/>
      <c r="T42" s="196"/>
      <c r="U42" s="196"/>
      <c r="V42" s="196"/>
      <c r="W42" s="184"/>
      <c r="X42" s="184"/>
    </row>
    <row r="43" spans="1:24" s="135" customFormat="1" ht="12.75" x14ac:dyDescent="0.2">
      <c r="A43" s="149">
        <f t="shared" si="3"/>
        <v>13</v>
      </c>
      <c r="B43" s="160" t="s">
        <v>113</v>
      </c>
      <c r="C43" s="196">
        <f t="shared" si="4"/>
        <v>700</v>
      </c>
      <c r="D43" s="196">
        <f t="shared" si="4"/>
        <v>700</v>
      </c>
      <c r="E43" s="196">
        <f t="shared" si="4"/>
        <v>700</v>
      </c>
      <c r="F43" s="196">
        <f t="shared" si="4"/>
        <v>700</v>
      </c>
      <c r="G43" s="196">
        <f t="shared" si="4"/>
        <v>700</v>
      </c>
      <c r="H43" s="196">
        <f t="shared" si="4"/>
        <v>700</v>
      </c>
      <c r="I43" s="196">
        <f t="shared" si="4"/>
        <v>700</v>
      </c>
      <c r="J43" s="196">
        <f t="shared" si="4"/>
        <v>700</v>
      </c>
      <c r="K43" s="196">
        <f t="shared" si="4"/>
        <v>700</v>
      </c>
      <c r="L43" s="196">
        <f t="shared" si="4"/>
        <v>700</v>
      </c>
      <c r="M43" s="196">
        <f t="shared" si="4"/>
        <v>700</v>
      </c>
      <c r="N43" s="196">
        <f t="shared" si="4"/>
        <v>700</v>
      </c>
      <c r="O43" s="196">
        <f t="shared" si="4"/>
        <v>700</v>
      </c>
      <c r="P43" s="196">
        <f t="shared" si="4"/>
        <v>0</v>
      </c>
      <c r="Q43" s="196">
        <f t="shared" si="4"/>
        <v>0</v>
      </c>
      <c r="R43" s="196"/>
      <c r="S43" s="196"/>
      <c r="T43" s="196"/>
      <c r="U43" s="196"/>
      <c r="V43" s="196"/>
      <c r="W43" s="184"/>
      <c r="X43" s="184"/>
    </row>
    <row r="44" spans="1:24" s="135" customFormat="1" ht="12.75" x14ac:dyDescent="0.2">
      <c r="A44" s="149">
        <f t="shared" si="3"/>
        <v>12</v>
      </c>
      <c r="B44" s="135" t="s">
        <v>114</v>
      </c>
      <c r="C44" s="196">
        <f t="shared" si="4"/>
        <v>700</v>
      </c>
      <c r="D44" s="196">
        <f t="shared" si="4"/>
        <v>700</v>
      </c>
      <c r="E44" s="196">
        <f t="shared" si="4"/>
        <v>700</v>
      </c>
      <c r="F44" s="196">
        <f t="shared" si="4"/>
        <v>700</v>
      </c>
      <c r="G44" s="196">
        <f t="shared" si="4"/>
        <v>700</v>
      </c>
      <c r="H44" s="196">
        <f t="shared" si="4"/>
        <v>700</v>
      </c>
      <c r="I44" s="196">
        <f t="shared" si="4"/>
        <v>700</v>
      </c>
      <c r="J44" s="196">
        <f t="shared" si="4"/>
        <v>700</v>
      </c>
      <c r="K44" s="196">
        <f t="shared" si="4"/>
        <v>700</v>
      </c>
      <c r="L44" s="196">
        <f t="shared" si="4"/>
        <v>700</v>
      </c>
      <c r="M44" s="196">
        <f t="shared" si="4"/>
        <v>700</v>
      </c>
      <c r="N44" s="196">
        <f t="shared" si="4"/>
        <v>700</v>
      </c>
      <c r="O44" s="196">
        <f t="shared" si="4"/>
        <v>0</v>
      </c>
      <c r="P44" s="196">
        <f t="shared" si="4"/>
        <v>0</v>
      </c>
      <c r="Q44" s="196">
        <f t="shared" si="4"/>
        <v>0</v>
      </c>
      <c r="R44" s="196"/>
      <c r="S44" s="196"/>
      <c r="T44" s="196"/>
      <c r="U44" s="196"/>
      <c r="V44" s="196"/>
      <c r="W44" s="184"/>
      <c r="X44" s="184"/>
    </row>
    <row r="45" spans="1:24" s="135" customFormat="1" ht="12.75" x14ac:dyDescent="0.2">
      <c r="A45" s="149">
        <f t="shared" si="3"/>
        <v>11</v>
      </c>
      <c r="B45" s="160" t="s">
        <v>115</v>
      </c>
      <c r="C45" s="196">
        <f t="shared" si="4"/>
        <v>700</v>
      </c>
      <c r="D45" s="196">
        <f t="shared" si="4"/>
        <v>700</v>
      </c>
      <c r="E45" s="196">
        <f t="shared" si="4"/>
        <v>700</v>
      </c>
      <c r="F45" s="196">
        <f t="shared" si="4"/>
        <v>700</v>
      </c>
      <c r="G45" s="196">
        <f t="shared" si="4"/>
        <v>700</v>
      </c>
      <c r="H45" s="196">
        <f t="shared" si="4"/>
        <v>700</v>
      </c>
      <c r="I45" s="196">
        <f t="shared" si="4"/>
        <v>700</v>
      </c>
      <c r="J45" s="196">
        <f t="shared" si="4"/>
        <v>700</v>
      </c>
      <c r="K45" s="196">
        <f t="shared" si="4"/>
        <v>700</v>
      </c>
      <c r="L45" s="196">
        <f t="shared" si="4"/>
        <v>700</v>
      </c>
      <c r="M45" s="196">
        <f t="shared" si="4"/>
        <v>700</v>
      </c>
      <c r="N45" s="196">
        <f t="shared" si="4"/>
        <v>0</v>
      </c>
      <c r="O45" s="196">
        <f t="shared" si="4"/>
        <v>0</v>
      </c>
      <c r="P45" s="196">
        <f t="shared" si="4"/>
        <v>0</v>
      </c>
      <c r="Q45" s="196">
        <f t="shared" si="4"/>
        <v>0</v>
      </c>
      <c r="R45" s="196"/>
      <c r="S45" s="196"/>
      <c r="T45" s="196"/>
      <c r="U45" s="196"/>
      <c r="V45" s="196"/>
      <c r="W45" s="184"/>
      <c r="X45" s="184"/>
    </row>
    <row r="46" spans="1:24" s="135" customFormat="1" ht="12.75" x14ac:dyDescent="0.2">
      <c r="A46" s="149">
        <f t="shared" si="3"/>
        <v>10</v>
      </c>
      <c r="B46" s="135" t="s">
        <v>116</v>
      </c>
      <c r="C46" s="196">
        <f t="shared" si="4"/>
        <v>700</v>
      </c>
      <c r="D46" s="196">
        <f t="shared" si="4"/>
        <v>700</v>
      </c>
      <c r="E46" s="196">
        <f t="shared" si="4"/>
        <v>700</v>
      </c>
      <c r="F46" s="196">
        <f t="shared" si="4"/>
        <v>700</v>
      </c>
      <c r="G46" s="196">
        <f t="shared" si="4"/>
        <v>700</v>
      </c>
      <c r="H46" s="196">
        <f t="shared" si="4"/>
        <v>700</v>
      </c>
      <c r="I46" s="196">
        <f t="shared" si="4"/>
        <v>700</v>
      </c>
      <c r="J46" s="196">
        <f t="shared" si="4"/>
        <v>700</v>
      </c>
      <c r="K46" s="196">
        <f t="shared" si="4"/>
        <v>700</v>
      </c>
      <c r="L46" s="196">
        <f t="shared" si="4"/>
        <v>700</v>
      </c>
      <c r="M46" s="196">
        <f t="shared" si="4"/>
        <v>0</v>
      </c>
      <c r="N46" s="196">
        <f t="shared" si="4"/>
        <v>0</v>
      </c>
      <c r="O46" s="196">
        <f t="shared" si="4"/>
        <v>0</v>
      </c>
      <c r="P46" s="196">
        <f t="shared" si="4"/>
        <v>0</v>
      </c>
      <c r="Q46" s="196">
        <f t="shared" si="4"/>
        <v>0</v>
      </c>
      <c r="R46" s="196"/>
      <c r="S46" s="196"/>
      <c r="T46" s="196"/>
      <c r="U46" s="196"/>
      <c r="V46" s="196"/>
      <c r="W46" s="184"/>
      <c r="X46" s="184"/>
    </row>
    <row r="47" spans="1:24" s="135" customFormat="1" ht="12.75" x14ac:dyDescent="0.2">
      <c r="A47" s="149">
        <f t="shared" si="3"/>
        <v>9</v>
      </c>
      <c r="B47" s="160" t="s">
        <v>117</v>
      </c>
      <c r="C47" s="196">
        <f t="shared" si="4"/>
        <v>700</v>
      </c>
      <c r="D47" s="196">
        <f t="shared" si="4"/>
        <v>700</v>
      </c>
      <c r="E47" s="196">
        <f t="shared" si="4"/>
        <v>700</v>
      </c>
      <c r="F47" s="196">
        <f t="shared" si="4"/>
        <v>700</v>
      </c>
      <c r="G47" s="196">
        <f t="shared" si="4"/>
        <v>700</v>
      </c>
      <c r="H47" s="196">
        <f t="shared" si="4"/>
        <v>700</v>
      </c>
      <c r="I47" s="196">
        <f t="shared" si="4"/>
        <v>700</v>
      </c>
      <c r="J47" s="196">
        <f t="shared" si="4"/>
        <v>700</v>
      </c>
      <c r="K47" s="196">
        <f t="shared" si="4"/>
        <v>700</v>
      </c>
      <c r="L47" s="196">
        <f t="shared" si="4"/>
        <v>0</v>
      </c>
      <c r="M47" s="196">
        <f t="shared" si="4"/>
        <v>0</v>
      </c>
      <c r="N47" s="196">
        <f t="shared" si="4"/>
        <v>0</v>
      </c>
      <c r="O47" s="196">
        <f t="shared" si="4"/>
        <v>0</v>
      </c>
      <c r="P47" s="196">
        <f t="shared" si="4"/>
        <v>0</v>
      </c>
      <c r="Q47" s="196">
        <f t="shared" si="4"/>
        <v>0</v>
      </c>
      <c r="R47" s="196"/>
      <c r="S47" s="196"/>
      <c r="T47" s="196"/>
      <c r="U47" s="196"/>
      <c r="V47" s="196"/>
      <c r="W47" s="184"/>
      <c r="X47" s="184"/>
    </row>
    <row r="48" spans="1:24" s="135" customFormat="1" ht="12.75" x14ac:dyDescent="0.2">
      <c r="A48" s="149">
        <f t="shared" si="3"/>
        <v>8</v>
      </c>
      <c r="B48" s="160" t="s">
        <v>118</v>
      </c>
      <c r="C48" s="196">
        <f t="shared" si="4"/>
        <v>700</v>
      </c>
      <c r="D48" s="196">
        <f t="shared" si="4"/>
        <v>700</v>
      </c>
      <c r="E48" s="196">
        <f t="shared" si="4"/>
        <v>700</v>
      </c>
      <c r="F48" s="196">
        <f t="shared" si="4"/>
        <v>700</v>
      </c>
      <c r="G48" s="196">
        <f t="shared" si="4"/>
        <v>700</v>
      </c>
      <c r="H48" s="196">
        <f t="shared" si="4"/>
        <v>700</v>
      </c>
      <c r="I48" s="196">
        <f t="shared" si="4"/>
        <v>700</v>
      </c>
      <c r="J48" s="196">
        <f t="shared" si="4"/>
        <v>700</v>
      </c>
      <c r="K48" s="196">
        <f t="shared" si="4"/>
        <v>0</v>
      </c>
      <c r="L48" s="196">
        <f t="shared" si="4"/>
        <v>0</v>
      </c>
      <c r="M48" s="196">
        <f t="shared" si="4"/>
        <v>0</v>
      </c>
      <c r="N48" s="196">
        <f t="shared" si="4"/>
        <v>0</v>
      </c>
      <c r="O48" s="196">
        <f t="shared" si="4"/>
        <v>0</v>
      </c>
      <c r="P48" s="196">
        <f t="shared" si="4"/>
        <v>0</v>
      </c>
      <c r="Q48" s="196">
        <f t="shared" si="4"/>
        <v>0</v>
      </c>
      <c r="R48" s="196"/>
      <c r="S48" s="196"/>
      <c r="T48" s="196"/>
      <c r="U48" s="196"/>
      <c r="V48" s="196"/>
      <c r="W48" s="184"/>
      <c r="X48" s="184"/>
    </row>
    <row r="49" spans="1:24" s="135" customFormat="1" ht="12.75" x14ac:dyDescent="0.2">
      <c r="A49" s="149">
        <f t="shared" si="3"/>
        <v>7</v>
      </c>
      <c r="B49" s="160" t="s">
        <v>125</v>
      </c>
      <c r="C49" s="196">
        <f t="shared" si="4"/>
        <v>700</v>
      </c>
      <c r="D49" s="196">
        <f t="shared" si="4"/>
        <v>700</v>
      </c>
      <c r="E49" s="196">
        <f t="shared" si="4"/>
        <v>700</v>
      </c>
      <c r="F49" s="196">
        <f t="shared" si="4"/>
        <v>700</v>
      </c>
      <c r="G49" s="196">
        <f t="shared" si="4"/>
        <v>700</v>
      </c>
      <c r="H49" s="196">
        <f t="shared" si="4"/>
        <v>700</v>
      </c>
      <c r="I49" s="196">
        <f t="shared" si="4"/>
        <v>700</v>
      </c>
      <c r="J49" s="196">
        <f t="shared" si="4"/>
        <v>0</v>
      </c>
      <c r="K49" s="196">
        <f t="shared" si="4"/>
        <v>0</v>
      </c>
      <c r="L49" s="196">
        <f t="shared" si="4"/>
        <v>0</v>
      </c>
      <c r="M49" s="196">
        <f t="shared" si="4"/>
        <v>0</v>
      </c>
      <c r="N49" s="196">
        <f t="shared" si="4"/>
        <v>0</v>
      </c>
      <c r="O49" s="196">
        <f t="shared" si="4"/>
        <v>0</v>
      </c>
      <c r="P49" s="196">
        <f t="shared" si="4"/>
        <v>0</v>
      </c>
      <c r="Q49" s="196">
        <f t="shared" si="4"/>
        <v>0</v>
      </c>
      <c r="R49" s="196"/>
      <c r="S49" s="196"/>
      <c r="T49" s="196"/>
      <c r="U49" s="196"/>
      <c r="V49" s="196"/>
      <c r="W49" s="184"/>
      <c r="X49" s="184"/>
    </row>
    <row r="50" spans="1:24" s="135" customFormat="1" ht="12.75" x14ac:dyDescent="0.2">
      <c r="A50" s="149">
        <f t="shared" si="3"/>
        <v>6</v>
      </c>
      <c r="B50" s="160" t="s">
        <v>126</v>
      </c>
      <c r="C50" s="196">
        <f t="shared" si="4"/>
        <v>700</v>
      </c>
      <c r="D50" s="196">
        <f t="shared" si="4"/>
        <v>700</v>
      </c>
      <c r="E50" s="196">
        <f t="shared" si="4"/>
        <v>700</v>
      </c>
      <c r="F50" s="196">
        <f t="shared" si="4"/>
        <v>700</v>
      </c>
      <c r="G50" s="196">
        <f t="shared" si="4"/>
        <v>700</v>
      </c>
      <c r="H50" s="196">
        <f t="shared" si="4"/>
        <v>700</v>
      </c>
      <c r="I50" s="196">
        <f t="shared" si="4"/>
        <v>0</v>
      </c>
      <c r="J50" s="196">
        <f t="shared" si="4"/>
        <v>0</v>
      </c>
      <c r="K50" s="196">
        <f t="shared" si="4"/>
        <v>0</v>
      </c>
      <c r="L50" s="196">
        <f t="shared" si="4"/>
        <v>0</v>
      </c>
      <c r="M50" s="196">
        <f t="shared" si="4"/>
        <v>0</v>
      </c>
      <c r="N50" s="196">
        <f t="shared" si="4"/>
        <v>0</v>
      </c>
      <c r="O50" s="196">
        <f t="shared" si="4"/>
        <v>0</v>
      </c>
      <c r="P50" s="196">
        <f t="shared" si="4"/>
        <v>0</v>
      </c>
      <c r="Q50" s="196">
        <f t="shared" si="4"/>
        <v>0</v>
      </c>
      <c r="R50" s="196"/>
      <c r="S50" s="196"/>
      <c r="T50" s="196"/>
      <c r="U50" s="196"/>
      <c r="V50" s="196"/>
      <c r="W50" s="184"/>
      <c r="X50" s="184"/>
    </row>
    <row r="51" spans="1:24" s="135" customFormat="1" ht="12.75" x14ac:dyDescent="0.2">
      <c r="A51" s="149">
        <f t="shared" si="3"/>
        <v>5</v>
      </c>
      <c r="B51" s="160" t="s">
        <v>127</v>
      </c>
      <c r="C51" s="196">
        <f t="shared" ref="C51:Q56" si="5">IF(C$34&lt;=$A51,equipment_capital_ins/equipment_lifetime,0)</f>
        <v>700</v>
      </c>
      <c r="D51" s="196">
        <f t="shared" si="5"/>
        <v>700</v>
      </c>
      <c r="E51" s="196">
        <f t="shared" si="5"/>
        <v>700</v>
      </c>
      <c r="F51" s="196">
        <f t="shared" si="5"/>
        <v>700</v>
      </c>
      <c r="G51" s="196">
        <f t="shared" si="5"/>
        <v>700</v>
      </c>
      <c r="H51" s="196">
        <f t="shared" si="5"/>
        <v>0</v>
      </c>
      <c r="I51" s="196">
        <f t="shared" si="5"/>
        <v>0</v>
      </c>
      <c r="J51" s="196">
        <f t="shared" si="5"/>
        <v>0</v>
      </c>
      <c r="K51" s="196">
        <f t="shared" si="5"/>
        <v>0</v>
      </c>
      <c r="L51" s="196">
        <f t="shared" si="5"/>
        <v>0</v>
      </c>
      <c r="M51" s="196">
        <f t="shared" si="5"/>
        <v>0</v>
      </c>
      <c r="N51" s="196">
        <f t="shared" si="5"/>
        <v>0</v>
      </c>
      <c r="O51" s="196">
        <f t="shared" si="5"/>
        <v>0</v>
      </c>
      <c r="P51" s="196">
        <f t="shared" si="5"/>
        <v>0</v>
      </c>
      <c r="Q51" s="196">
        <f t="shared" si="5"/>
        <v>0</v>
      </c>
      <c r="R51" s="196"/>
      <c r="S51" s="196"/>
      <c r="T51" s="196"/>
      <c r="U51" s="196"/>
      <c r="V51" s="196"/>
      <c r="W51" s="184"/>
      <c r="X51" s="184"/>
    </row>
    <row r="52" spans="1:24" s="135" customFormat="1" ht="12.75" x14ac:dyDescent="0.2">
      <c r="A52" s="149">
        <f t="shared" si="3"/>
        <v>4</v>
      </c>
      <c r="B52" s="160" t="s">
        <v>128</v>
      </c>
      <c r="C52" s="196">
        <f t="shared" si="5"/>
        <v>700</v>
      </c>
      <c r="D52" s="196">
        <f t="shared" si="5"/>
        <v>700</v>
      </c>
      <c r="E52" s="196">
        <f t="shared" si="5"/>
        <v>700</v>
      </c>
      <c r="F52" s="196">
        <f t="shared" si="5"/>
        <v>700</v>
      </c>
      <c r="G52" s="196">
        <f t="shared" si="5"/>
        <v>0</v>
      </c>
      <c r="H52" s="196">
        <f t="shared" si="5"/>
        <v>0</v>
      </c>
      <c r="I52" s="196">
        <f t="shared" si="5"/>
        <v>0</v>
      </c>
      <c r="J52" s="196">
        <f t="shared" si="5"/>
        <v>0</v>
      </c>
      <c r="K52" s="196">
        <f t="shared" si="5"/>
        <v>0</v>
      </c>
      <c r="L52" s="196">
        <f t="shared" si="5"/>
        <v>0</v>
      </c>
      <c r="M52" s="196">
        <f t="shared" si="5"/>
        <v>0</v>
      </c>
      <c r="N52" s="196">
        <f t="shared" si="5"/>
        <v>0</v>
      </c>
      <c r="O52" s="196">
        <f t="shared" si="5"/>
        <v>0</v>
      </c>
      <c r="P52" s="196">
        <f t="shared" si="5"/>
        <v>0</v>
      </c>
      <c r="Q52" s="196">
        <f t="shared" si="5"/>
        <v>0</v>
      </c>
      <c r="R52" s="196"/>
      <c r="S52" s="196"/>
      <c r="T52" s="196"/>
      <c r="U52" s="196"/>
      <c r="V52" s="196"/>
      <c r="W52" s="184"/>
      <c r="X52" s="184"/>
    </row>
    <row r="53" spans="1:24" s="135" customFormat="1" ht="12.75" x14ac:dyDescent="0.2">
      <c r="A53" s="149">
        <f t="shared" si="3"/>
        <v>3</v>
      </c>
      <c r="B53" s="160" t="s">
        <v>129</v>
      </c>
      <c r="C53" s="196">
        <f t="shared" si="5"/>
        <v>700</v>
      </c>
      <c r="D53" s="196">
        <f t="shared" si="5"/>
        <v>700</v>
      </c>
      <c r="E53" s="196">
        <f t="shared" si="5"/>
        <v>700</v>
      </c>
      <c r="F53" s="196">
        <f t="shared" si="5"/>
        <v>0</v>
      </c>
      <c r="G53" s="196">
        <f t="shared" si="5"/>
        <v>0</v>
      </c>
      <c r="H53" s="196">
        <f t="shared" si="5"/>
        <v>0</v>
      </c>
      <c r="I53" s="196">
        <f t="shared" si="5"/>
        <v>0</v>
      </c>
      <c r="J53" s="196">
        <f t="shared" si="5"/>
        <v>0</v>
      </c>
      <c r="K53" s="196">
        <f t="shared" si="5"/>
        <v>0</v>
      </c>
      <c r="L53" s="196">
        <f t="shared" si="5"/>
        <v>0</v>
      </c>
      <c r="M53" s="196">
        <f t="shared" si="5"/>
        <v>0</v>
      </c>
      <c r="N53" s="196">
        <f t="shared" si="5"/>
        <v>0</v>
      </c>
      <c r="O53" s="196">
        <f t="shared" si="5"/>
        <v>0</v>
      </c>
      <c r="P53" s="196">
        <f t="shared" si="5"/>
        <v>0</v>
      </c>
      <c r="Q53" s="196">
        <f t="shared" si="5"/>
        <v>0</v>
      </c>
      <c r="R53" s="196"/>
      <c r="S53" s="196"/>
      <c r="T53" s="196"/>
      <c r="U53" s="196"/>
      <c r="V53" s="196"/>
      <c r="W53" s="184"/>
      <c r="X53" s="184"/>
    </row>
    <row r="54" spans="1:24" s="135" customFormat="1" ht="12.75" x14ac:dyDescent="0.2">
      <c r="A54" s="149">
        <f t="shared" si="3"/>
        <v>2</v>
      </c>
      <c r="B54" s="160" t="s">
        <v>130</v>
      </c>
      <c r="C54" s="196">
        <f t="shared" si="5"/>
        <v>700</v>
      </c>
      <c r="D54" s="196">
        <f t="shared" si="5"/>
        <v>700</v>
      </c>
      <c r="E54" s="196">
        <f t="shared" si="5"/>
        <v>0</v>
      </c>
      <c r="F54" s="196">
        <f t="shared" si="5"/>
        <v>0</v>
      </c>
      <c r="G54" s="196">
        <f t="shared" si="5"/>
        <v>0</v>
      </c>
      <c r="H54" s="196">
        <f t="shared" si="5"/>
        <v>0</v>
      </c>
      <c r="I54" s="196">
        <f t="shared" si="5"/>
        <v>0</v>
      </c>
      <c r="J54" s="196">
        <f t="shared" si="5"/>
        <v>0</v>
      </c>
      <c r="K54" s="196">
        <f t="shared" si="5"/>
        <v>0</v>
      </c>
      <c r="L54" s="196">
        <f t="shared" si="5"/>
        <v>0</v>
      </c>
      <c r="M54" s="196">
        <f t="shared" si="5"/>
        <v>0</v>
      </c>
      <c r="N54" s="196">
        <f t="shared" si="5"/>
        <v>0</v>
      </c>
      <c r="O54" s="196">
        <f t="shared" si="5"/>
        <v>0</v>
      </c>
      <c r="P54" s="196">
        <f t="shared" si="5"/>
        <v>0</v>
      </c>
      <c r="Q54" s="196">
        <f t="shared" si="5"/>
        <v>0</v>
      </c>
      <c r="R54" s="196"/>
      <c r="S54" s="196"/>
      <c r="T54" s="196"/>
      <c r="U54" s="196"/>
      <c r="V54" s="196"/>
      <c r="W54" s="184"/>
      <c r="X54" s="184"/>
    </row>
    <row r="55" spans="1:24" s="135" customFormat="1" ht="12.75" x14ac:dyDescent="0.2">
      <c r="A55" s="149">
        <f t="shared" si="3"/>
        <v>1</v>
      </c>
      <c r="B55" s="160" t="s">
        <v>131</v>
      </c>
      <c r="C55" s="196">
        <f t="shared" si="5"/>
        <v>700</v>
      </c>
      <c r="D55" s="196">
        <f t="shared" si="5"/>
        <v>0</v>
      </c>
      <c r="E55" s="196">
        <f t="shared" si="5"/>
        <v>0</v>
      </c>
      <c r="F55" s="196">
        <f t="shared" si="5"/>
        <v>0</v>
      </c>
      <c r="G55" s="196">
        <f t="shared" si="5"/>
        <v>0</v>
      </c>
      <c r="H55" s="196">
        <f t="shared" si="5"/>
        <v>0</v>
      </c>
      <c r="I55" s="196">
        <f t="shared" si="5"/>
        <v>0</v>
      </c>
      <c r="J55" s="196">
        <f t="shared" si="5"/>
        <v>0</v>
      </c>
      <c r="K55" s="196">
        <f t="shared" si="5"/>
        <v>0</v>
      </c>
      <c r="L55" s="196">
        <f t="shared" si="5"/>
        <v>0</v>
      </c>
      <c r="M55" s="196">
        <f t="shared" si="5"/>
        <v>0</v>
      </c>
      <c r="N55" s="196">
        <f t="shared" si="5"/>
        <v>0</v>
      </c>
      <c r="O55" s="196">
        <f t="shared" si="5"/>
        <v>0</v>
      </c>
      <c r="P55" s="196">
        <f t="shared" si="5"/>
        <v>0</v>
      </c>
      <c r="Q55" s="196">
        <f t="shared" si="5"/>
        <v>0</v>
      </c>
      <c r="R55" s="196"/>
      <c r="S55" s="196"/>
      <c r="T55" s="196"/>
      <c r="U55" s="196"/>
      <c r="V55" s="196"/>
      <c r="W55" s="184"/>
      <c r="X55" s="184"/>
    </row>
    <row r="56" spans="1:24" s="135" customFormat="1" ht="12.75" x14ac:dyDescent="0.2">
      <c r="A56" s="149">
        <f t="shared" si="3"/>
        <v>0</v>
      </c>
      <c r="B56" s="160" t="s">
        <v>132</v>
      </c>
      <c r="C56" s="196">
        <f t="shared" si="5"/>
        <v>0</v>
      </c>
      <c r="D56" s="196">
        <f t="shared" si="5"/>
        <v>0</v>
      </c>
      <c r="E56" s="196">
        <f t="shared" si="5"/>
        <v>0</v>
      </c>
      <c r="F56" s="196">
        <f t="shared" si="5"/>
        <v>0</v>
      </c>
      <c r="G56" s="196">
        <f t="shared" si="5"/>
        <v>0</v>
      </c>
      <c r="H56" s="196">
        <f t="shared" si="5"/>
        <v>0</v>
      </c>
      <c r="I56" s="196">
        <f t="shared" si="5"/>
        <v>0</v>
      </c>
      <c r="J56" s="196">
        <f t="shared" si="5"/>
        <v>0</v>
      </c>
      <c r="K56" s="196">
        <f t="shared" si="5"/>
        <v>0</v>
      </c>
      <c r="L56" s="196">
        <f t="shared" si="5"/>
        <v>0</v>
      </c>
      <c r="M56" s="196">
        <f t="shared" si="5"/>
        <v>0</v>
      </c>
      <c r="N56" s="196">
        <f t="shared" si="5"/>
        <v>0</v>
      </c>
      <c r="O56" s="196">
        <f t="shared" si="5"/>
        <v>0</v>
      </c>
      <c r="P56" s="196">
        <f t="shared" si="5"/>
        <v>0</v>
      </c>
      <c r="Q56" s="196">
        <f t="shared" si="5"/>
        <v>0</v>
      </c>
      <c r="R56" s="196"/>
      <c r="S56" s="196"/>
      <c r="T56" s="196"/>
      <c r="U56" s="196"/>
      <c r="V56" s="196"/>
      <c r="W56" s="180"/>
    </row>
    <row r="57" spans="1:24" s="135" customFormat="1" ht="12.75" x14ac:dyDescent="0.2">
      <c r="A57" s="149"/>
      <c r="B57" s="160"/>
      <c r="C57" s="196"/>
      <c r="D57" s="196"/>
      <c r="E57" s="196"/>
      <c r="F57" s="196"/>
      <c r="G57" s="196"/>
      <c r="H57" s="196"/>
      <c r="I57" s="196"/>
      <c r="J57" s="196"/>
      <c r="K57" s="196"/>
      <c r="L57" s="196"/>
      <c r="M57" s="196"/>
      <c r="N57" s="196"/>
      <c r="O57" s="196"/>
      <c r="P57" s="196"/>
      <c r="Q57" s="196"/>
      <c r="R57" s="196"/>
      <c r="S57" s="196"/>
      <c r="T57" s="196"/>
      <c r="U57" s="196"/>
      <c r="V57" s="196"/>
      <c r="W57" s="180"/>
    </row>
    <row r="58" spans="1:24" s="135" customFormat="1" ht="12.75" x14ac:dyDescent="0.2">
      <c r="B58" s="198" t="s">
        <v>464</v>
      </c>
      <c r="C58" s="196"/>
      <c r="D58" s="196"/>
      <c r="E58" s="196"/>
      <c r="F58" s="196"/>
      <c r="G58" s="196"/>
      <c r="H58" s="196"/>
      <c r="I58" s="196"/>
      <c r="J58" s="196"/>
      <c r="K58" s="196"/>
      <c r="L58" s="196"/>
      <c r="M58" s="196"/>
      <c r="N58" s="196"/>
      <c r="O58" s="196"/>
      <c r="P58" s="196"/>
      <c r="Q58" s="196"/>
      <c r="R58" s="196"/>
      <c r="S58" s="196"/>
      <c r="T58" s="196"/>
      <c r="U58" s="196"/>
      <c r="V58" s="196"/>
    </row>
    <row r="59" spans="1:24" s="135" customFormat="1" ht="12.75" x14ac:dyDescent="0.2">
      <c r="A59" s="149"/>
      <c r="B59" s="160" t="s">
        <v>133</v>
      </c>
      <c r="C59" s="196">
        <f>SUM(C41:$Q41)*finance_rate</f>
        <v>598.5</v>
      </c>
      <c r="D59" s="196">
        <f>SUM(D41:$Q41)*finance_rate</f>
        <v>558.6</v>
      </c>
      <c r="E59" s="196">
        <f>SUM(E41:$Q41)*finance_rate</f>
        <v>518.70000000000005</v>
      </c>
      <c r="F59" s="196">
        <f>SUM(F41:$Q41)*finance_rate</f>
        <v>478.8</v>
      </c>
      <c r="G59" s="196">
        <f>SUM(G41:$Q41)*finance_rate</f>
        <v>438.90000000000003</v>
      </c>
      <c r="H59" s="196">
        <f>SUM(H41:$Q41)*finance_rate</f>
        <v>399</v>
      </c>
      <c r="I59" s="196">
        <f>SUM(I41:$Q41)*finance_rate</f>
        <v>359.1</v>
      </c>
      <c r="J59" s="196">
        <f>SUM(J41:$Q41)*finance_rate</f>
        <v>319.2</v>
      </c>
      <c r="K59" s="196">
        <f>SUM(K41:$Q41)*finance_rate</f>
        <v>279.3</v>
      </c>
      <c r="L59" s="196">
        <f>SUM(L41:$Q41)*finance_rate</f>
        <v>239.4</v>
      </c>
      <c r="M59" s="196">
        <f>SUM(M41:$Q41)*finance_rate</f>
        <v>199.5</v>
      </c>
      <c r="N59" s="196">
        <f>SUM(N41:$Q41)*finance_rate</f>
        <v>159.6</v>
      </c>
      <c r="O59" s="196">
        <f>SUM(O41:$Q41)*finance_rate</f>
        <v>119.7</v>
      </c>
      <c r="P59" s="196">
        <f>SUM(P41:$Q41)*finance_rate</f>
        <v>79.8</v>
      </c>
      <c r="Q59" s="196">
        <f>SUM(Q41:$Q41)*finance_rate</f>
        <v>39.9</v>
      </c>
      <c r="R59" s="196"/>
      <c r="S59" s="196"/>
      <c r="T59" s="196"/>
      <c r="U59" s="196"/>
      <c r="V59" s="196"/>
      <c r="W59" s="184"/>
      <c r="X59" s="184"/>
    </row>
    <row r="60" spans="1:24" s="135" customFormat="1" ht="12.75" x14ac:dyDescent="0.2">
      <c r="A60" s="149"/>
      <c r="B60" s="135" t="s">
        <v>112</v>
      </c>
      <c r="C60" s="196">
        <f>SUM(C42:$Q42)*finance_rate</f>
        <v>558.6</v>
      </c>
      <c r="D60" s="196">
        <f>SUM(D42:$Q42)*finance_rate</f>
        <v>518.70000000000005</v>
      </c>
      <c r="E60" s="196">
        <f>SUM(E42:$Q42)*finance_rate</f>
        <v>478.8</v>
      </c>
      <c r="F60" s="196">
        <f>SUM(F42:$Q42)*finance_rate</f>
        <v>438.90000000000003</v>
      </c>
      <c r="G60" s="196">
        <f>SUM(G42:$Q42)*finance_rate</f>
        <v>399</v>
      </c>
      <c r="H60" s="196">
        <f>SUM(H42:$Q42)*finance_rate</f>
        <v>359.1</v>
      </c>
      <c r="I60" s="196">
        <f>SUM(I42:$Q42)*finance_rate</f>
        <v>319.2</v>
      </c>
      <c r="J60" s="196">
        <f>SUM(J42:$Q42)*finance_rate</f>
        <v>279.3</v>
      </c>
      <c r="K60" s="196">
        <f>SUM(K42:$Q42)*finance_rate</f>
        <v>239.4</v>
      </c>
      <c r="L60" s="196">
        <f>SUM(L42:$Q42)*finance_rate</f>
        <v>199.5</v>
      </c>
      <c r="M60" s="196">
        <f>SUM(M42:$Q42)*finance_rate</f>
        <v>159.6</v>
      </c>
      <c r="N60" s="196">
        <f>SUM(N42:$Q42)*finance_rate</f>
        <v>119.7</v>
      </c>
      <c r="O60" s="196">
        <f>SUM(O42:$Q42)*finance_rate</f>
        <v>79.8</v>
      </c>
      <c r="P60" s="196">
        <f>SUM(P42:$Q42)*finance_rate</f>
        <v>39.9</v>
      </c>
      <c r="Q60" s="196">
        <f>SUM(Q42:$Q42)*finance_rate</f>
        <v>0</v>
      </c>
      <c r="R60" s="196"/>
      <c r="S60" s="196"/>
      <c r="T60" s="196"/>
      <c r="U60" s="196"/>
      <c r="V60" s="196"/>
      <c r="W60" s="184"/>
      <c r="X60" s="184"/>
    </row>
    <row r="61" spans="1:24" s="135" customFormat="1" ht="12.75" x14ac:dyDescent="0.2">
      <c r="A61" s="149"/>
      <c r="B61" s="160" t="s">
        <v>113</v>
      </c>
      <c r="C61" s="196">
        <f>SUM(C43:$Q43)*finance_rate</f>
        <v>518.70000000000005</v>
      </c>
      <c r="D61" s="196">
        <f>SUM(D43:$Q43)*finance_rate</f>
        <v>478.8</v>
      </c>
      <c r="E61" s="196">
        <f>SUM(E43:$Q43)*finance_rate</f>
        <v>438.90000000000003</v>
      </c>
      <c r="F61" s="196">
        <f>SUM(F43:$Q43)*finance_rate</f>
        <v>399</v>
      </c>
      <c r="G61" s="196">
        <f>SUM(G43:$Q43)*finance_rate</f>
        <v>359.1</v>
      </c>
      <c r="H61" s="196">
        <f>SUM(H43:$Q43)*finance_rate</f>
        <v>319.2</v>
      </c>
      <c r="I61" s="196">
        <f>SUM(I43:$Q43)*finance_rate</f>
        <v>279.3</v>
      </c>
      <c r="J61" s="196">
        <f>SUM(J43:$Q43)*finance_rate</f>
        <v>239.4</v>
      </c>
      <c r="K61" s="196">
        <f>SUM(K43:$Q43)*finance_rate</f>
        <v>199.5</v>
      </c>
      <c r="L61" s="196">
        <f>SUM(L43:$Q43)*finance_rate</f>
        <v>159.6</v>
      </c>
      <c r="M61" s="196">
        <f>SUM(M43:$Q43)*finance_rate</f>
        <v>119.7</v>
      </c>
      <c r="N61" s="196">
        <f>SUM(N43:$Q43)*finance_rate</f>
        <v>79.8</v>
      </c>
      <c r="O61" s="196">
        <f>SUM(O43:$Q43)*finance_rate</f>
        <v>39.9</v>
      </c>
      <c r="P61" s="196">
        <f>SUM(P43:$Q43)*finance_rate</f>
        <v>0</v>
      </c>
      <c r="Q61" s="196">
        <f>SUM(Q43:$Q43)*finance_rate</f>
        <v>0</v>
      </c>
      <c r="R61" s="196"/>
      <c r="S61" s="196"/>
      <c r="T61" s="196"/>
      <c r="U61" s="196"/>
      <c r="V61" s="196"/>
      <c r="W61" s="184"/>
      <c r="X61" s="184"/>
    </row>
    <row r="62" spans="1:24" s="135" customFormat="1" ht="12.75" x14ac:dyDescent="0.2">
      <c r="A62" s="149"/>
      <c r="B62" s="135" t="s">
        <v>114</v>
      </c>
      <c r="C62" s="196">
        <f>SUM(C44:$Q44)*finance_rate</f>
        <v>478.8</v>
      </c>
      <c r="D62" s="196">
        <f>SUM(D44:$Q44)*finance_rate</f>
        <v>438.90000000000003</v>
      </c>
      <c r="E62" s="196">
        <f>SUM(E44:$Q44)*finance_rate</f>
        <v>399</v>
      </c>
      <c r="F62" s="196">
        <f>SUM(F44:$Q44)*finance_rate</f>
        <v>359.1</v>
      </c>
      <c r="G62" s="196">
        <f>SUM(G44:$Q44)*finance_rate</f>
        <v>319.2</v>
      </c>
      <c r="H62" s="196">
        <f>SUM(H44:$Q44)*finance_rate</f>
        <v>279.3</v>
      </c>
      <c r="I62" s="196">
        <f>SUM(I44:$Q44)*finance_rate</f>
        <v>239.4</v>
      </c>
      <c r="J62" s="196">
        <f>SUM(J44:$Q44)*finance_rate</f>
        <v>199.5</v>
      </c>
      <c r="K62" s="196">
        <f>SUM(K44:$Q44)*finance_rate</f>
        <v>159.6</v>
      </c>
      <c r="L62" s="196">
        <f>SUM(L44:$Q44)*finance_rate</f>
        <v>119.7</v>
      </c>
      <c r="M62" s="196">
        <f>SUM(M44:$Q44)*finance_rate</f>
        <v>79.8</v>
      </c>
      <c r="N62" s="196">
        <f>SUM(N44:$Q44)*finance_rate</f>
        <v>39.9</v>
      </c>
      <c r="O62" s="196">
        <f>SUM(O44:$Q44)*finance_rate</f>
        <v>0</v>
      </c>
      <c r="P62" s="196">
        <f>SUM(P44:$Q44)*finance_rate</f>
        <v>0</v>
      </c>
      <c r="Q62" s="196">
        <f>SUM(Q44:$Q44)*finance_rate</f>
        <v>0</v>
      </c>
      <c r="R62" s="196"/>
      <c r="S62" s="196"/>
      <c r="T62" s="196"/>
      <c r="U62" s="196"/>
      <c r="V62" s="196"/>
      <c r="W62" s="184"/>
      <c r="X62" s="184"/>
    </row>
    <row r="63" spans="1:24" s="135" customFormat="1" ht="12.75" x14ac:dyDescent="0.2">
      <c r="A63" s="149"/>
      <c r="B63" s="160" t="s">
        <v>115</v>
      </c>
      <c r="C63" s="196">
        <f>SUM(C45:$Q45)*finance_rate</f>
        <v>438.90000000000003</v>
      </c>
      <c r="D63" s="196">
        <f>SUM(D45:$Q45)*finance_rate</f>
        <v>399</v>
      </c>
      <c r="E63" s="196">
        <f>SUM(E45:$Q45)*finance_rate</f>
        <v>359.1</v>
      </c>
      <c r="F63" s="196">
        <f>SUM(F45:$Q45)*finance_rate</f>
        <v>319.2</v>
      </c>
      <c r="G63" s="196">
        <f>SUM(G45:$Q45)*finance_rate</f>
        <v>279.3</v>
      </c>
      <c r="H63" s="196">
        <f>SUM(H45:$Q45)*finance_rate</f>
        <v>239.4</v>
      </c>
      <c r="I63" s="196">
        <f>SUM(I45:$Q45)*finance_rate</f>
        <v>199.5</v>
      </c>
      <c r="J63" s="196">
        <f>SUM(J45:$Q45)*finance_rate</f>
        <v>159.6</v>
      </c>
      <c r="K63" s="196">
        <f>SUM(K45:$Q45)*finance_rate</f>
        <v>119.7</v>
      </c>
      <c r="L63" s="196">
        <f>SUM(L45:$Q45)*finance_rate</f>
        <v>79.8</v>
      </c>
      <c r="M63" s="196">
        <f>SUM(M45:$Q45)*finance_rate</f>
        <v>39.9</v>
      </c>
      <c r="N63" s="196">
        <f>SUM(N45:$Q45)*finance_rate</f>
        <v>0</v>
      </c>
      <c r="O63" s="196">
        <f>SUM(O45:$Q45)*finance_rate</f>
        <v>0</v>
      </c>
      <c r="P63" s="196">
        <f>SUM(P45:$Q45)*finance_rate</f>
        <v>0</v>
      </c>
      <c r="Q63" s="196">
        <f>SUM(Q45:$Q45)*finance_rate</f>
        <v>0</v>
      </c>
      <c r="R63" s="196"/>
      <c r="S63" s="196"/>
      <c r="T63" s="196"/>
      <c r="U63" s="196"/>
      <c r="V63" s="196"/>
      <c r="W63" s="184"/>
      <c r="X63" s="184"/>
    </row>
    <row r="64" spans="1:24" s="135" customFormat="1" ht="12.75" x14ac:dyDescent="0.2">
      <c r="A64" s="149"/>
      <c r="B64" s="135" t="s">
        <v>116</v>
      </c>
      <c r="C64" s="196">
        <f>SUM(C46:$Q46)*finance_rate</f>
        <v>399</v>
      </c>
      <c r="D64" s="196">
        <f>SUM(D46:$Q46)*finance_rate</f>
        <v>359.1</v>
      </c>
      <c r="E64" s="196">
        <f>SUM(E46:$Q46)*finance_rate</f>
        <v>319.2</v>
      </c>
      <c r="F64" s="196">
        <f>SUM(F46:$Q46)*finance_rate</f>
        <v>279.3</v>
      </c>
      <c r="G64" s="196">
        <f>SUM(G46:$Q46)*finance_rate</f>
        <v>239.4</v>
      </c>
      <c r="H64" s="196">
        <f>SUM(H46:$Q46)*finance_rate</f>
        <v>199.5</v>
      </c>
      <c r="I64" s="196">
        <f>SUM(I46:$Q46)*finance_rate</f>
        <v>159.6</v>
      </c>
      <c r="J64" s="196">
        <f>SUM(J46:$Q46)*finance_rate</f>
        <v>119.7</v>
      </c>
      <c r="K64" s="196">
        <f>SUM(K46:$Q46)*finance_rate</f>
        <v>79.8</v>
      </c>
      <c r="L64" s="196">
        <f>SUM(L46:$Q46)*finance_rate</f>
        <v>39.9</v>
      </c>
      <c r="M64" s="196">
        <f>SUM(M46:$Q46)*finance_rate</f>
        <v>0</v>
      </c>
      <c r="N64" s="196">
        <f>SUM(N46:$Q46)*finance_rate</f>
        <v>0</v>
      </c>
      <c r="O64" s="196">
        <f>SUM(O46:$Q46)*finance_rate</f>
        <v>0</v>
      </c>
      <c r="P64" s="196">
        <f>SUM(P46:$Q46)*finance_rate</f>
        <v>0</v>
      </c>
      <c r="Q64" s="196">
        <f>SUM(Q46:$Q46)*finance_rate</f>
        <v>0</v>
      </c>
      <c r="R64" s="196"/>
      <c r="S64" s="196"/>
      <c r="T64" s="196"/>
      <c r="U64" s="196"/>
      <c r="V64" s="196"/>
      <c r="W64" s="184"/>
      <c r="X64" s="184"/>
    </row>
    <row r="65" spans="1:24" s="135" customFormat="1" ht="12.75" x14ac:dyDescent="0.2">
      <c r="A65" s="149"/>
      <c r="B65" s="160" t="s">
        <v>117</v>
      </c>
      <c r="C65" s="196">
        <f>SUM(C47:$Q47)*finance_rate</f>
        <v>359.1</v>
      </c>
      <c r="D65" s="196">
        <f>SUM(D47:$Q47)*finance_rate</f>
        <v>319.2</v>
      </c>
      <c r="E65" s="196">
        <f>SUM(E47:$Q47)*finance_rate</f>
        <v>279.3</v>
      </c>
      <c r="F65" s="196">
        <f>SUM(F47:$Q47)*finance_rate</f>
        <v>239.4</v>
      </c>
      <c r="G65" s="196">
        <f>SUM(G47:$Q47)*finance_rate</f>
        <v>199.5</v>
      </c>
      <c r="H65" s="196">
        <f>SUM(H47:$Q47)*finance_rate</f>
        <v>159.6</v>
      </c>
      <c r="I65" s="196">
        <f>SUM(I47:$Q47)*finance_rate</f>
        <v>119.7</v>
      </c>
      <c r="J65" s="196">
        <f>SUM(J47:$Q47)*finance_rate</f>
        <v>79.8</v>
      </c>
      <c r="K65" s="196">
        <f>SUM(K47:$Q47)*finance_rate</f>
        <v>39.9</v>
      </c>
      <c r="L65" s="196">
        <f>SUM(L47:$Q47)*finance_rate</f>
        <v>0</v>
      </c>
      <c r="M65" s="196">
        <f>SUM(M47:$Q47)*finance_rate</f>
        <v>0</v>
      </c>
      <c r="N65" s="196">
        <f>SUM(N47:$Q47)*finance_rate</f>
        <v>0</v>
      </c>
      <c r="O65" s="196">
        <f>SUM(O47:$Q47)*finance_rate</f>
        <v>0</v>
      </c>
      <c r="P65" s="196">
        <f>SUM(P47:$Q47)*finance_rate</f>
        <v>0</v>
      </c>
      <c r="Q65" s="196">
        <f>SUM(Q47:$Q47)*finance_rate</f>
        <v>0</v>
      </c>
      <c r="R65" s="196"/>
      <c r="S65" s="196"/>
      <c r="T65" s="196"/>
      <c r="U65" s="196"/>
      <c r="V65" s="196"/>
      <c r="W65" s="184"/>
      <c r="X65" s="184"/>
    </row>
    <row r="66" spans="1:24" s="135" customFormat="1" ht="12.75" x14ac:dyDescent="0.2">
      <c r="A66" s="149"/>
      <c r="B66" s="135" t="s">
        <v>118</v>
      </c>
      <c r="C66" s="196">
        <f>SUM(C48:$Q48)*finance_rate</f>
        <v>319.2</v>
      </c>
      <c r="D66" s="196">
        <f>SUM(D48:$Q48)*finance_rate</f>
        <v>279.3</v>
      </c>
      <c r="E66" s="196">
        <f>SUM(E48:$Q48)*finance_rate</f>
        <v>239.4</v>
      </c>
      <c r="F66" s="196">
        <f>SUM(F48:$Q48)*finance_rate</f>
        <v>199.5</v>
      </c>
      <c r="G66" s="196">
        <f>SUM(G48:$Q48)*finance_rate</f>
        <v>159.6</v>
      </c>
      <c r="H66" s="196">
        <f>SUM(H48:$Q48)*finance_rate</f>
        <v>119.7</v>
      </c>
      <c r="I66" s="196">
        <f>SUM(I48:$Q48)*finance_rate</f>
        <v>79.8</v>
      </c>
      <c r="J66" s="196">
        <f>SUM(J48:$Q48)*finance_rate</f>
        <v>39.9</v>
      </c>
      <c r="K66" s="196">
        <f>SUM(K48:$Q48)*finance_rate</f>
        <v>0</v>
      </c>
      <c r="L66" s="196">
        <f>SUM(L48:$Q48)*finance_rate</f>
        <v>0</v>
      </c>
      <c r="M66" s="196">
        <f>SUM(M48:$Q48)*finance_rate</f>
        <v>0</v>
      </c>
      <c r="N66" s="196">
        <f>SUM(N48:$Q48)*finance_rate</f>
        <v>0</v>
      </c>
      <c r="O66" s="196">
        <f>SUM(O48:$Q48)*finance_rate</f>
        <v>0</v>
      </c>
      <c r="P66" s="196">
        <f>SUM(P48:$Q48)*finance_rate</f>
        <v>0</v>
      </c>
      <c r="Q66" s="196">
        <f>SUM(Q48:$Q48)*finance_rate</f>
        <v>0</v>
      </c>
      <c r="R66" s="196"/>
      <c r="S66" s="196"/>
      <c r="T66" s="196"/>
      <c r="U66" s="196"/>
      <c r="V66" s="196"/>
      <c r="W66" s="184"/>
      <c r="X66" s="184"/>
    </row>
    <row r="67" spans="1:24" s="135" customFormat="1" ht="12.75" x14ac:dyDescent="0.2">
      <c r="A67" s="149"/>
      <c r="B67" s="160" t="s">
        <v>125</v>
      </c>
      <c r="C67" s="196">
        <f>SUM(C49:$Q49)*finance_rate</f>
        <v>279.3</v>
      </c>
      <c r="D67" s="196">
        <f>SUM(D49:$Q49)*finance_rate</f>
        <v>239.4</v>
      </c>
      <c r="E67" s="196">
        <f>SUM(E49:$Q49)*finance_rate</f>
        <v>199.5</v>
      </c>
      <c r="F67" s="196">
        <f>SUM(F49:$Q49)*finance_rate</f>
        <v>159.6</v>
      </c>
      <c r="G67" s="196">
        <f>SUM(G49:$Q49)*finance_rate</f>
        <v>119.7</v>
      </c>
      <c r="H67" s="196">
        <f>SUM(H49:$Q49)*finance_rate</f>
        <v>79.8</v>
      </c>
      <c r="I67" s="196">
        <f>SUM(I49:$Q49)*finance_rate</f>
        <v>39.9</v>
      </c>
      <c r="J67" s="196">
        <f>SUM(J49:$Q49)*finance_rate</f>
        <v>0</v>
      </c>
      <c r="K67" s="196">
        <f>SUM(K49:$Q49)*finance_rate</f>
        <v>0</v>
      </c>
      <c r="L67" s="196">
        <f>SUM(L49:$Q49)*finance_rate</f>
        <v>0</v>
      </c>
      <c r="M67" s="196">
        <f>SUM(M49:$Q49)*finance_rate</f>
        <v>0</v>
      </c>
      <c r="N67" s="196">
        <f>SUM(N49:$Q49)*finance_rate</f>
        <v>0</v>
      </c>
      <c r="O67" s="196">
        <f>SUM(O49:$Q49)*finance_rate</f>
        <v>0</v>
      </c>
      <c r="P67" s="196">
        <f>SUM(P49:$Q49)*finance_rate</f>
        <v>0</v>
      </c>
      <c r="Q67" s="196">
        <f>SUM(Q49:$Q49)*finance_rate</f>
        <v>0</v>
      </c>
      <c r="R67" s="196"/>
      <c r="S67" s="196"/>
      <c r="T67" s="196"/>
      <c r="U67" s="196"/>
      <c r="V67" s="196"/>
      <c r="W67" s="184"/>
      <c r="X67" s="184"/>
    </row>
    <row r="68" spans="1:24" s="135" customFormat="1" ht="12.75" x14ac:dyDescent="0.2">
      <c r="A68" s="149"/>
      <c r="B68" s="135" t="s">
        <v>126</v>
      </c>
      <c r="C68" s="196">
        <f>SUM(C50:$Q50)*finance_rate</f>
        <v>239.4</v>
      </c>
      <c r="D68" s="196">
        <f>SUM(D50:$Q50)*finance_rate</f>
        <v>199.5</v>
      </c>
      <c r="E68" s="196">
        <f>SUM(E50:$Q50)*finance_rate</f>
        <v>159.6</v>
      </c>
      <c r="F68" s="196">
        <f>SUM(F50:$Q50)*finance_rate</f>
        <v>119.7</v>
      </c>
      <c r="G68" s="196">
        <f>SUM(G50:$Q50)*finance_rate</f>
        <v>79.8</v>
      </c>
      <c r="H68" s="196">
        <f>SUM(H50:$Q50)*finance_rate</f>
        <v>39.9</v>
      </c>
      <c r="I68" s="196">
        <f>SUM(I50:$Q50)*finance_rate</f>
        <v>0</v>
      </c>
      <c r="J68" s="196">
        <f>SUM(J50:$Q50)*finance_rate</f>
        <v>0</v>
      </c>
      <c r="K68" s="196">
        <f>SUM(K50:$Q50)*finance_rate</f>
        <v>0</v>
      </c>
      <c r="L68" s="196">
        <f>SUM(L50:$Q50)*finance_rate</f>
        <v>0</v>
      </c>
      <c r="M68" s="196">
        <f>SUM(M50:$Q50)*finance_rate</f>
        <v>0</v>
      </c>
      <c r="N68" s="196">
        <f>SUM(N50:$Q50)*finance_rate</f>
        <v>0</v>
      </c>
      <c r="O68" s="196">
        <f>SUM(O50:$Q50)*finance_rate</f>
        <v>0</v>
      </c>
      <c r="P68" s="196">
        <f>SUM(P50:$Q50)*finance_rate</f>
        <v>0</v>
      </c>
      <c r="Q68" s="196">
        <f>SUM(Q50:$Q50)*finance_rate</f>
        <v>0</v>
      </c>
      <c r="R68" s="196"/>
      <c r="S68" s="196"/>
      <c r="T68" s="196"/>
      <c r="U68" s="196"/>
      <c r="V68" s="196"/>
      <c r="W68" s="184"/>
      <c r="X68" s="184"/>
    </row>
    <row r="69" spans="1:24" s="135" customFormat="1" ht="12.75" x14ac:dyDescent="0.2">
      <c r="A69" s="149"/>
      <c r="B69" s="160" t="s">
        <v>127</v>
      </c>
      <c r="C69" s="196">
        <f>SUM(C51:$Q51)*finance_rate</f>
        <v>199.5</v>
      </c>
      <c r="D69" s="196">
        <f>SUM(D51:$Q51)*finance_rate</f>
        <v>159.6</v>
      </c>
      <c r="E69" s="196">
        <f>SUM(E51:$Q51)*finance_rate</f>
        <v>119.7</v>
      </c>
      <c r="F69" s="196">
        <f>SUM(F51:$Q51)*finance_rate</f>
        <v>79.8</v>
      </c>
      <c r="G69" s="196">
        <f>SUM(G51:$Q51)*finance_rate</f>
        <v>39.9</v>
      </c>
      <c r="H69" s="196">
        <f>SUM(H51:$Q51)*finance_rate</f>
        <v>0</v>
      </c>
      <c r="I69" s="196">
        <f>SUM(I51:$Q51)*finance_rate</f>
        <v>0</v>
      </c>
      <c r="J69" s="196">
        <f>SUM(J51:$Q51)*finance_rate</f>
        <v>0</v>
      </c>
      <c r="K69" s="196">
        <f>SUM(K51:$Q51)*finance_rate</f>
        <v>0</v>
      </c>
      <c r="L69" s="196">
        <f>SUM(L51:$Q51)*finance_rate</f>
        <v>0</v>
      </c>
      <c r="M69" s="196">
        <f>SUM(M51:$Q51)*finance_rate</f>
        <v>0</v>
      </c>
      <c r="N69" s="196">
        <f>SUM(N51:$Q51)*finance_rate</f>
        <v>0</v>
      </c>
      <c r="O69" s="196">
        <f>SUM(O51:$Q51)*finance_rate</f>
        <v>0</v>
      </c>
      <c r="P69" s="196">
        <f>SUM(P51:$Q51)*finance_rate</f>
        <v>0</v>
      </c>
      <c r="Q69" s="196">
        <f>SUM(Q51:$Q51)*finance_rate</f>
        <v>0</v>
      </c>
      <c r="R69" s="196"/>
      <c r="S69" s="196"/>
      <c r="T69" s="196"/>
      <c r="U69" s="196"/>
      <c r="V69" s="196"/>
      <c r="W69" s="184"/>
      <c r="X69" s="184"/>
    </row>
    <row r="70" spans="1:24" s="135" customFormat="1" ht="12.75" x14ac:dyDescent="0.2">
      <c r="A70" s="149"/>
      <c r="B70" s="135" t="s">
        <v>128</v>
      </c>
      <c r="C70" s="196">
        <f>SUM(C52:$Q52)*finance_rate</f>
        <v>159.6</v>
      </c>
      <c r="D70" s="196">
        <f>SUM(D52:$Q52)*finance_rate</f>
        <v>119.7</v>
      </c>
      <c r="E70" s="196">
        <f>SUM(E52:$Q52)*finance_rate</f>
        <v>79.8</v>
      </c>
      <c r="F70" s="196">
        <f>SUM(F52:$Q52)*finance_rate</f>
        <v>39.9</v>
      </c>
      <c r="G70" s="196">
        <f>SUM(G52:$Q52)*finance_rate</f>
        <v>0</v>
      </c>
      <c r="H70" s="196">
        <f>SUM(H52:$Q52)*finance_rate</f>
        <v>0</v>
      </c>
      <c r="I70" s="196">
        <f>SUM(I52:$Q52)*finance_rate</f>
        <v>0</v>
      </c>
      <c r="J70" s="196">
        <f>SUM(J52:$Q52)*finance_rate</f>
        <v>0</v>
      </c>
      <c r="K70" s="196">
        <f>SUM(K52:$Q52)*finance_rate</f>
        <v>0</v>
      </c>
      <c r="L70" s="196">
        <f>SUM(L52:$Q52)*finance_rate</f>
        <v>0</v>
      </c>
      <c r="M70" s="196">
        <f>SUM(M52:$Q52)*finance_rate</f>
        <v>0</v>
      </c>
      <c r="N70" s="196">
        <f>SUM(N52:$Q52)*finance_rate</f>
        <v>0</v>
      </c>
      <c r="O70" s="196">
        <f>SUM(O52:$Q52)*finance_rate</f>
        <v>0</v>
      </c>
      <c r="P70" s="196">
        <f>SUM(P52:$Q52)*finance_rate</f>
        <v>0</v>
      </c>
      <c r="Q70" s="196">
        <f>SUM(Q52:$Q52)*finance_rate</f>
        <v>0</v>
      </c>
      <c r="R70" s="196"/>
      <c r="S70" s="196"/>
      <c r="T70" s="196"/>
      <c r="U70" s="196"/>
      <c r="V70" s="196"/>
      <c r="W70" s="184"/>
      <c r="X70" s="184"/>
    </row>
    <row r="71" spans="1:24" s="135" customFormat="1" ht="12.75" x14ac:dyDescent="0.2">
      <c r="A71" s="149"/>
      <c r="B71" s="160" t="s">
        <v>129</v>
      </c>
      <c r="C71" s="196">
        <f>SUM(C53:$Q53)*finance_rate</f>
        <v>119.7</v>
      </c>
      <c r="D71" s="196">
        <f>SUM(D53:$Q53)*finance_rate</f>
        <v>79.8</v>
      </c>
      <c r="E71" s="196">
        <f>SUM(E53:$Q53)*finance_rate</f>
        <v>39.9</v>
      </c>
      <c r="F71" s="196">
        <f>SUM(F53:$Q53)*finance_rate</f>
        <v>0</v>
      </c>
      <c r="G71" s="196">
        <f>SUM(G53:$Q53)*finance_rate</f>
        <v>0</v>
      </c>
      <c r="H71" s="196">
        <f>SUM(H53:$Q53)*finance_rate</f>
        <v>0</v>
      </c>
      <c r="I71" s="196">
        <f>SUM(I53:$Q53)*finance_rate</f>
        <v>0</v>
      </c>
      <c r="J71" s="196">
        <f>SUM(J53:$Q53)*finance_rate</f>
        <v>0</v>
      </c>
      <c r="K71" s="196">
        <f>SUM(K53:$Q53)*finance_rate</f>
        <v>0</v>
      </c>
      <c r="L71" s="196">
        <f>SUM(L53:$Q53)*finance_rate</f>
        <v>0</v>
      </c>
      <c r="M71" s="196">
        <f>SUM(M53:$Q53)*finance_rate</f>
        <v>0</v>
      </c>
      <c r="N71" s="196">
        <f>SUM(N53:$Q53)*finance_rate</f>
        <v>0</v>
      </c>
      <c r="O71" s="196">
        <f>SUM(O53:$Q53)*finance_rate</f>
        <v>0</v>
      </c>
      <c r="P71" s="196">
        <f>SUM(P53:$Q53)*finance_rate</f>
        <v>0</v>
      </c>
      <c r="Q71" s="196">
        <f>SUM(Q53:$Q53)*finance_rate</f>
        <v>0</v>
      </c>
      <c r="R71" s="196"/>
      <c r="S71" s="196"/>
      <c r="T71" s="196"/>
      <c r="U71" s="196"/>
      <c r="V71" s="196"/>
      <c r="W71" s="184"/>
      <c r="X71" s="184"/>
    </row>
    <row r="72" spans="1:24" s="135" customFormat="1" ht="12.75" x14ac:dyDescent="0.2">
      <c r="A72" s="149"/>
      <c r="B72" s="135" t="s">
        <v>130</v>
      </c>
      <c r="C72" s="196">
        <f>SUM(C54:$Q54)*finance_rate</f>
        <v>79.8</v>
      </c>
      <c r="D72" s="196">
        <f>SUM(D54:$Q54)*finance_rate</f>
        <v>39.9</v>
      </c>
      <c r="E72" s="196">
        <f>SUM(E54:$Q54)*finance_rate</f>
        <v>0</v>
      </c>
      <c r="F72" s="196">
        <f>SUM(F54:$Q54)*finance_rate</f>
        <v>0</v>
      </c>
      <c r="G72" s="196">
        <f>SUM(G54:$Q54)*finance_rate</f>
        <v>0</v>
      </c>
      <c r="H72" s="196">
        <f>SUM(H54:$Q54)*finance_rate</f>
        <v>0</v>
      </c>
      <c r="I72" s="196">
        <f>SUM(I54:$Q54)*finance_rate</f>
        <v>0</v>
      </c>
      <c r="J72" s="196">
        <f>SUM(J54:$Q54)*finance_rate</f>
        <v>0</v>
      </c>
      <c r="K72" s="196">
        <f>SUM(K54:$Q54)*finance_rate</f>
        <v>0</v>
      </c>
      <c r="L72" s="196">
        <f>SUM(L54:$Q54)*finance_rate</f>
        <v>0</v>
      </c>
      <c r="M72" s="196">
        <f>SUM(M54:$Q54)*finance_rate</f>
        <v>0</v>
      </c>
      <c r="N72" s="196">
        <f>SUM(N54:$Q54)*finance_rate</f>
        <v>0</v>
      </c>
      <c r="O72" s="196">
        <f>SUM(O54:$Q54)*finance_rate</f>
        <v>0</v>
      </c>
      <c r="P72" s="196">
        <f>SUM(P54:$Q54)*finance_rate</f>
        <v>0</v>
      </c>
      <c r="Q72" s="196">
        <f>SUM(Q54:$Q54)*finance_rate</f>
        <v>0</v>
      </c>
      <c r="R72" s="196"/>
      <c r="S72" s="196"/>
      <c r="T72" s="196"/>
      <c r="U72" s="196"/>
      <c r="V72" s="196"/>
      <c r="W72" s="184"/>
      <c r="X72" s="184"/>
    </row>
    <row r="73" spans="1:24" s="135" customFormat="1" ht="12.75" x14ac:dyDescent="0.2">
      <c r="A73" s="149"/>
      <c r="B73" s="160" t="s">
        <v>131</v>
      </c>
      <c r="C73" s="196">
        <f>SUM(C55:$Q55)*finance_rate</f>
        <v>39.9</v>
      </c>
      <c r="D73" s="196">
        <f>SUM(D55:$Q55)*finance_rate</f>
        <v>0</v>
      </c>
      <c r="E73" s="196">
        <f>SUM(E55:$Q55)*finance_rate</f>
        <v>0</v>
      </c>
      <c r="F73" s="196">
        <f>SUM(F55:$Q55)*finance_rate</f>
        <v>0</v>
      </c>
      <c r="G73" s="196">
        <f>SUM(G55:$Q55)*finance_rate</f>
        <v>0</v>
      </c>
      <c r="H73" s="196">
        <f>SUM(H55:$Q55)*finance_rate</f>
        <v>0</v>
      </c>
      <c r="I73" s="196">
        <f>SUM(I55:$Q55)*finance_rate</f>
        <v>0</v>
      </c>
      <c r="J73" s="196">
        <f>SUM(J55:$Q55)*finance_rate</f>
        <v>0</v>
      </c>
      <c r="K73" s="196">
        <f>SUM(K55:$Q55)*finance_rate</f>
        <v>0</v>
      </c>
      <c r="L73" s="196">
        <f>SUM(L55:$Q55)*finance_rate</f>
        <v>0</v>
      </c>
      <c r="M73" s="196">
        <f>SUM(M55:$Q55)*finance_rate</f>
        <v>0</v>
      </c>
      <c r="N73" s="196">
        <f>SUM(N55:$Q55)*finance_rate</f>
        <v>0</v>
      </c>
      <c r="O73" s="196">
        <f>SUM(O55:$Q55)*finance_rate</f>
        <v>0</v>
      </c>
      <c r="P73" s="196">
        <f>SUM(P55:$Q55)*finance_rate</f>
        <v>0</v>
      </c>
      <c r="Q73" s="196">
        <f>SUM(Q55:$Q55)*finance_rate</f>
        <v>0</v>
      </c>
      <c r="R73" s="196"/>
      <c r="S73" s="196"/>
      <c r="T73" s="196"/>
      <c r="U73" s="196"/>
      <c r="V73" s="196"/>
      <c r="W73" s="184"/>
      <c r="X73" s="184"/>
    </row>
    <row r="74" spans="1:24" s="135" customFormat="1" ht="12.75" x14ac:dyDescent="0.2">
      <c r="A74" s="149"/>
      <c r="B74" s="135" t="s">
        <v>132</v>
      </c>
      <c r="C74" s="196">
        <f>SUM(C56:$Q56)*finance_rate</f>
        <v>0</v>
      </c>
      <c r="D74" s="196">
        <f>SUM(D56:$Q56)*finance_rate</f>
        <v>0</v>
      </c>
      <c r="E74" s="196">
        <f>SUM(E56:$Q56)*finance_rate</f>
        <v>0</v>
      </c>
      <c r="F74" s="196">
        <f>SUM(F56:$Q56)*finance_rate</f>
        <v>0</v>
      </c>
      <c r="G74" s="196">
        <f>SUM(G56:$Q56)*finance_rate</f>
        <v>0</v>
      </c>
      <c r="H74" s="196">
        <f>SUM(H56:$Q56)*finance_rate</f>
        <v>0</v>
      </c>
      <c r="I74" s="196">
        <f>SUM(I56:$Q56)*finance_rate</f>
        <v>0</v>
      </c>
      <c r="J74" s="196">
        <f>SUM(J56:$Q56)*finance_rate</f>
        <v>0</v>
      </c>
      <c r="K74" s="196">
        <f>SUM(K56:$Q56)*finance_rate</f>
        <v>0</v>
      </c>
      <c r="L74" s="196">
        <f>SUM(L56:$Q56)*finance_rate</f>
        <v>0</v>
      </c>
      <c r="M74" s="196">
        <f>SUM(M56:$Q56)*finance_rate</f>
        <v>0</v>
      </c>
      <c r="N74" s="196">
        <f>SUM(N56:$Q56)*finance_rate</f>
        <v>0</v>
      </c>
      <c r="O74" s="196">
        <f>SUM(O56:$Q56)*finance_rate</f>
        <v>0</v>
      </c>
      <c r="P74" s="196">
        <f>SUM(P56:$Q56)*finance_rate</f>
        <v>0</v>
      </c>
      <c r="Q74" s="196">
        <f>SUM(Q56:$Q56)*finance_rate</f>
        <v>0</v>
      </c>
      <c r="R74" s="196"/>
      <c r="S74" s="196"/>
      <c r="T74" s="196"/>
      <c r="U74" s="196"/>
      <c r="V74" s="196"/>
    </row>
    <row r="75" spans="1:24" s="135" customFormat="1" ht="12.75" x14ac:dyDescent="0.2">
      <c r="A75" s="149"/>
      <c r="C75" s="196"/>
      <c r="D75" s="196"/>
      <c r="E75" s="196"/>
      <c r="F75" s="196"/>
      <c r="G75" s="196"/>
      <c r="H75" s="196"/>
      <c r="I75" s="196"/>
      <c r="J75" s="196"/>
      <c r="K75" s="196"/>
      <c r="L75" s="196"/>
      <c r="M75" s="196"/>
      <c r="N75" s="196"/>
      <c r="O75" s="196"/>
      <c r="P75" s="196"/>
      <c r="Q75" s="196"/>
      <c r="R75" s="196"/>
      <c r="S75" s="196"/>
      <c r="T75" s="196"/>
      <c r="U75" s="196"/>
      <c r="V75" s="196"/>
    </row>
    <row r="76" spans="1:24" s="135" customFormat="1" ht="12.75" x14ac:dyDescent="0.2">
      <c r="B76" s="198" t="s">
        <v>466</v>
      </c>
      <c r="C76" s="196"/>
      <c r="D76" s="196"/>
      <c r="E76" s="196"/>
      <c r="F76" s="196"/>
      <c r="G76" s="196"/>
      <c r="H76" s="196"/>
      <c r="I76" s="196"/>
      <c r="J76" s="196"/>
      <c r="K76" s="196"/>
      <c r="L76" s="196"/>
      <c r="M76" s="196"/>
      <c r="N76" s="196"/>
      <c r="O76" s="196"/>
      <c r="P76" s="196"/>
      <c r="Q76" s="196"/>
      <c r="R76" s="196"/>
      <c r="S76" s="196"/>
      <c r="T76" s="196"/>
      <c r="U76" s="196"/>
      <c r="V76" s="196"/>
    </row>
    <row r="77" spans="1:24" s="135" customFormat="1" ht="12.75" x14ac:dyDescent="0.2">
      <c r="A77" s="149"/>
      <c r="B77" s="160" t="s">
        <v>133</v>
      </c>
      <c r="C77" s="196">
        <f t="shared" ref="C77:C92" si="6">C41+C59</f>
        <v>1298.5</v>
      </c>
      <c r="D77" s="196">
        <f t="shared" ref="D77:Q77" si="7">D41+D59</f>
        <v>1258.5999999999999</v>
      </c>
      <c r="E77" s="196">
        <f t="shared" si="7"/>
        <v>1218.7</v>
      </c>
      <c r="F77" s="196">
        <f t="shared" si="7"/>
        <v>1178.8</v>
      </c>
      <c r="G77" s="196">
        <f t="shared" si="7"/>
        <v>1138.9000000000001</v>
      </c>
      <c r="H77" s="196">
        <f t="shared" si="7"/>
        <v>1099</v>
      </c>
      <c r="I77" s="196">
        <f t="shared" si="7"/>
        <v>1059.0999999999999</v>
      </c>
      <c r="J77" s="196">
        <f t="shared" si="7"/>
        <v>1019.2</v>
      </c>
      <c r="K77" s="196">
        <f t="shared" si="7"/>
        <v>979.3</v>
      </c>
      <c r="L77" s="196">
        <f t="shared" si="7"/>
        <v>939.4</v>
      </c>
      <c r="M77" s="196">
        <f t="shared" si="7"/>
        <v>899.5</v>
      </c>
      <c r="N77" s="196">
        <f t="shared" si="7"/>
        <v>859.6</v>
      </c>
      <c r="O77" s="196">
        <f t="shared" si="7"/>
        <v>819.7</v>
      </c>
      <c r="P77" s="196">
        <f t="shared" si="7"/>
        <v>779.8</v>
      </c>
      <c r="Q77" s="196">
        <f t="shared" si="7"/>
        <v>739.9</v>
      </c>
      <c r="R77" s="196"/>
      <c r="S77" s="196"/>
      <c r="T77" s="196"/>
      <c r="U77" s="196"/>
      <c r="V77" s="196"/>
      <c r="W77" s="184"/>
      <c r="X77" s="184"/>
    </row>
    <row r="78" spans="1:24" s="135" customFormat="1" ht="12.75" x14ac:dyDescent="0.2">
      <c r="A78" s="149"/>
      <c r="B78" s="160" t="s">
        <v>112</v>
      </c>
      <c r="C78" s="196">
        <f t="shared" si="6"/>
        <v>1258.5999999999999</v>
      </c>
      <c r="D78" s="196">
        <f t="shared" ref="D78:Q78" si="8">D42+D60</f>
        <v>1218.7</v>
      </c>
      <c r="E78" s="196">
        <f t="shared" si="8"/>
        <v>1178.8</v>
      </c>
      <c r="F78" s="196">
        <f t="shared" si="8"/>
        <v>1138.9000000000001</v>
      </c>
      <c r="G78" s="196">
        <f t="shared" si="8"/>
        <v>1099</v>
      </c>
      <c r="H78" s="196">
        <f t="shared" si="8"/>
        <v>1059.0999999999999</v>
      </c>
      <c r="I78" s="196">
        <f t="shared" si="8"/>
        <v>1019.2</v>
      </c>
      <c r="J78" s="196">
        <f t="shared" si="8"/>
        <v>979.3</v>
      </c>
      <c r="K78" s="196">
        <f t="shared" si="8"/>
        <v>939.4</v>
      </c>
      <c r="L78" s="196">
        <f t="shared" si="8"/>
        <v>899.5</v>
      </c>
      <c r="M78" s="196">
        <f t="shared" si="8"/>
        <v>859.6</v>
      </c>
      <c r="N78" s="196">
        <f t="shared" si="8"/>
        <v>819.7</v>
      </c>
      <c r="O78" s="196">
        <f t="shared" si="8"/>
        <v>779.8</v>
      </c>
      <c r="P78" s="196">
        <f t="shared" si="8"/>
        <v>739.9</v>
      </c>
      <c r="Q78" s="196">
        <f t="shared" si="8"/>
        <v>0</v>
      </c>
      <c r="R78" s="196"/>
      <c r="S78" s="196"/>
      <c r="T78" s="196"/>
      <c r="U78" s="196"/>
      <c r="V78" s="196"/>
      <c r="W78" s="184"/>
      <c r="X78" s="184"/>
    </row>
    <row r="79" spans="1:24" s="135" customFormat="1" ht="12.75" x14ac:dyDescent="0.2">
      <c r="A79" s="149"/>
      <c r="B79" s="160" t="s">
        <v>113</v>
      </c>
      <c r="C79" s="196">
        <f t="shared" si="6"/>
        <v>1218.7</v>
      </c>
      <c r="D79" s="196">
        <f t="shared" ref="D79:Q79" si="9">D43+D61</f>
        <v>1178.8</v>
      </c>
      <c r="E79" s="196">
        <f t="shared" si="9"/>
        <v>1138.9000000000001</v>
      </c>
      <c r="F79" s="196">
        <f t="shared" si="9"/>
        <v>1099</v>
      </c>
      <c r="G79" s="196">
        <f t="shared" si="9"/>
        <v>1059.0999999999999</v>
      </c>
      <c r="H79" s="196">
        <f t="shared" si="9"/>
        <v>1019.2</v>
      </c>
      <c r="I79" s="196">
        <f t="shared" si="9"/>
        <v>979.3</v>
      </c>
      <c r="J79" s="196">
        <f t="shared" si="9"/>
        <v>939.4</v>
      </c>
      <c r="K79" s="196">
        <f t="shared" si="9"/>
        <v>899.5</v>
      </c>
      <c r="L79" s="196">
        <f t="shared" si="9"/>
        <v>859.6</v>
      </c>
      <c r="M79" s="196">
        <f t="shared" si="9"/>
        <v>819.7</v>
      </c>
      <c r="N79" s="196">
        <f t="shared" si="9"/>
        <v>779.8</v>
      </c>
      <c r="O79" s="196">
        <f t="shared" si="9"/>
        <v>739.9</v>
      </c>
      <c r="P79" s="196">
        <f t="shared" si="9"/>
        <v>0</v>
      </c>
      <c r="Q79" s="196">
        <f t="shared" si="9"/>
        <v>0</v>
      </c>
      <c r="R79" s="196"/>
      <c r="S79" s="196"/>
      <c r="T79" s="196"/>
      <c r="U79" s="196"/>
      <c r="V79" s="196"/>
      <c r="W79" s="184"/>
      <c r="X79" s="184"/>
    </row>
    <row r="80" spans="1:24" s="135" customFormat="1" ht="12.75" x14ac:dyDescent="0.2">
      <c r="A80" s="149"/>
      <c r="B80" s="160" t="s">
        <v>114</v>
      </c>
      <c r="C80" s="196">
        <f t="shared" si="6"/>
        <v>1178.8</v>
      </c>
      <c r="D80" s="196">
        <f t="shared" ref="D80:Q80" si="10">D44+D62</f>
        <v>1138.9000000000001</v>
      </c>
      <c r="E80" s="196">
        <f t="shared" si="10"/>
        <v>1099</v>
      </c>
      <c r="F80" s="196">
        <f t="shared" si="10"/>
        <v>1059.0999999999999</v>
      </c>
      <c r="G80" s="196">
        <f t="shared" si="10"/>
        <v>1019.2</v>
      </c>
      <c r="H80" s="196">
        <f t="shared" si="10"/>
        <v>979.3</v>
      </c>
      <c r="I80" s="196">
        <f t="shared" si="10"/>
        <v>939.4</v>
      </c>
      <c r="J80" s="196">
        <f t="shared" si="10"/>
        <v>899.5</v>
      </c>
      <c r="K80" s="196">
        <f t="shared" si="10"/>
        <v>859.6</v>
      </c>
      <c r="L80" s="196">
        <f t="shared" si="10"/>
        <v>819.7</v>
      </c>
      <c r="M80" s="196">
        <f t="shared" si="10"/>
        <v>779.8</v>
      </c>
      <c r="N80" s="196">
        <f t="shared" si="10"/>
        <v>739.9</v>
      </c>
      <c r="O80" s="196">
        <f t="shared" si="10"/>
        <v>0</v>
      </c>
      <c r="P80" s="196">
        <f t="shared" si="10"/>
        <v>0</v>
      </c>
      <c r="Q80" s="196">
        <f t="shared" si="10"/>
        <v>0</v>
      </c>
      <c r="R80" s="196"/>
      <c r="S80" s="196"/>
      <c r="T80" s="196"/>
      <c r="U80" s="196"/>
      <c r="V80" s="196"/>
      <c r="W80" s="184"/>
      <c r="X80" s="184"/>
    </row>
    <row r="81" spans="1:24" s="135" customFormat="1" ht="12.75" x14ac:dyDescent="0.2">
      <c r="A81" s="149"/>
      <c r="B81" s="160" t="s">
        <v>115</v>
      </c>
      <c r="C81" s="196">
        <f t="shared" si="6"/>
        <v>1138.9000000000001</v>
      </c>
      <c r="D81" s="196">
        <f t="shared" ref="D81:Q81" si="11">D45+D63</f>
        <v>1099</v>
      </c>
      <c r="E81" s="196">
        <f t="shared" si="11"/>
        <v>1059.0999999999999</v>
      </c>
      <c r="F81" s="196">
        <f t="shared" si="11"/>
        <v>1019.2</v>
      </c>
      <c r="G81" s="196">
        <f t="shared" si="11"/>
        <v>979.3</v>
      </c>
      <c r="H81" s="196">
        <f t="shared" si="11"/>
        <v>939.4</v>
      </c>
      <c r="I81" s="196">
        <f t="shared" si="11"/>
        <v>899.5</v>
      </c>
      <c r="J81" s="196">
        <f t="shared" si="11"/>
        <v>859.6</v>
      </c>
      <c r="K81" s="196">
        <f t="shared" si="11"/>
        <v>819.7</v>
      </c>
      <c r="L81" s="196">
        <f t="shared" si="11"/>
        <v>779.8</v>
      </c>
      <c r="M81" s="196">
        <f t="shared" si="11"/>
        <v>739.9</v>
      </c>
      <c r="N81" s="196">
        <f t="shared" si="11"/>
        <v>0</v>
      </c>
      <c r="O81" s="196">
        <f t="shared" si="11"/>
        <v>0</v>
      </c>
      <c r="P81" s="196">
        <f t="shared" si="11"/>
        <v>0</v>
      </c>
      <c r="Q81" s="196">
        <f t="shared" si="11"/>
        <v>0</v>
      </c>
      <c r="R81" s="196"/>
      <c r="S81" s="196"/>
      <c r="T81" s="196"/>
      <c r="U81" s="196"/>
      <c r="V81" s="196"/>
      <c r="W81" s="184"/>
      <c r="X81" s="184"/>
    </row>
    <row r="82" spans="1:24" s="135" customFormat="1" ht="12.75" x14ac:dyDescent="0.2">
      <c r="A82" s="149"/>
      <c r="B82" s="160" t="s">
        <v>116</v>
      </c>
      <c r="C82" s="196">
        <f t="shared" si="6"/>
        <v>1099</v>
      </c>
      <c r="D82" s="196">
        <f t="shared" ref="D82:Q82" si="12">D46+D64</f>
        <v>1059.0999999999999</v>
      </c>
      <c r="E82" s="196">
        <f t="shared" si="12"/>
        <v>1019.2</v>
      </c>
      <c r="F82" s="196">
        <f t="shared" si="12"/>
        <v>979.3</v>
      </c>
      <c r="G82" s="196">
        <f t="shared" si="12"/>
        <v>939.4</v>
      </c>
      <c r="H82" s="196">
        <f t="shared" si="12"/>
        <v>899.5</v>
      </c>
      <c r="I82" s="196">
        <f t="shared" si="12"/>
        <v>859.6</v>
      </c>
      <c r="J82" s="196">
        <f t="shared" si="12"/>
        <v>819.7</v>
      </c>
      <c r="K82" s="196">
        <f t="shared" si="12"/>
        <v>779.8</v>
      </c>
      <c r="L82" s="196">
        <f t="shared" si="12"/>
        <v>739.9</v>
      </c>
      <c r="M82" s="196">
        <f t="shared" si="12"/>
        <v>0</v>
      </c>
      <c r="N82" s="196">
        <f t="shared" si="12"/>
        <v>0</v>
      </c>
      <c r="O82" s="196">
        <f t="shared" si="12"/>
        <v>0</v>
      </c>
      <c r="P82" s="196">
        <f t="shared" si="12"/>
        <v>0</v>
      </c>
      <c r="Q82" s="196">
        <f t="shared" si="12"/>
        <v>0</v>
      </c>
      <c r="R82" s="196"/>
      <c r="S82" s="196"/>
      <c r="T82" s="196"/>
      <c r="U82" s="196"/>
      <c r="V82" s="196"/>
      <c r="W82" s="184"/>
      <c r="X82" s="184"/>
    </row>
    <row r="83" spans="1:24" s="135" customFormat="1" ht="12.75" x14ac:dyDescent="0.2">
      <c r="A83" s="149"/>
      <c r="B83" s="160" t="s">
        <v>117</v>
      </c>
      <c r="C83" s="196">
        <f t="shared" si="6"/>
        <v>1059.0999999999999</v>
      </c>
      <c r="D83" s="196">
        <f t="shared" ref="D83:Q83" si="13">D47+D65</f>
        <v>1019.2</v>
      </c>
      <c r="E83" s="196">
        <f t="shared" si="13"/>
        <v>979.3</v>
      </c>
      <c r="F83" s="196">
        <f t="shared" si="13"/>
        <v>939.4</v>
      </c>
      <c r="G83" s="196">
        <f t="shared" si="13"/>
        <v>899.5</v>
      </c>
      <c r="H83" s="196">
        <f t="shared" si="13"/>
        <v>859.6</v>
      </c>
      <c r="I83" s="196">
        <f t="shared" si="13"/>
        <v>819.7</v>
      </c>
      <c r="J83" s="196">
        <f t="shared" si="13"/>
        <v>779.8</v>
      </c>
      <c r="K83" s="196">
        <f t="shared" si="13"/>
        <v>739.9</v>
      </c>
      <c r="L83" s="196">
        <f t="shared" si="13"/>
        <v>0</v>
      </c>
      <c r="M83" s="196">
        <f t="shared" si="13"/>
        <v>0</v>
      </c>
      <c r="N83" s="196">
        <f t="shared" si="13"/>
        <v>0</v>
      </c>
      <c r="O83" s="196">
        <f t="shared" si="13"/>
        <v>0</v>
      </c>
      <c r="P83" s="196">
        <f t="shared" si="13"/>
        <v>0</v>
      </c>
      <c r="Q83" s="196">
        <f t="shared" si="13"/>
        <v>0</v>
      </c>
      <c r="R83" s="196"/>
      <c r="S83" s="196"/>
      <c r="T83" s="196"/>
      <c r="U83" s="196"/>
      <c r="V83" s="196"/>
      <c r="W83" s="184"/>
      <c r="X83" s="184"/>
    </row>
    <row r="84" spans="1:24" s="135" customFormat="1" ht="12.75" x14ac:dyDescent="0.2">
      <c r="A84" s="149"/>
      <c r="B84" s="160" t="s">
        <v>118</v>
      </c>
      <c r="C84" s="196">
        <f t="shared" si="6"/>
        <v>1019.2</v>
      </c>
      <c r="D84" s="196">
        <f t="shared" ref="D84:Q84" si="14">D48+D66</f>
        <v>979.3</v>
      </c>
      <c r="E84" s="196">
        <f t="shared" si="14"/>
        <v>939.4</v>
      </c>
      <c r="F84" s="196">
        <f t="shared" si="14"/>
        <v>899.5</v>
      </c>
      <c r="G84" s="196">
        <f t="shared" si="14"/>
        <v>859.6</v>
      </c>
      <c r="H84" s="196">
        <f t="shared" si="14"/>
        <v>819.7</v>
      </c>
      <c r="I84" s="196">
        <f t="shared" si="14"/>
        <v>779.8</v>
      </c>
      <c r="J84" s="196">
        <f t="shared" si="14"/>
        <v>739.9</v>
      </c>
      <c r="K84" s="196">
        <f t="shared" si="14"/>
        <v>0</v>
      </c>
      <c r="L84" s="196">
        <f t="shared" si="14"/>
        <v>0</v>
      </c>
      <c r="M84" s="196">
        <f t="shared" si="14"/>
        <v>0</v>
      </c>
      <c r="N84" s="196">
        <f t="shared" si="14"/>
        <v>0</v>
      </c>
      <c r="O84" s="196">
        <f t="shared" si="14"/>
        <v>0</v>
      </c>
      <c r="P84" s="196">
        <f t="shared" si="14"/>
        <v>0</v>
      </c>
      <c r="Q84" s="196">
        <f t="shared" si="14"/>
        <v>0</v>
      </c>
      <c r="R84" s="196"/>
      <c r="S84" s="196"/>
      <c r="T84" s="196"/>
      <c r="U84" s="196"/>
      <c r="V84" s="196"/>
      <c r="W84" s="184"/>
      <c r="X84" s="184"/>
    </row>
    <row r="85" spans="1:24" s="135" customFormat="1" ht="12.75" x14ac:dyDescent="0.2">
      <c r="A85" s="149"/>
      <c r="B85" s="160" t="s">
        <v>125</v>
      </c>
      <c r="C85" s="196">
        <f t="shared" si="6"/>
        <v>979.3</v>
      </c>
      <c r="D85" s="196">
        <f t="shared" ref="D85:Q85" si="15">D49+D67</f>
        <v>939.4</v>
      </c>
      <c r="E85" s="196">
        <f t="shared" si="15"/>
        <v>899.5</v>
      </c>
      <c r="F85" s="196">
        <f t="shared" si="15"/>
        <v>859.6</v>
      </c>
      <c r="G85" s="196">
        <f t="shared" si="15"/>
        <v>819.7</v>
      </c>
      <c r="H85" s="196">
        <f t="shared" si="15"/>
        <v>779.8</v>
      </c>
      <c r="I85" s="196">
        <f t="shared" si="15"/>
        <v>739.9</v>
      </c>
      <c r="J85" s="196">
        <f t="shared" si="15"/>
        <v>0</v>
      </c>
      <c r="K85" s="196">
        <f t="shared" si="15"/>
        <v>0</v>
      </c>
      <c r="L85" s="196">
        <f t="shared" si="15"/>
        <v>0</v>
      </c>
      <c r="M85" s="196">
        <f t="shared" si="15"/>
        <v>0</v>
      </c>
      <c r="N85" s="196">
        <f t="shared" si="15"/>
        <v>0</v>
      </c>
      <c r="O85" s="196">
        <f t="shared" si="15"/>
        <v>0</v>
      </c>
      <c r="P85" s="196">
        <f t="shared" si="15"/>
        <v>0</v>
      </c>
      <c r="Q85" s="196">
        <f t="shared" si="15"/>
        <v>0</v>
      </c>
      <c r="R85" s="196"/>
      <c r="S85" s="196"/>
      <c r="T85" s="196"/>
      <c r="U85" s="196"/>
      <c r="V85" s="196"/>
      <c r="W85" s="184"/>
      <c r="X85" s="184"/>
    </row>
    <row r="86" spans="1:24" s="135" customFormat="1" ht="12.75" x14ac:dyDescent="0.2">
      <c r="A86" s="149"/>
      <c r="B86" s="160" t="s">
        <v>126</v>
      </c>
      <c r="C86" s="196">
        <f t="shared" si="6"/>
        <v>939.4</v>
      </c>
      <c r="D86" s="196">
        <f t="shared" ref="D86:Q86" si="16">D50+D68</f>
        <v>899.5</v>
      </c>
      <c r="E86" s="196">
        <f t="shared" si="16"/>
        <v>859.6</v>
      </c>
      <c r="F86" s="196">
        <f t="shared" si="16"/>
        <v>819.7</v>
      </c>
      <c r="G86" s="196">
        <f t="shared" si="16"/>
        <v>779.8</v>
      </c>
      <c r="H86" s="196">
        <f t="shared" si="16"/>
        <v>739.9</v>
      </c>
      <c r="I86" s="196">
        <f t="shared" si="16"/>
        <v>0</v>
      </c>
      <c r="J86" s="196">
        <f t="shared" si="16"/>
        <v>0</v>
      </c>
      <c r="K86" s="196">
        <f t="shared" si="16"/>
        <v>0</v>
      </c>
      <c r="L86" s="196">
        <f t="shared" si="16"/>
        <v>0</v>
      </c>
      <c r="M86" s="196">
        <f t="shared" si="16"/>
        <v>0</v>
      </c>
      <c r="N86" s="196">
        <f t="shared" si="16"/>
        <v>0</v>
      </c>
      <c r="O86" s="196">
        <f t="shared" si="16"/>
        <v>0</v>
      </c>
      <c r="P86" s="196">
        <f t="shared" si="16"/>
        <v>0</v>
      </c>
      <c r="Q86" s="196">
        <f t="shared" si="16"/>
        <v>0</v>
      </c>
      <c r="R86" s="196"/>
      <c r="S86" s="196"/>
      <c r="T86" s="196"/>
      <c r="U86" s="196"/>
      <c r="V86" s="196"/>
      <c r="W86" s="184"/>
      <c r="X86" s="184"/>
    </row>
    <row r="87" spans="1:24" s="135" customFormat="1" ht="12.75" x14ac:dyDescent="0.2">
      <c r="A87" s="149"/>
      <c r="B87" s="160" t="s">
        <v>127</v>
      </c>
      <c r="C87" s="196">
        <f t="shared" si="6"/>
        <v>899.5</v>
      </c>
      <c r="D87" s="196">
        <f t="shared" ref="D87:Q87" si="17">D51+D69</f>
        <v>859.6</v>
      </c>
      <c r="E87" s="196">
        <f t="shared" si="17"/>
        <v>819.7</v>
      </c>
      <c r="F87" s="196">
        <f t="shared" si="17"/>
        <v>779.8</v>
      </c>
      <c r="G87" s="196">
        <f t="shared" si="17"/>
        <v>739.9</v>
      </c>
      <c r="H87" s="196">
        <f t="shared" si="17"/>
        <v>0</v>
      </c>
      <c r="I87" s="196">
        <f t="shared" si="17"/>
        <v>0</v>
      </c>
      <c r="J87" s="196">
        <f t="shared" si="17"/>
        <v>0</v>
      </c>
      <c r="K87" s="196">
        <f t="shared" si="17"/>
        <v>0</v>
      </c>
      <c r="L87" s="196">
        <f t="shared" si="17"/>
        <v>0</v>
      </c>
      <c r="M87" s="196">
        <f t="shared" si="17"/>
        <v>0</v>
      </c>
      <c r="N87" s="196">
        <f t="shared" si="17"/>
        <v>0</v>
      </c>
      <c r="O87" s="196">
        <f t="shared" si="17"/>
        <v>0</v>
      </c>
      <c r="P87" s="196">
        <f t="shared" si="17"/>
        <v>0</v>
      </c>
      <c r="Q87" s="196">
        <f t="shared" si="17"/>
        <v>0</v>
      </c>
      <c r="R87" s="196"/>
      <c r="S87" s="196"/>
      <c r="T87" s="196"/>
      <c r="U87" s="196"/>
      <c r="V87" s="196"/>
      <c r="W87" s="184"/>
      <c r="X87" s="184"/>
    </row>
    <row r="88" spans="1:24" s="135" customFormat="1" ht="12.75" x14ac:dyDescent="0.2">
      <c r="A88" s="149"/>
      <c r="B88" s="160" t="s">
        <v>128</v>
      </c>
      <c r="C88" s="196">
        <f t="shared" si="6"/>
        <v>859.6</v>
      </c>
      <c r="D88" s="196">
        <f t="shared" ref="D88:Q88" si="18">D52+D70</f>
        <v>819.7</v>
      </c>
      <c r="E88" s="196">
        <f t="shared" si="18"/>
        <v>779.8</v>
      </c>
      <c r="F88" s="196">
        <f t="shared" si="18"/>
        <v>739.9</v>
      </c>
      <c r="G88" s="196">
        <f t="shared" si="18"/>
        <v>0</v>
      </c>
      <c r="H88" s="196">
        <f t="shared" si="18"/>
        <v>0</v>
      </c>
      <c r="I88" s="196">
        <f t="shared" si="18"/>
        <v>0</v>
      </c>
      <c r="J88" s="196">
        <f t="shared" si="18"/>
        <v>0</v>
      </c>
      <c r="K88" s="196">
        <f t="shared" si="18"/>
        <v>0</v>
      </c>
      <c r="L88" s="196">
        <f t="shared" si="18"/>
        <v>0</v>
      </c>
      <c r="M88" s="196">
        <f t="shared" si="18"/>
        <v>0</v>
      </c>
      <c r="N88" s="196">
        <f t="shared" si="18"/>
        <v>0</v>
      </c>
      <c r="O88" s="196">
        <f t="shared" si="18"/>
        <v>0</v>
      </c>
      <c r="P88" s="196">
        <f t="shared" si="18"/>
        <v>0</v>
      </c>
      <c r="Q88" s="196">
        <f t="shared" si="18"/>
        <v>0</v>
      </c>
      <c r="R88" s="196"/>
      <c r="S88" s="196"/>
      <c r="T88" s="196"/>
      <c r="U88" s="196"/>
      <c r="V88" s="196"/>
      <c r="W88" s="184"/>
      <c r="X88" s="184"/>
    </row>
    <row r="89" spans="1:24" s="135" customFormat="1" ht="12.75" x14ac:dyDescent="0.2">
      <c r="A89" s="149"/>
      <c r="B89" s="160" t="s">
        <v>129</v>
      </c>
      <c r="C89" s="196">
        <f t="shared" si="6"/>
        <v>819.7</v>
      </c>
      <c r="D89" s="196">
        <f t="shared" ref="D89:Q89" si="19">D53+D71</f>
        <v>779.8</v>
      </c>
      <c r="E89" s="196">
        <f t="shared" si="19"/>
        <v>739.9</v>
      </c>
      <c r="F89" s="196">
        <f t="shared" si="19"/>
        <v>0</v>
      </c>
      <c r="G89" s="196">
        <f t="shared" si="19"/>
        <v>0</v>
      </c>
      <c r="H89" s="196">
        <f t="shared" si="19"/>
        <v>0</v>
      </c>
      <c r="I89" s="196">
        <f t="shared" si="19"/>
        <v>0</v>
      </c>
      <c r="J89" s="196">
        <f t="shared" si="19"/>
        <v>0</v>
      </c>
      <c r="K89" s="196">
        <f t="shared" si="19"/>
        <v>0</v>
      </c>
      <c r="L89" s="196">
        <f t="shared" si="19"/>
        <v>0</v>
      </c>
      <c r="M89" s="196">
        <f t="shared" si="19"/>
        <v>0</v>
      </c>
      <c r="N89" s="196">
        <f t="shared" si="19"/>
        <v>0</v>
      </c>
      <c r="O89" s="196">
        <f t="shared" si="19"/>
        <v>0</v>
      </c>
      <c r="P89" s="196">
        <f t="shared" si="19"/>
        <v>0</v>
      </c>
      <c r="Q89" s="196">
        <f t="shared" si="19"/>
        <v>0</v>
      </c>
      <c r="R89" s="196"/>
      <c r="S89" s="196"/>
      <c r="T89" s="196"/>
      <c r="U89" s="196"/>
      <c r="V89" s="196"/>
      <c r="W89" s="184"/>
      <c r="X89" s="184"/>
    </row>
    <row r="90" spans="1:24" s="135" customFormat="1" ht="12.75" x14ac:dyDescent="0.2">
      <c r="A90" s="149"/>
      <c r="B90" s="160" t="s">
        <v>130</v>
      </c>
      <c r="C90" s="196">
        <f t="shared" si="6"/>
        <v>779.8</v>
      </c>
      <c r="D90" s="196">
        <f t="shared" ref="D90:Q90" si="20">D54+D72</f>
        <v>739.9</v>
      </c>
      <c r="E90" s="196">
        <f t="shared" si="20"/>
        <v>0</v>
      </c>
      <c r="F90" s="196">
        <f t="shared" si="20"/>
        <v>0</v>
      </c>
      <c r="G90" s="196">
        <f t="shared" si="20"/>
        <v>0</v>
      </c>
      <c r="H90" s="196">
        <f t="shared" si="20"/>
        <v>0</v>
      </c>
      <c r="I90" s="196">
        <f t="shared" si="20"/>
        <v>0</v>
      </c>
      <c r="J90" s="196">
        <f t="shared" si="20"/>
        <v>0</v>
      </c>
      <c r="K90" s="196">
        <f t="shared" si="20"/>
        <v>0</v>
      </c>
      <c r="L90" s="196">
        <f t="shared" si="20"/>
        <v>0</v>
      </c>
      <c r="M90" s="196">
        <f t="shared" si="20"/>
        <v>0</v>
      </c>
      <c r="N90" s="196">
        <f t="shared" si="20"/>
        <v>0</v>
      </c>
      <c r="O90" s="196">
        <f t="shared" si="20"/>
        <v>0</v>
      </c>
      <c r="P90" s="196">
        <f t="shared" si="20"/>
        <v>0</v>
      </c>
      <c r="Q90" s="196">
        <f t="shared" si="20"/>
        <v>0</v>
      </c>
      <c r="R90" s="196"/>
      <c r="S90" s="196"/>
      <c r="T90" s="196"/>
      <c r="U90" s="196"/>
      <c r="V90" s="196"/>
      <c r="W90" s="184"/>
      <c r="X90" s="184"/>
    </row>
    <row r="91" spans="1:24" s="135" customFormat="1" ht="12.75" x14ac:dyDescent="0.2">
      <c r="A91" s="149"/>
      <c r="B91" s="160" t="s">
        <v>131</v>
      </c>
      <c r="C91" s="196">
        <f t="shared" si="6"/>
        <v>739.9</v>
      </c>
      <c r="D91" s="196">
        <f t="shared" ref="D91:Q91" si="21">D55+D73</f>
        <v>0</v>
      </c>
      <c r="E91" s="196">
        <f t="shared" si="21"/>
        <v>0</v>
      </c>
      <c r="F91" s="196">
        <f t="shared" si="21"/>
        <v>0</v>
      </c>
      <c r="G91" s="196">
        <f t="shared" si="21"/>
        <v>0</v>
      </c>
      <c r="H91" s="196">
        <f t="shared" si="21"/>
        <v>0</v>
      </c>
      <c r="I91" s="196">
        <f t="shared" si="21"/>
        <v>0</v>
      </c>
      <c r="J91" s="196">
        <f t="shared" si="21"/>
        <v>0</v>
      </c>
      <c r="K91" s="196">
        <f t="shared" si="21"/>
        <v>0</v>
      </c>
      <c r="L91" s="196">
        <f t="shared" si="21"/>
        <v>0</v>
      </c>
      <c r="M91" s="196">
        <f t="shared" si="21"/>
        <v>0</v>
      </c>
      <c r="N91" s="196">
        <f t="shared" si="21"/>
        <v>0</v>
      </c>
      <c r="O91" s="196">
        <f t="shared" si="21"/>
        <v>0</v>
      </c>
      <c r="P91" s="196">
        <f t="shared" si="21"/>
        <v>0</v>
      </c>
      <c r="Q91" s="196">
        <f t="shared" si="21"/>
        <v>0</v>
      </c>
      <c r="R91" s="196"/>
      <c r="S91" s="196"/>
      <c r="T91" s="196"/>
      <c r="U91" s="196"/>
      <c r="V91" s="196"/>
      <c r="W91" s="184"/>
      <c r="X91" s="184"/>
    </row>
    <row r="92" spans="1:24" s="135" customFormat="1" ht="12.75" x14ac:dyDescent="0.2">
      <c r="A92" s="149"/>
      <c r="B92" s="160" t="s">
        <v>132</v>
      </c>
      <c r="C92" s="196">
        <f t="shared" si="6"/>
        <v>0</v>
      </c>
      <c r="D92" s="196">
        <f t="shared" ref="D92:Q92" si="22">D56+D74</f>
        <v>0</v>
      </c>
      <c r="E92" s="196">
        <f t="shared" si="22"/>
        <v>0</v>
      </c>
      <c r="F92" s="196">
        <f t="shared" si="22"/>
        <v>0</v>
      </c>
      <c r="G92" s="196">
        <f t="shared" si="22"/>
        <v>0</v>
      </c>
      <c r="H92" s="196">
        <f t="shared" si="22"/>
        <v>0</v>
      </c>
      <c r="I92" s="196">
        <f t="shared" si="22"/>
        <v>0</v>
      </c>
      <c r="J92" s="196">
        <f t="shared" si="22"/>
        <v>0</v>
      </c>
      <c r="K92" s="196">
        <f t="shared" si="22"/>
        <v>0</v>
      </c>
      <c r="L92" s="196">
        <f t="shared" si="22"/>
        <v>0</v>
      </c>
      <c r="M92" s="196">
        <f t="shared" si="22"/>
        <v>0</v>
      </c>
      <c r="N92" s="196">
        <f t="shared" si="22"/>
        <v>0</v>
      </c>
      <c r="O92" s="196">
        <f t="shared" si="22"/>
        <v>0</v>
      </c>
      <c r="P92" s="196">
        <f t="shared" si="22"/>
        <v>0</v>
      </c>
      <c r="Q92" s="196">
        <f t="shared" si="22"/>
        <v>0</v>
      </c>
      <c r="R92" s="196"/>
      <c r="S92" s="196"/>
      <c r="T92" s="196"/>
      <c r="U92" s="196"/>
      <c r="V92" s="196"/>
      <c r="W92" s="181"/>
      <c r="X92" s="182"/>
    </row>
    <row r="93" spans="1:24" s="135" customFormat="1" ht="12.75" x14ac:dyDescent="0.2">
      <c r="C93" s="196"/>
      <c r="D93" s="196"/>
      <c r="E93" s="196"/>
      <c r="F93" s="196"/>
      <c r="G93" s="196"/>
      <c r="H93" s="196"/>
      <c r="I93" s="196"/>
      <c r="J93" s="196"/>
      <c r="K93" s="196"/>
      <c r="L93" s="196"/>
      <c r="M93" s="196"/>
      <c r="N93" s="196"/>
      <c r="O93" s="196"/>
      <c r="P93" s="196"/>
      <c r="Q93" s="196"/>
      <c r="R93" s="196"/>
      <c r="S93" s="196"/>
      <c r="T93" s="196"/>
      <c r="U93" s="196"/>
      <c r="V93" s="196"/>
      <c r="W93" s="183"/>
      <c r="X93" s="183"/>
    </row>
    <row r="94" spans="1:24" s="135" customFormat="1" ht="12.75" x14ac:dyDescent="0.2">
      <c r="B94" s="198" t="s">
        <v>77</v>
      </c>
      <c r="C94" s="196"/>
      <c r="D94" s="196"/>
      <c r="E94" s="196"/>
      <c r="F94" s="196"/>
      <c r="G94" s="196"/>
      <c r="H94" s="196"/>
      <c r="I94" s="196"/>
      <c r="J94" s="196"/>
      <c r="K94" s="196"/>
      <c r="L94" s="196"/>
      <c r="M94" s="196"/>
      <c r="N94" s="196"/>
      <c r="O94" s="196"/>
      <c r="P94" s="196"/>
      <c r="Q94" s="196"/>
      <c r="R94" s="196"/>
      <c r="S94" s="196"/>
      <c r="T94" s="196"/>
      <c r="U94" s="196"/>
      <c r="V94" s="196"/>
      <c r="W94" s="181" t="s">
        <v>357</v>
      </c>
      <c r="X94" s="182" t="s">
        <v>119</v>
      </c>
    </row>
    <row r="95" spans="1:24" s="135" customFormat="1" ht="12.75" x14ac:dyDescent="0.2">
      <c r="B95" s="135" t="s">
        <v>133</v>
      </c>
      <c r="C95" s="196">
        <f>C77*INDEX($C$23:$V$23, 1, MATCH(C$34,$C$21:$V$21,0))</f>
        <v>1254.5893719806763</v>
      </c>
      <c r="D95" s="196">
        <f t="shared" ref="D95:Q95" si="23">D77*INDEX($C$23:$V$23, 1, MATCH(D$34,$C$21:$V$21,0))</f>
        <v>1174.9165674811547</v>
      </c>
      <c r="E95" s="196">
        <f t="shared" si="23"/>
        <v>1099.1975753976189</v>
      </c>
      <c r="F95" s="196">
        <f t="shared" si="23"/>
        <v>1027.256098011077</v>
      </c>
      <c r="G95" s="196">
        <f t="shared" si="23"/>
        <v>958.9232397351733</v>
      </c>
      <c r="H95" s="196">
        <f t="shared" si="23"/>
        <v>894.03720809422032</v>
      </c>
      <c r="I95" s="196">
        <f t="shared" si="23"/>
        <v>832.44302646023277</v>
      </c>
      <c r="J95" s="196">
        <f t="shared" si="23"/>
        <v>773.99225809560255</v>
      </c>
      <c r="K95" s="196">
        <f t="shared" si="23"/>
        <v>718.54274106528908</v>
      </c>
      <c r="L95" s="196">
        <f t="shared" si="23"/>
        <v>665.95833359895994</v>
      </c>
      <c r="M95" s="196">
        <f t="shared" si="23"/>
        <v>616.10866949945898</v>
      </c>
      <c r="N95" s="196">
        <f t="shared" si="23"/>
        <v>568.86892320933532</v>
      </c>
      <c r="O95" s="196">
        <f t="shared" si="23"/>
        <v>524.11958416193158</v>
      </c>
      <c r="P95" s="196">
        <f t="shared" si="23"/>
        <v>481.74624005774962</v>
      </c>
      <c r="Q95" s="196">
        <f t="shared" si="23"/>
        <v>441.63936872049317</v>
      </c>
      <c r="R95" s="196"/>
      <c r="S95" s="196"/>
      <c r="T95" s="196"/>
      <c r="U95" s="196"/>
      <c r="V95" s="196"/>
      <c r="W95" s="184">
        <f>SUM(C95:V95)</f>
        <v>12032.339205568973</v>
      </c>
      <c r="X95" s="184">
        <f>SUM(H95:V95)</f>
        <v>6517.4563529632742</v>
      </c>
    </row>
    <row r="96" spans="1:24" s="135" customFormat="1" ht="12.75" x14ac:dyDescent="0.2">
      <c r="A96" s="180"/>
      <c r="B96" s="135" t="s">
        <v>112</v>
      </c>
      <c r="C96" s="196">
        <f t="shared" ref="C96:Q110" si="24">C78*INDEX($C$23:$V$23, 1, MATCH(C$34,$C$21:$V$21,0))</f>
        <v>1216.0386473429951</v>
      </c>
      <c r="D96" s="196">
        <f t="shared" si="24"/>
        <v>1137.6694905365355</v>
      </c>
      <c r="E96" s="196">
        <f t="shared" si="24"/>
        <v>1063.2100614414646</v>
      </c>
      <c r="F96" s="196">
        <f t="shared" si="24"/>
        <v>992.48555312590418</v>
      </c>
      <c r="G96" s="196">
        <f t="shared" si="24"/>
        <v>925.32851037751811</v>
      </c>
      <c r="H96" s="196">
        <f t="shared" si="24"/>
        <v>861.57853238634095</v>
      </c>
      <c r="I96" s="196">
        <f t="shared" si="24"/>
        <v>801.08198712894853</v>
      </c>
      <c r="J96" s="196">
        <f t="shared" si="24"/>
        <v>743.69173700257409</v>
      </c>
      <c r="K96" s="196">
        <f t="shared" si="24"/>
        <v>689.26687527492345</v>
      </c>
      <c r="L96" s="196">
        <f t="shared" si="24"/>
        <v>637.67247293194009</v>
      </c>
      <c r="M96" s="196">
        <f t="shared" si="24"/>
        <v>588.77933552166201</v>
      </c>
      <c r="N96" s="196">
        <f t="shared" si="24"/>
        <v>542.46376960759903</v>
      </c>
      <c r="O96" s="196">
        <f t="shared" si="24"/>
        <v>498.60735845977092</v>
      </c>
      <c r="P96" s="196">
        <f t="shared" si="24"/>
        <v>457.09674662571035</v>
      </c>
      <c r="Q96" s="196">
        <f t="shared" si="24"/>
        <v>0</v>
      </c>
      <c r="R96" s="196"/>
      <c r="S96" s="196"/>
      <c r="T96" s="196"/>
      <c r="U96" s="196"/>
      <c r="V96" s="196"/>
      <c r="W96" s="184">
        <f t="shared" ref="W96:W109" si="25">SUM(C96:V96)</f>
        <v>11154.971077763885</v>
      </c>
      <c r="X96" s="184">
        <f t="shared" ref="X96:X109" si="26">SUM(H96:V96)</f>
        <v>5820.2388149394692</v>
      </c>
    </row>
    <row r="97" spans="1:24" s="135" customFormat="1" ht="12.75" x14ac:dyDescent="0.2">
      <c r="A97" s="180"/>
      <c r="B97" s="160" t="s">
        <v>113</v>
      </c>
      <c r="C97" s="196">
        <f t="shared" si="24"/>
        <v>1177.4879227053141</v>
      </c>
      <c r="D97" s="196">
        <f t="shared" si="24"/>
        <v>1100.4224135919158</v>
      </c>
      <c r="E97" s="196">
        <f t="shared" si="24"/>
        <v>1027.2225474853108</v>
      </c>
      <c r="F97" s="196">
        <f t="shared" si="24"/>
        <v>957.71500824073109</v>
      </c>
      <c r="G97" s="196">
        <f t="shared" si="24"/>
        <v>891.73378101986293</v>
      </c>
      <c r="H97" s="196">
        <f t="shared" si="24"/>
        <v>829.1198566784617</v>
      </c>
      <c r="I97" s="196">
        <f t="shared" si="24"/>
        <v>769.72094779766405</v>
      </c>
      <c r="J97" s="196">
        <f t="shared" si="24"/>
        <v>713.39121590954574</v>
      </c>
      <c r="K97" s="196">
        <f t="shared" si="24"/>
        <v>659.99100948455794</v>
      </c>
      <c r="L97" s="196">
        <f t="shared" si="24"/>
        <v>609.38661226492013</v>
      </c>
      <c r="M97" s="196">
        <f t="shared" si="24"/>
        <v>561.45000154386503</v>
      </c>
      <c r="N97" s="196">
        <f t="shared" si="24"/>
        <v>516.05861600586275</v>
      </c>
      <c r="O97" s="196">
        <f t="shared" si="24"/>
        <v>473.09513275761026</v>
      </c>
      <c r="P97" s="196">
        <f t="shared" si="24"/>
        <v>0</v>
      </c>
      <c r="Q97" s="196">
        <f t="shared" si="24"/>
        <v>0</v>
      </c>
      <c r="R97" s="196"/>
      <c r="S97" s="196"/>
      <c r="T97" s="196"/>
      <c r="U97" s="196"/>
      <c r="V97" s="196"/>
      <c r="W97" s="184">
        <f t="shared" si="25"/>
        <v>10286.795065485621</v>
      </c>
      <c r="X97" s="184">
        <f t="shared" si="26"/>
        <v>5132.2133924424879</v>
      </c>
    </row>
    <row r="98" spans="1:24" s="135" customFormat="1" ht="12.75" x14ac:dyDescent="0.2">
      <c r="B98" s="135" t="s">
        <v>114</v>
      </c>
      <c r="C98" s="196">
        <f t="shared" si="24"/>
        <v>1138.9371980676328</v>
      </c>
      <c r="D98" s="196">
        <f t="shared" si="24"/>
        <v>1063.1753366472965</v>
      </c>
      <c r="E98" s="196">
        <f t="shared" si="24"/>
        <v>991.23503352915657</v>
      </c>
      <c r="F98" s="196">
        <f t="shared" si="24"/>
        <v>922.9444633555579</v>
      </c>
      <c r="G98" s="196">
        <f t="shared" si="24"/>
        <v>858.13905166220786</v>
      </c>
      <c r="H98" s="196">
        <f t="shared" si="24"/>
        <v>796.66118097058234</v>
      </c>
      <c r="I98" s="196">
        <f t="shared" si="24"/>
        <v>738.35990846637969</v>
      </c>
      <c r="J98" s="196">
        <f t="shared" si="24"/>
        <v>683.09069481651738</v>
      </c>
      <c r="K98" s="196">
        <f t="shared" si="24"/>
        <v>630.71514369419231</v>
      </c>
      <c r="L98" s="196">
        <f t="shared" si="24"/>
        <v>581.10075159790028</v>
      </c>
      <c r="M98" s="196">
        <f t="shared" si="24"/>
        <v>534.12066756606794</v>
      </c>
      <c r="N98" s="196">
        <f t="shared" si="24"/>
        <v>489.65346240412651</v>
      </c>
      <c r="O98" s="196">
        <f t="shared" si="24"/>
        <v>0</v>
      </c>
      <c r="P98" s="196">
        <f t="shared" si="24"/>
        <v>0</v>
      </c>
      <c r="Q98" s="196">
        <f t="shared" si="24"/>
        <v>0</v>
      </c>
      <c r="R98" s="196"/>
      <c r="S98" s="196"/>
      <c r="T98" s="196"/>
      <c r="U98" s="196"/>
      <c r="V98" s="196"/>
      <c r="W98" s="184">
        <f t="shared" si="25"/>
        <v>9428.1328927776194</v>
      </c>
      <c r="X98" s="184">
        <f t="shared" si="26"/>
        <v>4453.7018095157664</v>
      </c>
    </row>
    <row r="99" spans="1:24" s="135" customFormat="1" ht="12.75" x14ac:dyDescent="0.2">
      <c r="B99" s="160" t="s">
        <v>115</v>
      </c>
      <c r="C99" s="196">
        <f t="shared" si="24"/>
        <v>1100.3864734299518</v>
      </c>
      <c r="D99" s="196">
        <f t="shared" si="24"/>
        <v>1025.928259702677</v>
      </c>
      <c r="E99" s="196">
        <f t="shared" si="24"/>
        <v>955.24751957300236</v>
      </c>
      <c r="F99" s="196">
        <f t="shared" si="24"/>
        <v>888.17391847038505</v>
      </c>
      <c r="G99" s="196">
        <f t="shared" si="24"/>
        <v>824.54432230455268</v>
      </c>
      <c r="H99" s="196">
        <f t="shared" si="24"/>
        <v>764.20250526270297</v>
      </c>
      <c r="I99" s="196">
        <f t="shared" si="24"/>
        <v>706.99886913509533</v>
      </c>
      <c r="J99" s="196">
        <f t="shared" si="24"/>
        <v>652.79017372348903</v>
      </c>
      <c r="K99" s="196">
        <f t="shared" si="24"/>
        <v>601.43927790382679</v>
      </c>
      <c r="L99" s="196">
        <f t="shared" si="24"/>
        <v>552.81489093088032</v>
      </c>
      <c r="M99" s="196">
        <f t="shared" si="24"/>
        <v>506.79133358827096</v>
      </c>
      <c r="N99" s="196">
        <f t="shared" si="24"/>
        <v>0</v>
      </c>
      <c r="O99" s="196">
        <f t="shared" si="24"/>
        <v>0</v>
      </c>
      <c r="P99" s="196">
        <f t="shared" si="24"/>
        <v>0</v>
      </c>
      <c r="Q99" s="196">
        <f t="shared" si="24"/>
        <v>0</v>
      </c>
      <c r="R99" s="196"/>
      <c r="S99" s="196"/>
      <c r="T99" s="196"/>
      <c r="U99" s="196"/>
      <c r="V99" s="196"/>
      <c r="W99" s="184">
        <f t="shared" si="25"/>
        <v>8579.3175440248342</v>
      </c>
      <c r="X99" s="184">
        <f t="shared" si="26"/>
        <v>3785.0370505442652</v>
      </c>
    </row>
    <row r="100" spans="1:24" s="135" customFormat="1" ht="12.75" x14ac:dyDescent="0.2">
      <c r="B100" s="135" t="s">
        <v>116</v>
      </c>
      <c r="C100" s="196">
        <f t="shared" si="24"/>
        <v>1061.8357487922706</v>
      </c>
      <c r="D100" s="196">
        <f t="shared" si="24"/>
        <v>988.68118275805739</v>
      </c>
      <c r="E100" s="196">
        <f t="shared" si="24"/>
        <v>919.26000561684839</v>
      </c>
      <c r="F100" s="196">
        <f t="shared" si="24"/>
        <v>853.40337358521185</v>
      </c>
      <c r="G100" s="196">
        <f t="shared" si="24"/>
        <v>790.94959294689761</v>
      </c>
      <c r="H100" s="196">
        <f t="shared" si="24"/>
        <v>731.74382955482361</v>
      </c>
      <c r="I100" s="196">
        <f t="shared" si="24"/>
        <v>675.63782980381097</v>
      </c>
      <c r="J100" s="196">
        <f t="shared" si="24"/>
        <v>622.48965263046057</v>
      </c>
      <c r="K100" s="196">
        <f t="shared" si="24"/>
        <v>572.16341211346105</v>
      </c>
      <c r="L100" s="196">
        <f t="shared" si="24"/>
        <v>524.52903026386036</v>
      </c>
      <c r="M100" s="196">
        <f t="shared" si="24"/>
        <v>0</v>
      </c>
      <c r="N100" s="196">
        <f t="shared" si="24"/>
        <v>0</v>
      </c>
      <c r="O100" s="196">
        <f t="shared" si="24"/>
        <v>0</v>
      </c>
      <c r="P100" s="196">
        <f t="shared" si="24"/>
        <v>0</v>
      </c>
      <c r="Q100" s="196">
        <f t="shared" si="24"/>
        <v>0</v>
      </c>
      <c r="R100" s="196"/>
      <c r="S100" s="196"/>
      <c r="T100" s="196"/>
      <c r="U100" s="196"/>
      <c r="V100" s="196"/>
      <c r="W100" s="184">
        <f t="shared" si="25"/>
        <v>7740.693658065702</v>
      </c>
      <c r="X100" s="184">
        <f t="shared" si="26"/>
        <v>3126.5637543664166</v>
      </c>
    </row>
    <row r="101" spans="1:24" s="135" customFormat="1" ht="12.75" x14ac:dyDescent="0.2">
      <c r="B101" s="160" t="s">
        <v>117</v>
      </c>
      <c r="C101" s="196">
        <f t="shared" si="24"/>
        <v>1023.2850241545893</v>
      </c>
      <c r="D101" s="196">
        <f t="shared" si="24"/>
        <v>951.43410581343801</v>
      </c>
      <c r="E101" s="196">
        <f t="shared" si="24"/>
        <v>883.2724916606943</v>
      </c>
      <c r="F101" s="196">
        <f t="shared" si="24"/>
        <v>818.63282870003889</v>
      </c>
      <c r="G101" s="196">
        <f t="shared" si="24"/>
        <v>757.35486358924254</v>
      </c>
      <c r="H101" s="196">
        <f t="shared" si="24"/>
        <v>699.28515384694435</v>
      </c>
      <c r="I101" s="196">
        <f t="shared" si="24"/>
        <v>644.27679047252661</v>
      </c>
      <c r="J101" s="196">
        <f t="shared" si="24"/>
        <v>592.1891315374321</v>
      </c>
      <c r="K101" s="196">
        <f t="shared" si="24"/>
        <v>542.88754632309553</v>
      </c>
      <c r="L101" s="196">
        <f t="shared" si="24"/>
        <v>0</v>
      </c>
      <c r="M101" s="196">
        <f t="shared" si="24"/>
        <v>0</v>
      </c>
      <c r="N101" s="196">
        <f t="shared" si="24"/>
        <v>0</v>
      </c>
      <c r="O101" s="196">
        <f t="shared" si="24"/>
        <v>0</v>
      </c>
      <c r="P101" s="196">
        <f t="shared" si="24"/>
        <v>0</v>
      </c>
      <c r="Q101" s="196">
        <f t="shared" si="24"/>
        <v>0</v>
      </c>
      <c r="R101" s="196"/>
      <c r="S101" s="196"/>
      <c r="T101" s="196"/>
      <c r="U101" s="196"/>
      <c r="V101" s="196"/>
      <c r="W101" s="184">
        <f t="shared" si="25"/>
        <v>6912.6179360980013</v>
      </c>
      <c r="X101" s="184">
        <f t="shared" si="26"/>
        <v>2478.6386221799985</v>
      </c>
    </row>
    <row r="102" spans="1:24" s="135" customFormat="1" ht="12.75" x14ac:dyDescent="0.2">
      <c r="B102" s="135" t="s">
        <v>118</v>
      </c>
      <c r="C102" s="196">
        <f t="shared" si="24"/>
        <v>984.73429951690832</v>
      </c>
      <c r="D102" s="196">
        <f t="shared" si="24"/>
        <v>914.18702886881852</v>
      </c>
      <c r="E102" s="196">
        <f t="shared" si="24"/>
        <v>847.28497770454021</v>
      </c>
      <c r="F102" s="196">
        <f t="shared" si="24"/>
        <v>783.8622838148658</v>
      </c>
      <c r="G102" s="196">
        <f t="shared" si="24"/>
        <v>723.76013423158736</v>
      </c>
      <c r="H102" s="196">
        <f t="shared" si="24"/>
        <v>666.82647813906499</v>
      </c>
      <c r="I102" s="196">
        <f t="shared" si="24"/>
        <v>612.91575114124214</v>
      </c>
      <c r="J102" s="196">
        <f t="shared" si="24"/>
        <v>561.88861044440375</v>
      </c>
      <c r="K102" s="196">
        <f t="shared" si="24"/>
        <v>0</v>
      </c>
      <c r="L102" s="196">
        <f t="shared" si="24"/>
        <v>0</v>
      </c>
      <c r="M102" s="196">
        <f t="shared" si="24"/>
        <v>0</v>
      </c>
      <c r="N102" s="196">
        <f t="shared" si="24"/>
        <v>0</v>
      </c>
      <c r="O102" s="196">
        <f t="shared" si="24"/>
        <v>0</v>
      </c>
      <c r="P102" s="196">
        <f t="shared" si="24"/>
        <v>0</v>
      </c>
      <c r="Q102" s="196">
        <f t="shared" si="24"/>
        <v>0</v>
      </c>
      <c r="R102" s="196"/>
      <c r="S102" s="196"/>
      <c r="T102" s="196"/>
      <c r="U102" s="196"/>
      <c r="V102" s="196"/>
      <c r="W102" s="184">
        <f t="shared" si="25"/>
        <v>6095.459563861431</v>
      </c>
      <c r="X102" s="184">
        <f t="shared" si="26"/>
        <v>1841.6308397247108</v>
      </c>
    </row>
    <row r="103" spans="1:24" s="135" customFormat="1" ht="12.75" x14ac:dyDescent="0.2">
      <c r="A103" s="180"/>
      <c r="B103" s="135" t="s">
        <v>125</v>
      </c>
      <c r="C103" s="196">
        <f t="shared" si="24"/>
        <v>946.18357487922708</v>
      </c>
      <c r="D103" s="196">
        <f t="shared" si="24"/>
        <v>876.93995192419902</v>
      </c>
      <c r="E103" s="196">
        <f t="shared" si="24"/>
        <v>811.29746374838612</v>
      </c>
      <c r="F103" s="196">
        <f t="shared" si="24"/>
        <v>749.09173892969284</v>
      </c>
      <c r="G103" s="196">
        <f t="shared" si="24"/>
        <v>690.16540487393229</v>
      </c>
      <c r="H103" s="196">
        <f t="shared" si="24"/>
        <v>634.36780243118562</v>
      </c>
      <c r="I103" s="196">
        <f t="shared" si="24"/>
        <v>581.55471180995778</v>
      </c>
      <c r="J103" s="196">
        <f t="shared" si="24"/>
        <v>0</v>
      </c>
      <c r="K103" s="196">
        <f t="shared" si="24"/>
        <v>0</v>
      </c>
      <c r="L103" s="196">
        <f t="shared" si="24"/>
        <v>0</v>
      </c>
      <c r="M103" s="196">
        <f t="shared" si="24"/>
        <v>0</v>
      </c>
      <c r="N103" s="196">
        <f t="shared" si="24"/>
        <v>0</v>
      </c>
      <c r="O103" s="196">
        <f t="shared" si="24"/>
        <v>0</v>
      </c>
      <c r="P103" s="196">
        <f t="shared" si="24"/>
        <v>0</v>
      </c>
      <c r="Q103" s="196">
        <f t="shared" si="24"/>
        <v>0</v>
      </c>
      <c r="R103" s="196"/>
      <c r="S103" s="196"/>
      <c r="T103" s="196"/>
      <c r="U103" s="196"/>
      <c r="V103" s="196"/>
      <c r="W103" s="184">
        <f t="shared" si="25"/>
        <v>5289.6006485965809</v>
      </c>
      <c r="X103" s="184">
        <f t="shared" si="26"/>
        <v>1215.9225142411433</v>
      </c>
    </row>
    <row r="104" spans="1:24" s="135" customFormat="1" ht="12.75" x14ac:dyDescent="0.2">
      <c r="B104" s="135" t="s">
        <v>126</v>
      </c>
      <c r="C104" s="196">
        <f t="shared" si="24"/>
        <v>907.63285024154595</v>
      </c>
      <c r="D104" s="196">
        <f t="shared" si="24"/>
        <v>839.69287497957953</v>
      </c>
      <c r="E104" s="196">
        <f t="shared" si="24"/>
        <v>775.30994979223203</v>
      </c>
      <c r="F104" s="196">
        <f t="shared" si="24"/>
        <v>714.32119404451987</v>
      </c>
      <c r="G104" s="196">
        <f t="shared" si="24"/>
        <v>656.57067551627711</v>
      </c>
      <c r="H104" s="196">
        <f t="shared" si="24"/>
        <v>601.90912672330626</v>
      </c>
      <c r="I104" s="196">
        <f t="shared" si="24"/>
        <v>0</v>
      </c>
      <c r="J104" s="196">
        <f t="shared" si="24"/>
        <v>0</v>
      </c>
      <c r="K104" s="196">
        <f t="shared" si="24"/>
        <v>0</v>
      </c>
      <c r="L104" s="196">
        <f t="shared" si="24"/>
        <v>0</v>
      </c>
      <c r="M104" s="196">
        <f t="shared" si="24"/>
        <v>0</v>
      </c>
      <c r="N104" s="196">
        <f t="shared" si="24"/>
        <v>0</v>
      </c>
      <c r="O104" s="196">
        <f t="shared" si="24"/>
        <v>0</v>
      </c>
      <c r="P104" s="196">
        <f t="shared" si="24"/>
        <v>0</v>
      </c>
      <c r="Q104" s="196">
        <f t="shared" si="24"/>
        <v>0</v>
      </c>
      <c r="R104" s="196"/>
      <c r="S104" s="196"/>
      <c r="T104" s="196"/>
      <c r="U104" s="196"/>
      <c r="V104" s="196"/>
      <c r="W104" s="184">
        <f t="shared" si="25"/>
        <v>4495.4366712974606</v>
      </c>
      <c r="X104" s="184">
        <f t="shared" si="26"/>
        <v>601.90912672330626</v>
      </c>
    </row>
    <row r="105" spans="1:24" s="135" customFormat="1" ht="12.75" x14ac:dyDescent="0.2">
      <c r="B105" s="160" t="s">
        <v>127</v>
      </c>
      <c r="C105" s="196">
        <f t="shared" si="24"/>
        <v>869.08212560386482</v>
      </c>
      <c r="D105" s="196">
        <f t="shared" si="24"/>
        <v>802.44579803496003</v>
      </c>
      <c r="E105" s="196">
        <f t="shared" si="24"/>
        <v>739.32243583607794</v>
      </c>
      <c r="F105" s="196">
        <f t="shared" si="24"/>
        <v>679.55064915934668</v>
      </c>
      <c r="G105" s="196">
        <f t="shared" si="24"/>
        <v>622.97594615862204</v>
      </c>
      <c r="H105" s="196">
        <f t="shared" si="24"/>
        <v>0</v>
      </c>
      <c r="I105" s="196">
        <f t="shared" si="24"/>
        <v>0</v>
      </c>
      <c r="J105" s="196">
        <f t="shared" si="24"/>
        <v>0</v>
      </c>
      <c r="K105" s="196">
        <f t="shared" si="24"/>
        <v>0</v>
      </c>
      <c r="L105" s="196">
        <f t="shared" si="24"/>
        <v>0</v>
      </c>
      <c r="M105" s="196">
        <f t="shared" si="24"/>
        <v>0</v>
      </c>
      <c r="N105" s="196">
        <f t="shared" si="24"/>
        <v>0</v>
      </c>
      <c r="O105" s="196">
        <f t="shared" si="24"/>
        <v>0</v>
      </c>
      <c r="P105" s="196">
        <f t="shared" si="24"/>
        <v>0</v>
      </c>
      <c r="Q105" s="196">
        <f t="shared" si="24"/>
        <v>0</v>
      </c>
      <c r="R105" s="196"/>
      <c r="S105" s="196"/>
      <c r="T105" s="196"/>
      <c r="U105" s="196"/>
      <c r="V105" s="196"/>
      <c r="W105" s="184">
        <f t="shared" si="25"/>
        <v>3713.3769547928714</v>
      </c>
      <c r="X105" s="184">
        <f t="shared" si="26"/>
        <v>0</v>
      </c>
    </row>
    <row r="106" spans="1:24" s="135" customFormat="1" ht="12.75" x14ac:dyDescent="0.2">
      <c r="B106" s="135" t="s">
        <v>128</v>
      </c>
      <c r="C106" s="196">
        <f t="shared" si="24"/>
        <v>830.5314009661837</v>
      </c>
      <c r="D106" s="196">
        <f t="shared" si="24"/>
        <v>765.19872109034065</v>
      </c>
      <c r="E106" s="196">
        <f t="shared" si="24"/>
        <v>703.33492187992385</v>
      </c>
      <c r="F106" s="196">
        <f t="shared" si="24"/>
        <v>644.78010427417371</v>
      </c>
      <c r="G106" s="196">
        <f t="shared" si="24"/>
        <v>0</v>
      </c>
      <c r="H106" s="196">
        <f t="shared" si="24"/>
        <v>0</v>
      </c>
      <c r="I106" s="196">
        <f t="shared" si="24"/>
        <v>0</v>
      </c>
      <c r="J106" s="196">
        <f t="shared" si="24"/>
        <v>0</v>
      </c>
      <c r="K106" s="196">
        <f t="shared" si="24"/>
        <v>0</v>
      </c>
      <c r="L106" s="196">
        <f t="shared" si="24"/>
        <v>0</v>
      </c>
      <c r="M106" s="196">
        <f t="shared" si="24"/>
        <v>0</v>
      </c>
      <c r="N106" s="196">
        <f t="shared" si="24"/>
        <v>0</v>
      </c>
      <c r="O106" s="196">
        <f t="shared" si="24"/>
        <v>0</v>
      </c>
      <c r="P106" s="196">
        <f t="shared" si="24"/>
        <v>0</v>
      </c>
      <c r="Q106" s="196">
        <f t="shared" si="24"/>
        <v>0</v>
      </c>
      <c r="R106" s="196"/>
      <c r="S106" s="196"/>
      <c r="T106" s="196"/>
      <c r="U106" s="196"/>
      <c r="V106" s="196"/>
      <c r="W106" s="184">
        <f t="shared" si="25"/>
        <v>2943.845148210622</v>
      </c>
      <c r="X106" s="184">
        <f t="shared" si="26"/>
        <v>0</v>
      </c>
    </row>
    <row r="107" spans="1:24" s="135" customFormat="1" ht="12.75" x14ac:dyDescent="0.2">
      <c r="B107" s="160" t="s">
        <v>129</v>
      </c>
      <c r="C107" s="196">
        <f t="shared" si="24"/>
        <v>791.98067632850257</v>
      </c>
      <c r="D107" s="196">
        <f t="shared" si="24"/>
        <v>727.95164414572105</v>
      </c>
      <c r="E107" s="196">
        <f t="shared" si="24"/>
        <v>667.34740792376977</v>
      </c>
      <c r="F107" s="196">
        <f t="shared" si="24"/>
        <v>0</v>
      </c>
      <c r="G107" s="196">
        <f t="shared" si="24"/>
        <v>0</v>
      </c>
      <c r="H107" s="196">
        <f t="shared" si="24"/>
        <v>0</v>
      </c>
      <c r="I107" s="196">
        <f t="shared" si="24"/>
        <v>0</v>
      </c>
      <c r="J107" s="196">
        <f t="shared" si="24"/>
        <v>0</v>
      </c>
      <c r="K107" s="196">
        <f t="shared" si="24"/>
        <v>0</v>
      </c>
      <c r="L107" s="196">
        <f t="shared" si="24"/>
        <v>0</v>
      </c>
      <c r="M107" s="196">
        <f t="shared" si="24"/>
        <v>0</v>
      </c>
      <c r="N107" s="196">
        <f t="shared" si="24"/>
        <v>0</v>
      </c>
      <c r="O107" s="196">
        <f t="shared" si="24"/>
        <v>0</v>
      </c>
      <c r="P107" s="196">
        <f t="shared" si="24"/>
        <v>0</v>
      </c>
      <c r="Q107" s="196">
        <f t="shared" si="24"/>
        <v>0</v>
      </c>
      <c r="R107" s="196"/>
      <c r="S107" s="196"/>
      <c r="T107" s="196"/>
      <c r="U107" s="196"/>
      <c r="V107" s="196"/>
      <c r="W107" s="184">
        <f t="shared" si="25"/>
        <v>2187.2797283979935</v>
      </c>
      <c r="X107" s="184">
        <f t="shared" si="26"/>
        <v>0</v>
      </c>
    </row>
    <row r="108" spans="1:24" s="135" customFormat="1" ht="12.75" x14ac:dyDescent="0.2">
      <c r="B108" s="135" t="s">
        <v>130</v>
      </c>
      <c r="C108" s="196">
        <f t="shared" si="24"/>
        <v>753.42995169082121</v>
      </c>
      <c r="D108" s="196">
        <f t="shared" si="24"/>
        <v>690.70456720110155</v>
      </c>
      <c r="E108" s="196">
        <f t="shared" si="24"/>
        <v>0</v>
      </c>
      <c r="F108" s="196">
        <f t="shared" si="24"/>
        <v>0</v>
      </c>
      <c r="G108" s="196">
        <f t="shared" si="24"/>
        <v>0</v>
      </c>
      <c r="H108" s="196">
        <f t="shared" si="24"/>
        <v>0</v>
      </c>
      <c r="I108" s="196">
        <f t="shared" si="24"/>
        <v>0</v>
      </c>
      <c r="J108" s="196">
        <f t="shared" si="24"/>
        <v>0</v>
      </c>
      <c r="K108" s="196">
        <f t="shared" si="24"/>
        <v>0</v>
      </c>
      <c r="L108" s="196">
        <f t="shared" si="24"/>
        <v>0</v>
      </c>
      <c r="M108" s="196">
        <f t="shared" si="24"/>
        <v>0</v>
      </c>
      <c r="N108" s="196">
        <f t="shared" si="24"/>
        <v>0</v>
      </c>
      <c r="O108" s="196">
        <f t="shared" si="24"/>
        <v>0</v>
      </c>
      <c r="P108" s="196">
        <f t="shared" si="24"/>
        <v>0</v>
      </c>
      <c r="Q108" s="196">
        <f t="shared" si="24"/>
        <v>0</v>
      </c>
      <c r="R108" s="196"/>
      <c r="S108" s="196"/>
      <c r="T108" s="196"/>
      <c r="U108" s="196"/>
      <c r="V108" s="196"/>
      <c r="W108" s="184">
        <f t="shared" si="25"/>
        <v>1444.1345188919227</v>
      </c>
      <c r="X108" s="184">
        <f t="shared" si="26"/>
        <v>0</v>
      </c>
    </row>
    <row r="109" spans="1:24" s="135" customFormat="1" ht="12.75" x14ac:dyDescent="0.2">
      <c r="B109" s="160" t="s">
        <v>131</v>
      </c>
      <c r="C109" s="196">
        <f t="shared" si="24"/>
        <v>714.87922705314008</v>
      </c>
      <c r="D109" s="196">
        <f t="shared" si="24"/>
        <v>0</v>
      </c>
      <c r="E109" s="196">
        <f t="shared" si="24"/>
        <v>0</v>
      </c>
      <c r="F109" s="196">
        <f t="shared" si="24"/>
        <v>0</v>
      </c>
      <c r="G109" s="196">
        <f t="shared" si="24"/>
        <v>0</v>
      </c>
      <c r="H109" s="196">
        <f t="shared" si="24"/>
        <v>0</v>
      </c>
      <c r="I109" s="196">
        <f t="shared" si="24"/>
        <v>0</v>
      </c>
      <c r="J109" s="196">
        <f t="shared" si="24"/>
        <v>0</v>
      </c>
      <c r="K109" s="196">
        <f t="shared" si="24"/>
        <v>0</v>
      </c>
      <c r="L109" s="196">
        <f t="shared" si="24"/>
        <v>0</v>
      </c>
      <c r="M109" s="196">
        <f t="shared" si="24"/>
        <v>0</v>
      </c>
      <c r="N109" s="196">
        <f t="shared" si="24"/>
        <v>0</v>
      </c>
      <c r="O109" s="196">
        <f t="shared" si="24"/>
        <v>0</v>
      </c>
      <c r="P109" s="196">
        <f t="shared" si="24"/>
        <v>0</v>
      </c>
      <c r="Q109" s="196">
        <f t="shared" si="24"/>
        <v>0</v>
      </c>
      <c r="R109" s="196"/>
      <c r="S109" s="196"/>
      <c r="T109" s="196"/>
      <c r="U109" s="196"/>
      <c r="V109" s="196"/>
      <c r="W109" s="184">
        <f t="shared" si="25"/>
        <v>714.87922705314008</v>
      </c>
      <c r="X109" s="184">
        <f t="shared" si="26"/>
        <v>0</v>
      </c>
    </row>
    <row r="110" spans="1:24" s="135" customFormat="1" ht="12.75" x14ac:dyDescent="0.2">
      <c r="B110" s="135" t="s">
        <v>132</v>
      </c>
      <c r="C110" s="196">
        <f t="shared" si="24"/>
        <v>0</v>
      </c>
      <c r="D110" s="196">
        <f t="shared" si="24"/>
        <v>0</v>
      </c>
      <c r="E110" s="196">
        <f t="shared" si="24"/>
        <v>0</v>
      </c>
      <c r="F110" s="196">
        <f t="shared" si="24"/>
        <v>0</v>
      </c>
      <c r="G110" s="196">
        <f t="shared" si="24"/>
        <v>0</v>
      </c>
      <c r="H110" s="196">
        <f t="shared" si="24"/>
        <v>0</v>
      </c>
      <c r="I110" s="196">
        <f t="shared" si="24"/>
        <v>0</v>
      </c>
      <c r="J110" s="196">
        <f t="shared" si="24"/>
        <v>0</v>
      </c>
      <c r="K110" s="196">
        <f t="shared" si="24"/>
        <v>0</v>
      </c>
      <c r="L110" s="196">
        <f t="shared" si="24"/>
        <v>0</v>
      </c>
      <c r="M110" s="196">
        <f t="shared" si="24"/>
        <v>0</v>
      </c>
      <c r="N110" s="196">
        <f t="shared" si="24"/>
        <v>0</v>
      </c>
      <c r="O110" s="196">
        <f t="shared" si="24"/>
        <v>0</v>
      </c>
      <c r="P110" s="196">
        <f t="shared" si="24"/>
        <v>0</v>
      </c>
      <c r="Q110" s="196">
        <f t="shared" si="24"/>
        <v>0</v>
      </c>
      <c r="R110" s="196"/>
      <c r="S110" s="196"/>
      <c r="T110" s="196"/>
      <c r="U110" s="196"/>
      <c r="V110" s="196"/>
      <c r="W110" s="184"/>
      <c r="X110" s="184"/>
    </row>
    <row r="111" spans="1:24" s="135" customFormat="1" ht="12.75" x14ac:dyDescent="0.2">
      <c r="C111" s="196"/>
      <c r="D111" s="196"/>
      <c r="E111" s="196"/>
      <c r="F111" s="196"/>
      <c r="G111" s="196"/>
      <c r="H111" s="196"/>
      <c r="I111" s="196"/>
      <c r="J111" s="196"/>
      <c r="K111" s="196"/>
      <c r="L111" s="196"/>
      <c r="M111" s="196"/>
      <c r="N111" s="196"/>
      <c r="O111" s="196"/>
      <c r="P111" s="196"/>
      <c r="Q111" s="196"/>
      <c r="R111" s="196"/>
      <c r="S111" s="196"/>
      <c r="T111" s="196"/>
      <c r="U111" s="196"/>
      <c r="V111" s="196"/>
      <c r="W111" s="202"/>
      <c r="X111" s="183"/>
    </row>
    <row r="112" spans="1:24" s="135" customFormat="1" ht="12.75" x14ac:dyDescent="0.2">
      <c r="B112" s="97" t="s">
        <v>467</v>
      </c>
      <c r="C112" s="196"/>
      <c r="D112" s="196"/>
      <c r="E112" s="196"/>
      <c r="F112" s="196"/>
      <c r="G112" s="196"/>
      <c r="H112" s="196"/>
      <c r="I112" s="196"/>
      <c r="J112" s="196"/>
      <c r="K112" s="196"/>
      <c r="L112" s="196"/>
      <c r="M112" s="196"/>
      <c r="N112" s="196"/>
      <c r="O112" s="196"/>
      <c r="P112" s="196"/>
      <c r="Q112" s="196"/>
      <c r="R112" s="196"/>
      <c r="S112" s="196"/>
      <c r="T112" s="196"/>
      <c r="U112" s="196"/>
      <c r="V112" s="196"/>
      <c r="W112" s="202" t="s">
        <v>403</v>
      </c>
      <c r="X112" s="202" t="s">
        <v>403</v>
      </c>
    </row>
    <row r="113" spans="1:24" s="135" customFormat="1" ht="12.75" x14ac:dyDescent="0.2">
      <c r="W113" s="169">
        <f>AVERAGE(W95:W109)</f>
        <v>6201.2586560591099</v>
      </c>
      <c r="X113" s="169">
        <f>AVERAGE(X95:X109)</f>
        <v>2331.5541518427226</v>
      </c>
    </row>
    <row r="114" spans="1:24" s="135" customFormat="1" ht="12.75" x14ac:dyDescent="0.2">
      <c r="B114" s="160"/>
    </row>
    <row r="115" spans="1:24" s="135" customFormat="1" ht="12.75" x14ac:dyDescent="0.2">
      <c r="B115" s="179" t="s">
        <v>78</v>
      </c>
      <c r="C115" s="173"/>
      <c r="D115" s="173"/>
      <c r="W115" s="135" t="s">
        <v>65</v>
      </c>
    </row>
    <row r="116" spans="1:24" s="135" customFormat="1" ht="12.75" x14ac:dyDescent="0.2">
      <c r="B116" s="154"/>
      <c r="C116" s="173"/>
    </row>
    <row r="117" spans="1:24" s="135" customFormat="1" ht="12.75" x14ac:dyDescent="0.2">
      <c r="B117" s="154"/>
      <c r="C117" s="178">
        <v>1</v>
      </c>
      <c r="D117" s="178">
        <v>2</v>
      </c>
      <c r="E117" s="178">
        <v>3</v>
      </c>
      <c r="F117" s="178">
        <v>4</v>
      </c>
      <c r="G117" s="178">
        <v>5</v>
      </c>
      <c r="H117" s="178">
        <v>6</v>
      </c>
      <c r="I117" s="178">
        <v>7</v>
      </c>
      <c r="J117" s="178">
        <v>8</v>
      </c>
      <c r="K117" s="178">
        <v>9</v>
      </c>
      <c r="L117" s="178">
        <v>10</v>
      </c>
      <c r="M117" s="178">
        <v>11</v>
      </c>
      <c r="N117" s="178">
        <v>12</v>
      </c>
      <c r="O117" s="178">
        <v>13</v>
      </c>
      <c r="P117" s="178">
        <v>14</v>
      </c>
      <c r="Q117" s="178">
        <v>15</v>
      </c>
      <c r="R117" s="178">
        <v>16</v>
      </c>
      <c r="S117" s="178">
        <v>17</v>
      </c>
      <c r="T117" s="178">
        <v>18</v>
      </c>
      <c r="U117" s="178">
        <v>19</v>
      </c>
      <c r="V117" s="178">
        <v>20</v>
      </c>
    </row>
    <row r="118" spans="1:24" s="135" customFormat="1" ht="12.75" x14ac:dyDescent="0.2">
      <c r="A118" s="232" t="s">
        <v>56</v>
      </c>
      <c r="B118" s="135" t="s">
        <v>66</v>
      </c>
      <c r="C118" s="200">
        <f>C77</f>
        <v>1298.5</v>
      </c>
      <c r="D118" s="200">
        <f t="shared" ref="D118:Q118" si="27">D77</f>
        <v>1258.5999999999999</v>
      </c>
      <c r="E118" s="200">
        <f t="shared" si="27"/>
        <v>1218.7</v>
      </c>
      <c r="F118" s="200">
        <f t="shared" si="27"/>
        <v>1178.8</v>
      </c>
      <c r="G118" s="200">
        <f t="shared" si="27"/>
        <v>1138.9000000000001</v>
      </c>
      <c r="H118" s="200">
        <f t="shared" si="27"/>
        <v>1099</v>
      </c>
      <c r="I118" s="200">
        <f t="shared" si="27"/>
        <v>1059.0999999999999</v>
      </c>
      <c r="J118" s="200">
        <f t="shared" si="27"/>
        <v>1019.2</v>
      </c>
      <c r="K118" s="200">
        <f t="shared" si="27"/>
        <v>979.3</v>
      </c>
      <c r="L118" s="200">
        <f t="shared" si="27"/>
        <v>939.4</v>
      </c>
      <c r="M118" s="200">
        <f t="shared" si="27"/>
        <v>899.5</v>
      </c>
      <c r="N118" s="200">
        <f t="shared" si="27"/>
        <v>859.6</v>
      </c>
      <c r="O118" s="200">
        <f t="shared" si="27"/>
        <v>819.7</v>
      </c>
      <c r="P118" s="200">
        <f t="shared" si="27"/>
        <v>779.8</v>
      </c>
      <c r="Q118" s="200">
        <f t="shared" si="27"/>
        <v>739.9</v>
      </c>
      <c r="R118" s="199">
        <f>C118</f>
        <v>1298.5</v>
      </c>
      <c r="S118" s="199">
        <f t="shared" ref="S118:V118" si="28">D118</f>
        <v>1258.5999999999999</v>
      </c>
      <c r="T118" s="199">
        <f t="shared" si="28"/>
        <v>1218.7</v>
      </c>
      <c r="U118" s="199">
        <f t="shared" si="28"/>
        <v>1178.8</v>
      </c>
      <c r="V118" s="199">
        <f t="shared" si="28"/>
        <v>1138.9000000000001</v>
      </c>
      <c r="W118" s="180">
        <f t="shared" ref="W118" si="29">SUM(C118:V118)</f>
        <v>21381.5</v>
      </c>
    </row>
    <row r="119" spans="1:24" s="135" customFormat="1" ht="12.75" x14ac:dyDescent="0.2">
      <c r="A119" s="232"/>
      <c r="B119" s="135" t="s">
        <v>67</v>
      </c>
      <c r="C119" s="199">
        <f>Cost_SiteRural!C41</f>
        <v>12133.666319618093</v>
      </c>
      <c r="D119" s="199">
        <f>Cost_SiteRural!D41</f>
        <v>11810.47988026378</v>
      </c>
      <c r="E119" s="199">
        <f>Cost_SiteRural!E41</f>
        <v>11487.293440909467</v>
      </c>
      <c r="F119" s="199">
        <f>Cost_SiteRural!F41</f>
        <v>11164.107001555152</v>
      </c>
      <c r="G119" s="199">
        <f>Cost_SiteRural!G41</f>
        <v>10840.920562200838</v>
      </c>
      <c r="H119" s="199">
        <f>Cost_SiteRural!H41</f>
        <v>10517.734122846523</v>
      </c>
      <c r="I119" s="199">
        <f>Cost_SiteRural!I41</f>
        <v>10194.547683492208</v>
      </c>
      <c r="J119" s="199">
        <f>Cost_SiteRural!J41</f>
        <v>9871.3612441378955</v>
      </c>
      <c r="K119" s="199">
        <f>Cost_SiteRural!K41</f>
        <v>9548.1748047835808</v>
      </c>
      <c r="L119" s="199">
        <f>Cost_SiteRural!L41</f>
        <v>9224.988365429268</v>
      </c>
      <c r="M119" s="199">
        <f>Cost_SiteRural!M41</f>
        <v>8901.8019260749534</v>
      </c>
      <c r="N119" s="199">
        <f>Cost_SiteRural!N41</f>
        <v>8578.6154867206405</v>
      </c>
      <c r="O119" s="199">
        <f>Cost_SiteRural!O41</f>
        <v>8255.4290473663277</v>
      </c>
      <c r="P119" s="199">
        <f>Cost_SiteRural!P41</f>
        <v>7932.2426080120131</v>
      </c>
      <c r="Q119" s="199">
        <f>Cost_SiteRural!Q41</f>
        <v>7609.0561686576993</v>
      </c>
      <c r="R119" s="199">
        <f>Cost_SiteRural!R41</f>
        <v>7285.8697293033856</v>
      </c>
      <c r="S119" s="199">
        <f>Cost_SiteRural!S41</f>
        <v>6962.6832899490728</v>
      </c>
      <c r="T119" s="199">
        <f>Cost_SiteRural!T41</f>
        <v>6639.4968505947591</v>
      </c>
      <c r="U119" s="199">
        <f>Cost_SiteRural!U41</f>
        <v>6316.3104112404453</v>
      </c>
      <c r="V119" s="199">
        <f>Cost_SiteRural!V41</f>
        <v>5993.1239718861316</v>
      </c>
      <c r="W119" s="180">
        <f>SUM(C119:V119)</f>
        <v>181267.90291504221</v>
      </c>
      <c r="X119" s="185"/>
    </row>
    <row r="120" spans="1:24" s="135" customFormat="1" ht="12.75" x14ac:dyDescent="0.2">
      <c r="A120" s="232"/>
      <c r="B120" s="135" t="s">
        <v>134</v>
      </c>
      <c r="C120" s="199">
        <f>'Cost calculations'!$G$28</f>
        <v>1804.848655790538</v>
      </c>
      <c r="D120" s="199">
        <f>'Cost calculations'!$G$28</f>
        <v>1804.848655790538</v>
      </c>
      <c r="E120" s="199">
        <f>'Cost calculations'!$G$28</f>
        <v>1804.848655790538</v>
      </c>
      <c r="F120" s="199">
        <f>'Cost calculations'!$G$28</f>
        <v>1804.848655790538</v>
      </c>
      <c r="G120" s="199">
        <f>'Cost calculations'!$G$28</f>
        <v>1804.848655790538</v>
      </c>
      <c r="H120" s="199">
        <f>'Cost calculations'!$G$28</f>
        <v>1804.848655790538</v>
      </c>
      <c r="I120" s="199">
        <f>'Cost calculations'!$G$28</f>
        <v>1804.848655790538</v>
      </c>
      <c r="J120" s="199">
        <f>'Cost calculations'!$G$28</f>
        <v>1804.848655790538</v>
      </c>
      <c r="K120" s="199">
        <f>'Cost calculations'!$G$28</f>
        <v>1804.848655790538</v>
      </c>
      <c r="L120" s="199">
        <f>'Cost calculations'!$G$28</f>
        <v>1804.848655790538</v>
      </c>
      <c r="M120" s="199">
        <f>'Cost calculations'!$G$28</f>
        <v>1804.848655790538</v>
      </c>
      <c r="N120" s="199">
        <f>'Cost calculations'!$G$28</f>
        <v>1804.848655790538</v>
      </c>
      <c r="O120" s="199">
        <f>'Cost calculations'!$G$28</f>
        <v>1804.848655790538</v>
      </c>
      <c r="P120" s="199">
        <f>'Cost calculations'!$G$28</f>
        <v>1804.848655790538</v>
      </c>
      <c r="Q120" s="199">
        <f>'Cost calculations'!$G$28</f>
        <v>1804.848655790538</v>
      </c>
      <c r="R120" s="199">
        <f>'Cost calculations'!$G$28</f>
        <v>1804.848655790538</v>
      </c>
      <c r="S120" s="199">
        <f>'Cost calculations'!$G$28</f>
        <v>1804.848655790538</v>
      </c>
      <c r="T120" s="199">
        <f>'Cost calculations'!$G$28</f>
        <v>1804.848655790538</v>
      </c>
      <c r="U120" s="199">
        <f>'Cost calculations'!$G$28</f>
        <v>1804.848655790538</v>
      </c>
      <c r="V120" s="199">
        <f>'Cost calculations'!$G$28</f>
        <v>1804.848655790538</v>
      </c>
      <c r="W120" s="180">
        <f>SUM(C120:V120)</f>
        <v>36096.973115810761</v>
      </c>
    </row>
    <row r="121" spans="1:24" s="135" customFormat="1" ht="12.75" x14ac:dyDescent="0.2">
      <c r="A121" s="232"/>
      <c r="C121" s="180"/>
      <c r="D121" s="180"/>
      <c r="E121" s="180"/>
      <c r="F121" s="180"/>
      <c r="G121" s="180"/>
      <c r="H121" s="180"/>
      <c r="I121" s="180"/>
      <c r="J121" s="180"/>
      <c r="K121" s="180"/>
      <c r="L121" s="180"/>
      <c r="M121" s="180"/>
      <c r="N121" s="180"/>
      <c r="O121" s="180"/>
      <c r="P121" s="180"/>
      <c r="Q121" s="180"/>
      <c r="R121" s="180"/>
      <c r="S121" s="180"/>
      <c r="T121" s="180"/>
      <c r="U121" s="180"/>
      <c r="V121" s="180"/>
    </row>
    <row r="122" spans="1:24" s="135" customFormat="1" ht="12.75" x14ac:dyDescent="0.2">
      <c r="A122" s="232"/>
      <c r="B122" s="135" t="s">
        <v>51</v>
      </c>
      <c r="C122" s="196">
        <f>SUM(C118,C119:C120)</f>
        <v>15237.014975408631</v>
      </c>
      <c r="D122" s="196">
        <f t="shared" ref="D122:V122" si="30">SUM(D118,D119:D120)</f>
        <v>14873.928536054318</v>
      </c>
      <c r="E122" s="196">
        <f t="shared" si="30"/>
        <v>14510.842096700006</v>
      </c>
      <c r="F122" s="196">
        <f t="shared" si="30"/>
        <v>14147.75565734569</v>
      </c>
      <c r="G122" s="196">
        <f t="shared" si="30"/>
        <v>13784.669217991375</v>
      </c>
      <c r="H122" s="196">
        <f t="shared" si="30"/>
        <v>13421.582778637061</v>
      </c>
      <c r="I122" s="196">
        <f t="shared" si="30"/>
        <v>13058.496339282747</v>
      </c>
      <c r="J122" s="196">
        <f t="shared" si="30"/>
        <v>12695.409899928434</v>
      </c>
      <c r="K122" s="196">
        <f t="shared" si="30"/>
        <v>12332.323460574118</v>
      </c>
      <c r="L122" s="196">
        <f t="shared" si="30"/>
        <v>11969.237021219806</v>
      </c>
      <c r="M122" s="196">
        <f t="shared" si="30"/>
        <v>11606.150581865491</v>
      </c>
      <c r="N122" s="196">
        <f t="shared" si="30"/>
        <v>11243.064142511179</v>
      </c>
      <c r="O122" s="196">
        <f t="shared" si="30"/>
        <v>10879.977703156866</v>
      </c>
      <c r="P122" s="196">
        <f t="shared" si="30"/>
        <v>10516.89126380255</v>
      </c>
      <c r="Q122" s="196">
        <f t="shared" si="30"/>
        <v>10153.804824448238</v>
      </c>
      <c r="R122" s="196">
        <f t="shared" si="30"/>
        <v>10389.218385093924</v>
      </c>
      <c r="S122" s="196">
        <f t="shared" si="30"/>
        <v>10026.131945739611</v>
      </c>
      <c r="T122" s="196">
        <f t="shared" si="30"/>
        <v>9663.0455063852969</v>
      </c>
      <c r="U122" s="196">
        <f t="shared" si="30"/>
        <v>9299.9590670309844</v>
      </c>
      <c r="V122" s="196">
        <f t="shared" si="30"/>
        <v>8936.8726276766702</v>
      </c>
      <c r="W122" s="180">
        <f t="shared" ref="W122" si="31">SUM(C122:V122)</f>
        <v>238746.37603085299</v>
      </c>
    </row>
    <row r="123" spans="1:24" s="135" customFormat="1" ht="12.75" x14ac:dyDescent="0.2">
      <c r="A123" s="232"/>
      <c r="B123" s="135" t="s">
        <v>69</v>
      </c>
      <c r="C123" s="196">
        <f t="shared" ref="C123:V123" si="32">C122*INDEX($C$23:$V$23, 1, MATCH(C21,$C$21:$V$21,0))</f>
        <v>14721.75359942863</v>
      </c>
      <c r="D123" s="196">
        <f t="shared" si="32"/>
        <v>13884.971444891895</v>
      </c>
      <c r="E123" s="196">
        <f t="shared" si="32"/>
        <v>13087.948182219041</v>
      </c>
      <c r="F123" s="196">
        <f t="shared" si="32"/>
        <v>12328.951706972408</v>
      </c>
      <c r="G123" s="196">
        <f t="shared" si="32"/>
        <v>11606.321595569414</v>
      </c>
      <c r="H123" s="196">
        <f t="shared" si="32"/>
        <v>10918.466238051089</v>
      </c>
      <c r="I123" s="196">
        <f t="shared" si="32"/>
        <v>10263.860082798981</v>
      </c>
      <c r="J123" s="196">
        <f t="shared" si="32"/>
        <v>9641.0409889078455</v>
      </c>
      <c r="K123" s="196">
        <f t="shared" si="32"/>
        <v>9048.6076820838334</v>
      </c>
      <c r="L123" s="196">
        <f t="shared" si="32"/>
        <v>8485.2173100942309</v>
      </c>
      <c r="M123" s="196">
        <f t="shared" si="32"/>
        <v>7949.5830939449916</v>
      </c>
      <c r="N123" s="196">
        <f t="shared" si="32"/>
        <v>7440.472071107285</v>
      </c>
      <c r="O123" s="196">
        <f t="shared" si="32"/>
        <v>6956.7029272534637</v>
      </c>
      <c r="P123" s="196">
        <f t="shared" si="32"/>
        <v>6497.1439130970421</v>
      </c>
      <c r="Q123" s="196">
        <f t="shared" si="32"/>
        <v>6060.7108430604376</v>
      </c>
      <c r="R123" s="196">
        <f t="shared" si="32"/>
        <v>5991.5236607796232</v>
      </c>
      <c r="S123" s="196">
        <f t="shared" si="32"/>
        <v>5586.5986132758635</v>
      </c>
      <c r="T123" s="196">
        <f t="shared" si="32"/>
        <v>5202.2081903441513</v>
      </c>
      <c r="U123" s="196">
        <f t="shared" si="32"/>
        <v>4837.426629080288</v>
      </c>
      <c r="V123" s="196">
        <f t="shared" si="32"/>
        <v>4491.3672961815137</v>
      </c>
    </row>
    <row r="124" spans="1:24" s="135" customFormat="1" ht="12.75" x14ac:dyDescent="0.2">
      <c r="A124" s="186"/>
      <c r="C124" s="140"/>
      <c r="D124" s="140"/>
      <c r="E124" s="140"/>
      <c r="F124" s="140"/>
      <c r="G124" s="140"/>
      <c r="H124" s="140"/>
      <c r="I124" s="140"/>
      <c r="J124" s="140"/>
      <c r="K124" s="140"/>
      <c r="L124" s="140"/>
      <c r="M124" s="140"/>
      <c r="N124" s="140"/>
      <c r="O124" s="140"/>
      <c r="P124" s="140"/>
      <c r="Q124" s="140"/>
      <c r="R124" s="140"/>
      <c r="S124" s="140"/>
      <c r="T124" s="140"/>
      <c r="U124" s="140"/>
      <c r="V124" s="140"/>
      <c r="W124" s="140"/>
    </row>
    <row r="125" spans="1:24" s="135" customFormat="1" ht="12.75" x14ac:dyDescent="0.2">
      <c r="A125" s="186"/>
      <c r="C125" s="140"/>
      <c r="D125" s="140"/>
      <c r="E125" s="140"/>
      <c r="F125" s="140"/>
      <c r="G125" s="140"/>
      <c r="H125" s="140"/>
      <c r="I125" s="140"/>
      <c r="J125" s="140"/>
      <c r="K125" s="140"/>
      <c r="L125" s="140"/>
      <c r="M125" s="140"/>
      <c r="N125" s="140"/>
      <c r="O125" s="140"/>
      <c r="P125" s="140"/>
      <c r="Q125" s="140"/>
      <c r="R125" s="140"/>
      <c r="S125" s="140"/>
      <c r="T125" s="140"/>
      <c r="U125" s="140"/>
      <c r="V125" s="187" t="s">
        <v>79</v>
      </c>
      <c r="W125" s="169">
        <f>SUM(C123:V123)</f>
        <v>175000.87606914202</v>
      </c>
    </row>
    <row r="126" spans="1:24" s="135" customFormat="1" ht="12.75" x14ac:dyDescent="0.2">
      <c r="A126" s="186"/>
      <c r="C126" s="140"/>
      <c r="D126" s="140"/>
      <c r="E126" s="140"/>
      <c r="F126" s="140"/>
      <c r="G126" s="140"/>
      <c r="H126" s="140"/>
      <c r="I126" s="140"/>
      <c r="J126" s="140"/>
      <c r="K126" s="140"/>
      <c r="L126" s="140"/>
      <c r="M126" s="140"/>
      <c r="N126" s="140"/>
      <c r="O126" s="140"/>
      <c r="P126" s="140"/>
      <c r="Q126" s="140"/>
      <c r="R126" s="140"/>
      <c r="S126" s="140"/>
      <c r="T126" s="140"/>
      <c r="U126" s="140"/>
      <c r="V126" s="187"/>
      <c r="W126" s="140"/>
    </row>
    <row r="127" spans="1:24" s="135" customFormat="1" ht="12.75" x14ac:dyDescent="0.2"/>
    <row r="128" spans="1:24" s="135" customFormat="1" ht="12.75" x14ac:dyDescent="0.2">
      <c r="A128" s="232" t="s">
        <v>57</v>
      </c>
      <c r="B128" s="135" t="s">
        <v>66</v>
      </c>
      <c r="C128" s="200">
        <f>C77</f>
        <v>1298.5</v>
      </c>
      <c r="D128" s="200">
        <f t="shared" ref="D128:Q128" si="33">D77</f>
        <v>1258.5999999999999</v>
      </c>
      <c r="E128" s="200">
        <f t="shared" si="33"/>
        <v>1218.7</v>
      </c>
      <c r="F128" s="200">
        <f t="shared" si="33"/>
        <v>1178.8</v>
      </c>
      <c r="G128" s="200">
        <f t="shared" si="33"/>
        <v>1138.9000000000001</v>
      </c>
      <c r="H128" s="200">
        <f t="shared" si="33"/>
        <v>1099</v>
      </c>
      <c r="I128" s="200">
        <f t="shared" si="33"/>
        <v>1059.0999999999999</v>
      </c>
      <c r="J128" s="200">
        <f t="shared" si="33"/>
        <v>1019.2</v>
      </c>
      <c r="K128" s="200">
        <f t="shared" si="33"/>
        <v>979.3</v>
      </c>
      <c r="L128" s="200">
        <f t="shared" si="33"/>
        <v>939.4</v>
      </c>
      <c r="M128" s="200">
        <f t="shared" si="33"/>
        <v>899.5</v>
      </c>
      <c r="N128" s="200">
        <f t="shared" si="33"/>
        <v>859.6</v>
      </c>
      <c r="O128" s="200">
        <f t="shared" si="33"/>
        <v>819.7</v>
      </c>
      <c r="P128" s="200">
        <f t="shared" si="33"/>
        <v>779.8</v>
      </c>
      <c r="Q128" s="200">
        <f t="shared" si="33"/>
        <v>739.9</v>
      </c>
      <c r="R128" s="199">
        <f>C128</f>
        <v>1298.5</v>
      </c>
      <c r="S128" s="199">
        <f t="shared" ref="S128:V128" si="34">D128</f>
        <v>1258.5999999999999</v>
      </c>
      <c r="T128" s="199">
        <f t="shared" si="34"/>
        <v>1218.7</v>
      </c>
      <c r="U128" s="199">
        <f t="shared" si="34"/>
        <v>1178.8</v>
      </c>
      <c r="V128" s="199">
        <f t="shared" si="34"/>
        <v>1138.9000000000001</v>
      </c>
      <c r="W128" s="180">
        <f t="shared" ref="W128:W132" si="35">SUM(C128:V128)</f>
        <v>21381.5</v>
      </c>
    </row>
    <row r="129" spans="1:23" s="135" customFormat="1" ht="12.75" x14ac:dyDescent="0.2">
      <c r="A129" s="232"/>
      <c r="B129" s="135" t="s">
        <v>67</v>
      </c>
      <c r="C129" s="199">
        <f>Cost_SiteUrban!C41</f>
        <v>1213.3666319618092</v>
      </c>
      <c r="D129" s="199">
        <f>Cost_SiteUrban!D41</f>
        <v>1181.0479880263779</v>
      </c>
      <c r="E129" s="199">
        <f>Cost_SiteUrban!E41</f>
        <v>1148.7293440909466</v>
      </c>
      <c r="F129" s="199">
        <f>Cost_SiteUrban!F41</f>
        <v>1116.4107001555151</v>
      </c>
      <c r="G129" s="199">
        <f>Cost_SiteUrban!G41</f>
        <v>1084.0920562200836</v>
      </c>
      <c r="H129" s="199">
        <f>Cost_SiteUrban!H41</f>
        <v>1051.7734122846523</v>
      </c>
      <c r="I129" s="199">
        <f>Cost_SiteUrban!I41</f>
        <v>1019.454768349221</v>
      </c>
      <c r="J129" s="199">
        <f>Cost_SiteUrban!J41</f>
        <v>987.13612441378962</v>
      </c>
      <c r="K129" s="199">
        <f>Cost_SiteUrban!K41</f>
        <v>954.81748047835822</v>
      </c>
      <c r="L129" s="199">
        <f>Cost_SiteUrban!L41</f>
        <v>922.49883654292694</v>
      </c>
      <c r="M129" s="199">
        <f>Cost_SiteUrban!M41</f>
        <v>890.18019260749543</v>
      </c>
      <c r="N129" s="199">
        <f>Cost_SiteUrban!N41</f>
        <v>857.86154867206415</v>
      </c>
      <c r="O129" s="199">
        <f>Cost_SiteUrban!O41</f>
        <v>825.54290473663275</v>
      </c>
      <c r="P129" s="199">
        <f>Cost_SiteUrban!P41</f>
        <v>793.22426080120135</v>
      </c>
      <c r="Q129" s="199">
        <f>Cost_SiteUrban!Q41</f>
        <v>760.90561686576996</v>
      </c>
      <c r="R129" s="199">
        <f>Cost_SiteUrban!R41</f>
        <v>728.58697293033856</v>
      </c>
      <c r="S129" s="199">
        <f>Cost_SiteUrban!S41</f>
        <v>696.26832899490728</v>
      </c>
      <c r="T129" s="199">
        <f>Cost_SiteUrban!T41</f>
        <v>663.94968505947588</v>
      </c>
      <c r="U129" s="199">
        <f>Cost_SiteUrban!U41</f>
        <v>631.63104112404449</v>
      </c>
      <c r="V129" s="199">
        <f>Cost_SiteUrban!V41</f>
        <v>599.3123971886132</v>
      </c>
      <c r="W129" s="180">
        <f t="shared" si="35"/>
        <v>18126.790291504221</v>
      </c>
    </row>
    <row r="130" spans="1:23" s="135" customFormat="1" ht="12.75" x14ac:dyDescent="0.2">
      <c r="A130" s="232"/>
      <c r="B130" s="135" t="s">
        <v>68</v>
      </c>
      <c r="C130" s="199">
        <f>'Cost calculations'!$G$29</f>
        <v>7096.7903528202351</v>
      </c>
      <c r="D130" s="199">
        <f>'Cost calculations'!$G$29</f>
        <v>7096.7903528202351</v>
      </c>
      <c r="E130" s="199">
        <f>'Cost calculations'!$G$29</f>
        <v>7096.7903528202351</v>
      </c>
      <c r="F130" s="199">
        <f>'Cost calculations'!$G$29</f>
        <v>7096.7903528202351</v>
      </c>
      <c r="G130" s="199">
        <f>'Cost calculations'!$G$29</f>
        <v>7096.7903528202351</v>
      </c>
      <c r="H130" s="199">
        <f>'Cost calculations'!$G$29</f>
        <v>7096.7903528202351</v>
      </c>
      <c r="I130" s="199">
        <f>'Cost calculations'!$G$29</f>
        <v>7096.7903528202351</v>
      </c>
      <c r="J130" s="199">
        <f>'Cost calculations'!$G$29</f>
        <v>7096.7903528202351</v>
      </c>
      <c r="K130" s="199">
        <f>'Cost calculations'!$G$29</f>
        <v>7096.7903528202351</v>
      </c>
      <c r="L130" s="199">
        <f>'Cost calculations'!$G$29</f>
        <v>7096.7903528202351</v>
      </c>
      <c r="M130" s="199">
        <f>'Cost calculations'!$G$29</f>
        <v>7096.7903528202351</v>
      </c>
      <c r="N130" s="199">
        <f>'Cost calculations'!$G$29</f>
        <v>7096.7903528202351</v>
      </c>
      <c r="O130" s="199">
        <f>'Cost calculations'!$G$29</f>
        <v>7096.7903528202351</v>
      </c>
      <c r="P130" s="199">
        <f>'Cost calculations'!$G$29</f>
        <v>7096.7903528202351</v>
      </c>
      <c r="Q130" s="199">
        <f>'Cost calculations'!$G$29</f>
        <v>7096.7903528202351</v>
      </c>
      <c r="R130" s="199">
        <f>'Cost calculations'!$G$29</f>
        <v>7096.7903528202351</v>
      </c>
      <c r="S130" s="199">
        <f>'Cost calculations'!$G$29</f>
        <v>7096.7903528202351</v>
      </c>
      <c r="T130" s="199">
        <f>'Cost calculations'!$G$29</f>
        <v>7096.7903528202351</v>
      </c>
      <c r="U130" s="199">
        <f>'Cost calculations'!$G$29</f>
        <v>7096.7903528202351</v>
      </c>
      <c r="V130" s="199">
        <f>'Cost calculations'!$G$29</f>
        <v>7096.7903528202351</v>
      </c>
      <c r="W130" s="180">
        <f t="shared" si="35"/>
        <v>141935.80705640468</v>
      </c>
    </row>
    <row r="131" spans="1:23" s="135" customFormat="1" ht="12.75" x14ac:dyDescent="0.2">
      <c r="A131" s="232"/>
      <c r="C131" s="180"/>
      <c r="D131" s="180"/>
      <c r="E131" s="180"/>
      <c r="F131" s="180"/>
      <c r="G131" s="180"/>
      <c r="H131" s="180"/>
      <c r="I131" s="180"/>
      <c r="J131" s="180"/>
      <c r="K131" s="180"/>
      <c r="L131" s="180"/>
      <c r="M131" s="180"/>
      <c r="N131" s="180"/>
      <c r="O131" s="180"/>
      <c r="P131" s="180"/>
      <c r="Q131" s="180"/>
      <c r="R131" s="180"/>
      <c r="S131" s="180"/>
      <c r="T131" s="180"/>
      <c r="U131" s="180"/>
      <c r="V131" s="180"/>
    </row>
    <row r="132" spans="1:23" s="135" customFormat="1" ht="12.75" x14ac:dyDescent="0.2">
      <c r="A132" s="232"/>
      <c r="B132" s="135" t="s">
        <v>51</v>
      </c>
      <c r="C132" s="196">
        <f>SUM(C128,C129:C130)</f>
        <v>9608.6569847820447</v>
      </c>
      <c r="D132" s="196">
        <f t="shared" ref="D132:V132" si="36">SUM(D128,D129:D130)</f>
        <v>9536.4383408466128</v>
      </c>
      <c r="E132" s="196">
        <f t="shared" si="36"/>
        <v>9464.2196969111828</v>
      </c>
      <c r="F132" s="196">
        <f t="shared" si="36"/>
        <v>9392.0010529757492</v>
      </c>
      <c r="G132" s="196">
        <f t="shared" si="36"/>
        <v>9319.7824090403192</v>
      </c>
      <c r="H132" s="196">
        <f t="shared" si="36"/>
        <v>9247.5637651048874</v>
      </c>
      <c r="I132" s="196">
        <f t="shared" si="36"/>
        <v>9175.3451211694555</v>
      </c>
      <c r="J132" s="196">
        <f t="shared" si="36"/>
        <v>9103.1264772340255</v>
      </c>
      <c r="K132" s="196">
        <f t="shared" si="36"/>
        <v>9030.9078332985937</v>
      </c>
      <c r="L132" s="196">
        <f t="shared" si="36"/>
        <v>8958.6891893631619</v>
      </c>
      <c r="M132" s="196">
        <f t="shared" si="36"/>
        <v>8886.47054542773</v>
      </c>
      <c r="N132" s="196">
        <f t="shared" si="36"/>
        <v>8814.2519014922982</v>
      </c>
      <c r="O132" s="196">
        <f t="shared" si="36"/>
        <v>8742.0332575568682</v>
      </c>
      <c r="P132" s="196">
        <f t="shared" si="36"/>
        <v>8669.8146136214364</v>
      </c>
      <c r="Q132" s="196">
        <f t="shared" si="36"/>
        <v>8597.5959696860045</v>
      </c>
      <c r="R132" s="196">
        <f t="shared" si="36"/>
        <v>9123.8773257505745</v>
      </c>
      <c r="S132" s="196">
        <f t="shared" si="36"/>
        <v>9051.6586818151427</v>
      </c>
      <c r="T132" s="196">
        <f t="shared" si="36"/>
        <v>8979.4400378797109</v>
      </c>
      <c r="U132" s="196">
        <f t="shared" si="36"/>
        <v>8907.221393944279</v>
      </c>
      <c r="V132" s="196">
        <f t="shared" si="36"/>
        <v>8835.002750008849</v>
      </c>
      <c r="W132" s="180">
        <f t="shared" si="35"/>
        <v>181444.09734790894</v>
      </c>
    </row>
    <row r="133" spans="1:23" s="135" customFormat="1" ht="12.75" x14ac:dyDescent="0.2">
      <c r="A133" s="232"/>
      <c r="B133" s="135" t="s">
        <v>69</v>
      </c>
      <c r="C133" s="196">
        <f t="shared" ref="C133:V133" si="37">C132*INDEX($C$23:$V$23, 1, MATCH(C117,$C$21:$V$21,0))</f>
        <v>9283.7265553449706</v>
      </c>
      <c r="D133" s="196">
        <f t="shared" si="37"/>
        <v>8902.367234564741</v>
      </c>
      <c r="E133" s="196">
        <f t="shared" si="37"/>
        <v>8536.1839204686621</v>
      </c>
      <c r="F133" s="196">
        <f t="shared" si="37"/>
        <v>8184.5863201525244</v>
      </c>
      <c r="G133" s="196">
        <f t="shared" si="37"/>
        <v>7847.0067093720436</v>
      </c>
      <c r="H133" s="196">
        <f t="shared" si="37"/>
        <v>7522.8990811898548</v>
      </c>
      <c r="I133" s="196">
        <f t="shared" si="37"/>
        <v>7211.7383263935735</v>
      </c>
      <c r="J133" s="196">
        <f t="shared" si="37"/>
        <v>6913.0194445096458</v>
      </c>
      <c r="K133" s="196">
        <f t="shared" si="37"/>
        <v>6626.2567842809785</v>
      </c>
      <c r="L133" s="196">
        <f t="shared" si="37"/>
        <v>6350.983312517893</v>
      </c>
      <c r="M133" s="196">
        <f t="shared" si="37"/>
        <v>6086.7499102719412</v>
      </c>
      <c r="N133" s="196">
        <f t="shared" si="37"/>
        <v>5833.1246953208001</v>
      </c>
      <c r="O133" s="196">
        <f t="shared" si="37"/>
        <v>5589.6923699896079</v>
      </c>
      <c r="P133" s="196">
        <f t="shared" si="37"/>
        <v>5356.053593369913</v>
      </c>
      <c r="Q133" s="196">
        <f t="shared" si="37"/>
        <v>5131.8243770320096</v>
      </c>
      <c r="R133" s="196">
        <f t="shared" si="37"/>
        <v>5261.7939915208617</v>
      </c>
      <c r="S133" s="196">
        <f t="shared" si="37"/>
        <v>5043.6184276592021</v>
      </c>
      <c r="T133" s="196">
        <f t="shared" si="37"/>
        <v>4834.1815713166561</v>
      </c>
      <c r="U133" s="196">
        <f t="shared" si="37"/>
        <v>4633.141893594975</v>
      </c>
      <c r="V133" s="196">
        <f t="shared" si="37"/>
        <v>4440.1709710144396</v>
      </c>
    </row>
    <row r="134" spans="1:23" s="135" customFormat="1" ht="12.75" x14ac:dyDescent="0.2">
      <c r="A134" s="186"/>
      <c r="C134" s="140"/>
      <c r="D134" s="140"/>
      <c r="E134" s="140"/>
      <c r="F134" s="140"/>
      <c r="G134" s="140"/>
      <c r="H134" s="140"/>
      <c r="I134" s="140"/>
      <c r="J134" s="140"/>
      <c r="K134" s="140"/>
      <c r="L134" s="140"/>
      <c r="M134" s="140"/>
      <c r="N134" s="140"/>
      <c r="O134" s="140"/>
      <c r="P134" s="140"/>
      <c r="Q134" s="140"/>
      <c r="R134" s="140"/>
      <c r="S134" s="140"/>
      <c r="T134" s="140"/>
      <c r="U134" s="140"/>
      <c r="V134" s="140"/>
      <c r="W134" s="140"/>
    </row>
    <row r="135" spans="1:23" s="135" customFormat="1" ht="12.75" x14ac:dyDescent="0.2">
      <c r="A135" s="186"/>
      <c r="C135" s="140"/>
      <c r="D135" s="140"/>
      <c r="E135" s="140"/>
      <c r="F135" s="140"/>
      <c r="G135" s="140"/>
      <c r="H135" s="140"/>
      <c r="I135" s="140"/>
      <c r="J135" s="140"/>
      <c r="K135" s="140"/>
      <c r="L135" s="140"/>
      <c r="M135" s="140"/>
      <c r="N135" s="140"/>
      <c r="O135" s="140"/>
      <c r="P135" s="140"/>
      <c r="Q135" s="140"/>
      <c r="R135" s="140"/>
      <c r="S135" s="140"/>
      <c r="T135" s="140"/>
      <c r="U135" s="140"/>
      <c r="V135" s="187" t="s">
        <v>80</v>
      </c>
      <c r="W135" s="169">
        <f>SUM(C133:V133)</f>
        <v>129589.1194898853</v>
      </c>
    </row>
    <row r="136" spans="1:23" s="135" customFormat="1" ht="12.75" x14ac:dyDescent="0.2">
      <c r="C136" s="180"/>
      <c r="D136" s="185"/>
    </row>
    <row r="137" spans="1:23" s="135" customFormat="1" ht="12.75" x14ac:dyDescent="0.2">
      <c r="E137" s="173"/>
      <c r="F137" s="173"/>
    </row>
    <row r="138" spans="1:23" s="135" customFormat="1" ht="12.75" x14ac:dyDescent="0.2"/>
    <row r="139" spans="1:23" s="135" customFormat="1" ht="12.75" x14ac:dyDescent="0.2">
      <c r="V139" s="203"/>
    </row>
    <row r="140" spans="1:23" s="135" customFormat="1" ht="12.75" x14ac:dyDescent="0.2">
      <c r="B140" s="154"/>
    </row>
    <row r="141" spans="1:23" s="135" customFormat="1" ht="12.75" x14ac:dyDescent="0.2">
      <c r="B141" s="197"/>
      <c r="C141" s="197"/>
      <c r="D141" s="197"/>
      <c r="E141" s="197"/>
      <c r="F141" s="197"/>
      <c r="G141" s="197"/>
      <c r="H141" s="197"/>
      <c r="I141" s="197"/>
      <c r="J141" s="204"/>
      <c r="K141" s="204"/>
      <c r="W141" s="185"/>
    </row>
    <row r="142" spans="1:23" s="135" customFormat="1" ht="12.75" x14ac:dyDescent="0.2">
      <c r="C142" s="178"/>
      <c r="D142" s="178"/>
      <c r="E142" s="178"/>
      <c r="F142" s="178"/>
      <c r="G142" s="178"/>
      <c r="H142" s="178"/>
      <c r="I142" s="178"/>
    </row>
    <row r="143" spans="1:23" s="135" customFormat="1" ht="12.75" x14ac:dyDescent="0.2">
      <c r="C143" s="180"/>
      <c r="D143" s="180"/>
      <c r="E143" s="180"/>
      <c r="F143" s="180"/>
      <c r="G143" s="180"/>
      <c r="H143" s="180"/>
      <c r="I143" s="180"/>
      <c r="J143" s="205"/>
      <c r="K143" s="180"/>
    </row>
    <row r="144" spans="1:23" s="135" customFormat="1" ht="12.75" x14ac:dyDescent="0.2">
      <c r="C144" s="180"/>
      <c r="D144" s="180"/>
      <c r="E144" s="180"/>
      <c r="F144" s="180"/>
      <c r="G144" s="180"/>
      <c r="H144" s="180"/>
      <c r="I144" s="180"/>
      <c r="J144" s="205"/>
      <c r="K144" s="180"/>
    </row>
    <row r="145" spans="2:11" s="135" customFormat="1" ht="12.75" x14ac:dyDescent="0.2">
      <c r="B145" s="160"/>
      <c r="C145" s="180"/>
      <c r="D145" s="180"/>
      <c r="E145" s="180"/>
      <c r="F145" s="180"/>
      <c r="G145" s="180"/>
      <c r="H145" s="180"/>
      <c r="I145" s="180"/>
      <c r="J145" s="205"/>
      <c r="K145" s="180"/>
    </row>
    <row r="146" spans="2:11" x14ac:dyDescent="0.2">
      <c r="C146" s="25"/>
      <c r="D146" s="25"/>
      <c r="E146" s="25"/>
      <c r="F146" s="25"/>
      <c r="G146" s="25"/>
      <c r="H146" s="25"/>
      <c r="I146" s="25"/>
      <c r="J146" s="36"/>
      <c r="K146" s="25"/>
    </row>
    <row r="147" spans="2:11" x14ac:dyDescent="0.2">
      <c r="B147" s="8"/>
      <c r="C147" s="25"/>
      <c r="D147" s="25"/>
      <c r="E147" s="25"/>
      <c r="F147" s="25"/>
      <c r="G147" s="25"/>
      <c r="H147" s="25"/>
      <c r="I147" s="25"/>
      <c r="J147" s="36"/>
      <c r="K147" s="25"/>
    </row>
    <row r="148" spans="2:11" x14ac:dyDescent="0.2">
      <c r="C148" s="25"/>
      <c r="D148" s="25"/>
      <c r="E148" s="25"/>
      <c r="F148" s="25"/>
      <c r="G148" s="25"/>
      <c r="H148" s="25"/>
      <c r="I148" s="25"/>
      <c r="J148" s="36"/>
      <c r="K148" s="25"/>
    </row>
    <row r="149" spans="2:11" x14ac:dyDescent="0.2">
      <c r="B149" s="8"/>
      <c r="C149" s="25"/>
      <c r="D149" s="25"/>
      <c r="E149" s="25"/>
      <c r="F149" s="25"/>
      <c r="G149" s="25"/>
      <c r="H149" s="25"/>
      <c r="I149" s="25"/>
      <c r="J149" s="36"/>
      <c r="K149" s="25"/>
    </row>
    <row r="150" spans="2:11" x14ac:dyDescent="0.2">
      <c r="K150" s="25"/>
    </row>
    <row r="151" spans="2:11" x14ac:dyDescent="0.2">
      <c r="I151" s="35"/>
      <c r="J151" s="34"/>
      <c r="K151" s="34"/>
    </row>
    <row r="160" spans="2:11" x14ac:dyDescent="0.2">
      <c r="C160" s="27"/>
    </row>
    <row r="161" spans="3:9" x14ac:dyDescent="0.2">
      <c r="C161" s="27"/>
      <c r="D161" s="27"/>
      <c r="E161" s="27"/>
      <c r="F161" s="27"/>
      <c r="G161" s="27"/>
      <c r="H161" s="27"/>
      <c r="I161" s="27"/>
    </row>
    <row r="162" spans="3:9" x14ac:dyDescent="0.2">
      <c r="C162" s="26"/>
      <c r="D162" s="26"/>
      <c r="E162" s="26"/>
      <c r="F162" s="26"/>
      <c r="G162" s="26"/>
      <c r="H162" s="26"/>
      <c r="I162" s="26"/>
    </row>
    <row r="163" spans="3:9" x14ac:dyDescent="0.2">
      <c r="C163" s="26"/>
      <c r="D163" s="26"/>
      <c r="E163" s="26"/>
      <c r="F163" s="26"/>
      <c r="G163" s="26"/>
      <c r="H163" s="26"/>
      <c r="I163" s="26"/>
    </row>
    <row r="166" spans="3:9" x14ac:dyDescent="0.2">
      <c r="D166" s="26"/>
      <c r="E166" s="26"/>
      <c r="F166" s="26"/>
      <c r="G166" s="26"/>
      <c r="H166" s="26"/>
      <c r="I166" s="26"/>
    </row>
  </sheetData>
  <mergeCells count="3">
    <mergeCell ref="C20:V20"/>
    <mergeCell ref="A118:A123"/>
    <mergeCell ref="A128:A133"/>
  </mergeCells>
  <dataValidations disablePrompts="1" count="1">
    <dataValidation type="list" allowBlank="1" showInputMessage="1" showErrorMessage="1" sqref="C24:V25 C35:V35" xr:uid="{A7BF9DB7-7A25-49F0-815A-B3A5BE24A4FA}">
      <formula1>"Yes, No"</formula1>
    </dataValidation>
  </dataValidations>
  <hyperlinks>
    <hyperlink ref="I5" r:id="rId1" xr:uid="{CB6C07F9-DCDC-4FEF-8EA5-9108B322270A}"/>
    <hyperlink ref="I6" r:id="rId2" xr:uid="{5705D1C3-4E39-429E-8B5C-2BBBAA7488A1}"/>
  </hyperlinks>
  <pageMargins left="0.70866141732283472" right="0.70866141732283472" top="0.51181102362204722" bottom="0.51181102362204722" header="0.51181102362204722" footer="0.35433070866141736"/>
  <pageSetup paperSize="9" orientation="landscape" horizontalDpi="4294967292" verticalDpi="4294967292" r:id="rId3"/>
  <headerFooter alignWithMargins="0"/>
  <ignoredErrors>
    <ignoredError sqref="C9:C11 C118:V13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F488-2AFC-4018-ADE6-C03C9E2453BB}">
  <sheetPr codeName="Sheet27">
    <pageSetUpPr autoPageBreaks="0"/>
  </sheetPr>
  <dimension ref="A1:W76"/>
  <sheetViews>
    <sheetView defaultGridColor="0" colorId="22" zoomScaleNormal="100" workbookViewId="0">
      <pane ySplit="1" topLeftCell="A2" activePane="bottomLeft" state="frozen"/>
      <selection pane="bottomLeft"/>
    </sheetView>
  </sheetViews>
  <sheetFormatPr defaultColWidth="12.7109375" defaultRowHeight="12" x14ac:dyDescent="0.2"/>
  <cols>
    <col min="1" max="1" width="17.42578125" style="16" customWidth="1"/>
    <col min="2" max="2" width="24.85546875" style="16" customWidth="1"/>
    <col min="3" max="9" width="9.42578125" style="16" customWidth="1"/>
    <col min="10" max="21" width="12.7109375" style="16"/>
    <col min="22" max="22" width="17.140625" style="16" customWidth="1"/>
    <col min="23" max="16384" width="12.7109375" style="16"/>
  </cols>
  <sheetData>
    <row r="1" spans="1:12" s="11" customFormat="1" ht="40.5" customHeight="1" x14ac:dyDescent="0.2">
      <c r="A1" s="121" t="s">
        <v>472</v>
      </c>
      <c r="L1" s="11" t="s">
        <v>13</v>
      </c>
    </row>
    <row r="3" spans="1:12" ht="12.75" x14ac:dyDescent="0.2">
      <c r="B3" s="16" t="s">
        <v>25</v>
      </c>
      <c r="C3" s="147">
        <v>20</v>
      </c>
    </row>
    <row r="4" spans="1:12" ht="12.75" x14ac:dyDescent="0.2">
      <c r="C4" s="135"/>
    </row>
    <row r="5" spans="1:12" ht="12.75" x14ac:dyDescent="0.2">
      <c r="B5" s="16" t="s">
        <v>59</v>
      </c>
      <c r="C5" s="188">
        <v>5.7000000000000002E-2</v>
      </c>
      <c r="D5" s="19" t="s">
        <v>89</v>
      </c>
      <c r="E5" s="18" t="s">
        <v>124</v>
      </c>
      <c r="I5" s="74"/>
    </row>
    <row r="6" spans="1:12" ht="12.75" x14ac:dyDescent="0.2">
      <c r="B6" s="16" t="s">
        <v>21</v>
      </c>
      <c r="C6" s="188">
        <v>3.5000000000000003E-2</v>
      </c>
      <c r="D6" s="19" t="s">
        <v>22</v>
      </c>
      <c r="E6" s="18" t="s">
        <v>401</v>
      </c>
      <c r="I6" s="74"/>
    </row>
    <row r="7" spans="1:12" ht="12.75" x14ac:dyDescent="0.2">
      <c r="C7" s="135"/>
      <c r="H7" s="27"/>
    </row>
    <row r="8" spans="1:12" ht="12.75" x14ac:dyDescent="0.2">
      <c r="B8" s="8" t="s">
        <v>86</v>
      </c>
      <c r="C8" s="191">
        <f>Equipment</f>
        <v>7000</v>
      </c>
      <c r="D8" s="19" t="s">
        <v>90</v>
      </c>
      <c r="H8" s="27"/>
    </row>
    <row r="9" spans="1:12" ht="12.75" x14ac:dyDescent="0.2">
      <c r="B9" s="8" t="s">
        <v>369</v>
      </c>
      <c r="C9" s="191">
        <f>'Cost calculations'!G37</f>
        <v>10500</v>
      </c>
      <c r="D9" s="19" t="s">
        <v>370</v>
      </c>
      <c r="H9" s="27"/>
    </row>
    <row r="10" spans="1:12" ht="12.75" x14ac:dyDescent="0.2">
      <c r="B10" s="8" t="s">
        <v>87</v>
      </c>
      <c r="C10" s="191">
        <f>'Cost calculations'!C23</f>
        <v>113398.75065063636</v>
      </c>
      <c r="D10" s="32" t="s">
        <v>91</v>
      </c>
      <c r="H10" s="27"/>
    </row>
    <row r="11" spans="1:12" ht="12.75" x14ac:dyDescent="0.2">
      <c r="B11" s="8" t="s">
        <v>88</v>
      </c>
      <c r="C11" s="191">
        <f>'Cost calculations'!C24</f>
        <v>11339.875065063636</v>
      </c>
      <c r="D11" s="32" t="s">
        <v>92</v>
      </c>
      <c r="H11" s="27"/>
    </row>
    <row r="12" spans="1:12" ht="12.75" x14ac:dyDescent="0.2">
      <c r="B12" s="8"/>
      <c r="C12" s="135"/>
      <c r="D12" s="32"/>
      <c r="H12" s="27"/>
    </row>
    <row r="13" spans="1:12" ht="12.75" x14ac:dyDescent="0.2">
      <c r="B13" s="8"/>
      <c r="C13" s="135"/>
      <c r="D13" s="32"/>
      <c r="H13" s="27"/>
    </row>
    <row r="14" spans="1:12" ht="12.75" x14ac:dyDescent="0.2">
      <c r="B14" s="160" t="s">
        <v>121</v>
      </c>
      <c r="C14" s="144">
        <v>0.5</v>
      </c>
      <c r="D14" s="32"/>
      <c r="H14" s="27"/>
    </row>
    <row r="15" spans="1:12" ht="12.75" x14ac:dyDescent="0.2">
      <c r="B15" s="8"/>
      <c r="C15" s="135"/>
      <c r="D15" s="32"/>
      <c r="H15" s="27"/>
    </row>
    <row r="16" spans="1:12" ht="12.75" x14ac:dyDescent="0.2">
      <c r="B16" s="8"/>
      <c r="C16" s="135"/>
      <c r="D16" s="32"/>
      <c r="H16" s="27"/>
    </row>
    <row r="17" spans="2:23" ht="12.75" x14ac:dyDescent="0.2">
      <c r="B17" s="16" t="s">
        <v>45</v>
      </c>
      <c r="C17" s="192">
        <f>'Spectrum cost inputs'!D21</f>
        <v>20</v>
      </c>
      <c r="D17" s="19" t="s">
        <v>94</v>
      </c>
      <c r="F17" s="28"/>
    </row>
    <row r="19" spans="2:23" x14ac:dyDescent="0.2">
      <c r="C19" s="234" t="s">
        <v>44</v>
      </c>
      <c r="D19" s="234"/>
      <c r="E19" s="234"/>
      <c r="F19" s="234"/>
      <c r="G19" s="234"/>
      <c r="H19" s="234"/>
      <c r="I19" s="234"/>
      <c r="J19" s="234"/>
      <c r="K19" s="234"/>
      <c r="L19" s="234"/>
      <c r="M19" s="234"/>
      <c r="N19" s="234"/>
      <c r="O19" s="234"/>
      <c r="P19" s="234"/>
      <c r="Q19" s="234"/>
      <c r="R19" s="234"/>
      <c r="S19" s="234"/>
      <c r="T19" s="234"/>
      <c r="U19" s="234"/>
      <c r="V19" s="234"/>
    </row>
    <row r="20" spans="2:23" s="135" customFormat="1" ht="12.75" x14ac:dyDescent="0.2">
      <c r="B20" s="189"/>
      <c r="C20" s="190">
        <v>1</v>
      </c>
      <c r="D20" s="190">
        <v>2</v>
      </c>
      <c r="E20" s="190">
        <v>3</v>
      </c>
      <c r="F20" s="190">
        <v>4</v>
      </c>
      <c r="G20" s="190">
        <v>5</v>
      </c>
      <c r="H20" s="190">
        <v>6</v>
      </c>
      <c r="I20" s="190">
        <v>7</v>
      </c>
      <c r="J20" s="190">
        <v>8</v>
      </c>
      <c r="K20" s="190">
        <v>9</v>
      </c>
      <c r="L20" s="190">
        <v>10</v>
      </c>
      <c r="M20" s="190">
        <v>11</v>
      </c>
      <c r="N20" s="190">
        <v>12</v>
      </c>
      <c r="O20" s="190">
        <v>13</v>
      </c>
      <c r="P20" s="190">
        <v>14</v>
      </c>
      <c r="Q20" s="190">
        <v>15</v>
      </c>
      <c r="R20" s="190">
        <v>16</v>
      </c>
      <c r="S20" s="190">
        <v>17</v>
      </c>
      <c r="T20" s="190">
        <v>18</v>
      </c>
      <c r="U20" s="190">
        <v>19</v>
      </c>
      <c r="V20" s="190">
        <v>20</v>
      </c>
    </row>
    <row r="21" spans="2:23" s="135" customFormat="1" ht="12.75" x14ac:dyDescent="0.2">
      <c r="B21" s="189" t="s">
        <v>60</v>
      </c>
      <c r="C21" s="193">
        <f t="shared" ref="C21:V21" si="0">1/(1+$C5)^(C$20)</f>
        <v>0.94607379375591305</v>
      </c>
      <c r="D21" s="193">
        <f t="shared" si="0"/>
        <v>0.89505562323170573</v>
      </c>
      <c r="E21" s="193">
        <f t="shared" si="0"/>
        <v>0.84678866909338302</v>
      </c>
      <c r="F21" s="193">
        <f t="shared" si="0"/>
        <v>0.80112456867869719</v>
      </c>
      <c r="G21" s="193">
        <f t="shared" si="0"/>
        <v>0.75792295996092451</v>
      </c>
      <c r="H21" s="193">
        <f t="shared" si="0"/>
        <v>0.71705105010494274</v>
      </c>
      <c r="I21" s="193">
        <f t="shared" si="0"/>
        <v>0.67838320728944457</v>
      </c>
      <c r="J21" s="193">
        <f t="shared" si="0"/>
        <v>0.64180057454062855</v>
      </c>
      <c r="K21" s="193">
        <f t="shared" si="0"/>
        <v>0.60719070439037715</v>
      </c>
      <c r="L21" s="193">
        <f t="shared" si="0"/>
        <v>0.57444721323592918</v>
      </c>
      <c r="M21" s="193">
        <f t="shared" si="0"/>
        <v>0.54346945433862748</v>
      </c>
      <c r="N21" s="193">
        <f t="shared" si="0"/>
        <v>0.51416220845660121</v>
      </c>
      <c r="O21" s="193">
        <f t="shared" si="0"/>
        <v>0.4864353911604552</v>
      </c>
      <c r="P21" s="193">
        <f t="shared" si="0"/>
        <v>0.46020377593231337</v>
      </c>
      <c r="Q21" s="193">
        <f t="shared" si="0"/>
        <v>0.43538673219707991</v>
      </c>
      <c r="R21" s="193">
        <f t="shared" si="0"/>
        <v>0.41190797748068098</v>
      </c>
      <c r="S21" s="193">
        <f t="shared" si="0"/>
        <v>0.38969534293347302</v>
      </c>
      <c r="T21" s="193">
        <f t="shared" si="0"/>
        <v>0.36868055149808232</v>
      </c>
      <c r="U21" s="193">
        <f t="shared" si="0"/>
        <v>0.34879900803981301</v>
      </c>
      <c r="V21" s="193">
        <f t="shared" si="0"/>
        <v>0.32998960079452505</v>
      </c>
    </row>
    <row r="22" spans="2:23" s="135" customFormat="1" ht="12.75" x14ac:dyDescent="0.2">
      <c r="B22" s="189" t="s">
        <v>61</v>
      </c>
      <c r="C22" s="194">
        <f t="shared" ref="C22:V22" si="1">1/(1+$C6)^(C$20)</f>
        <v>0.96618357487922713</v>
      </c>
      <c r="D22" s="194">
        <f t="shared" si="1"/>
        <v>0.93351070036640305</v>
      </c>
      <c r="E22" s="194">
        <f t="shared" si="1"/>
        <v>0.90194270566802237</v>
      </c>
      <c r="F22" s="194">
        <f t="shared" si="1"/>
        <v>0.87144222769857238</v>
      </c>
      <c r="G22" s="194">
        <f t="shared" si="1"/>
        <v>0.84197316685852419</v>
      </c>
      <c r="H22" s="194">
        <f t="shared" si="1"/>
        <v>0.81350064430775282</v>
      </c>
      <c r="I22" s="194">
        <f t="shared" si="1"/>
        <v>0.78599096068381913</v>
      </c>
      <c r="J22" s="194">
        <f t="shared" si="1"/>
        <v>0.75941155621625056</v>
      </c>
      <c r="K22" s="194">
        <f t="shared" si="1"/>
        <v>0.73373097218961414</v>
      </c>
      <c r="L22" s="194">
        <f t="shared" si="1"/>
        <v>0.70891881370977217</v>
      </c>
      <c r="M22" s="194">
        <f t="shared" si="1"/>
        <v>0.68494571372924851</v>
      </c>
      <c r="N22" s="194">
        <f t="shared" si="1"/>
        <v>0.66178329828912896</v>
      </c>
      <c r="O22" s="194">
        <f t="shared" si="1"/>
        <v>0.63940415293635666</v>
      </c>
      <c r="P22" s="194">
        <f t="shared" si="1"/>
        <v>0.61778179027667302</v>
      </c>
      <c r="Q22" s="194">
        <f t="shared" si="1"/>
        <v>0.59689061862480497</v>
      </c>
      <c r="R22" s="194">
        <f t="shared" si="1"/>
        <v>0.57670591171478747</v>
      </c>
      <c r="S22" s="194">
        <f t="shared" si="1"/>
        <v>0.55720377943457733</v>
      </c>
      <c r="T22" s="194">
        <f t="shared" si="1"/>
        <v>0.53836113955031628</v>
      </c>
      <c r="U22" s="194">
        <f t="shared" si="1"/>
        <v>0.52015569038677911</v>
      </c>
      <c r="V22" s="194">
        <f t="shared" si="1"/>
        <v>0.50256588443167061</v>
      </c>
      <c r="W22" s="153"/>
    </row>
    <row r="23" spans="2:23" s="135" customFormat="1" ht="12.75" x14ac:dyDescent="0.2">
      <c r="B23" s="189" t="s">
        <v>62</v>
      </c>
      <c r="C23" s="195" t="s">
        <v>15</v>
      </c>
      <c r="D23" s="195" t="s">
        <v>63</v>
      </c>
      <c r="E23" s="195" t="s">
        <v>63</v>
      </c>
      <c r="F23" s="195" t="s">
        <v>63</v>
      </c>
      <c r="G23" s="195" t="s">
        <v>63</v>
      </c>
      <c r="H23" s="195" t="s">
        <v>63</v>
      </c>
      <c r="I23" s="195" t="s">
        <v>63</v>
      </c>
      <c r="J23" s="195" t="s">
        <v>15</v>
      </c>
      <c r="K23" s="195" t="s">
        <v>63</v>
      </c>
      <c r="L23" s="195" t="s">
        <v>63</v>
      </c>
      <c r="M23" s="195" t="s">
        <v>63</v>
      </c>
      <c r="N23" s="195" t="s">
        <v>63</v>
      </c>
      <c r="O23" s="195" t="s">
        <v>63</v>
      </c>
      <c r="P23" s="195" t="s">
        <v>63</v>
      </c>
      <c r="Q23" s="195" t="s">
        <v>15</v>
      </c>
      <c r="R23" s="195" t="s">
        <v>63</v>
      </c>
      <c r="S23" s="195" t="s">
        <v>63</v>
      </c>
      <c r="T23" s="195" t="s">
        <v>63</v>
      </c>
      <c r="U23" s="195" t="s">
        <v>63</v>
      </c>
      <c r="V23" s="195" t="s">
        <v>63</v>
      </c>
    </row>
    <row r="24" spans="2:23" s="135" customFormat="1" ht="12.75" x14ac:dyDescent="0.2">
      <c r="B24" s="189" t="s">
        <v>64</v>
      </c>
      <c r="C24" s="195" t="s">
        <v>15</v>
      </c>
      <c r="D24" s="195" t="s">
        <v>63</v>
      </c>
      <c r="E24" s="195" t="s">
        <v>63</v>
      </c>
      <c r="F24" s="195" t="s">
        <v>63</v>
      </c>
      <c r="G24" s="195" t="s">
        <v>63</v>
      </c>
      <c r="H24" s="195" t="s">
        <v>63</v>
      </c>
      <c r="I24" s="195" t="s">
        <v>63</v>
      </c>
      <c r="J24" s="195" t="s">
        <v>63</v>
      </c>
      <c r="K24" s="195" t="s">
        <v>63</v>
      </c>
      <c r="L24" s="195" t="s">
        <v>63</v>
      </c>
      <c r="M24" s="195" t="s">
        <v>63</v>
      </c>
      <c r="N24" s="195" t="s">
        <v>63</v>
      </c>
      <c r="O24" s="195" t="s">
        <v>63</v>
      </c>
      <c r="P24" s="195" t="s">
        <v>63</v>
      </c>
      <c r="Q24" s="195" t="s">
        <v>63</v>
      </c>
      <c r="R24" s="195" t="s">
        <v>63</v>
      </c>
      <c r="S24" s="195" t="s">
        <v>63</v>
      </c>
      <c r="T24" s="195" t="s">
        <v>63</v>
      </c>
      <c r="U24" s="195" t="s">
        <v>63</v>
      </c>
      <c r="V24" s="195" t="s">
        <v>63</v>
      </c>
    </row>
    <row r="25" spans="2:23" x14ac:dyDescent="0.2">
      <c r="B25" s="8"/>
    </row>
    <row r="26" spans="2:23" x14ac:dyDescent="0.2">
      <c r="B26" s="8"/>
    </row>
    <row r="27" spans="2:23" x14ac:dyDescent="0.2">
      <c r="B27" s="8"/>
    </row>
    <row r="28" spans="2:23" x14ac:dyDescent="0.2">
      <c r="B28" s="33" t="s">
        <v>473</v>
      </c>
    </row>
    <row r="29" spans="2:23" x14ac:dyDescent="0.2">
      <c r="B29" s="8"/>
    </row>
    <row r="30" spans="2:23" x14ac:dyDescent="0.2">
      <c r="B30" s="10"/>
      <c r="C30" s="16" t="s">
        <v>70</v>
      </c>
    </row>
    <row r="31" spans="2:23" x14ac:dyDescent="0.2">
      <c r="C31" s="24">
        <v>1</v>
      </c>
      <c r="D31" s="24">
        <v>2</v>
      </c>
      <c r="E31" s="24">
        <v>3</v>
      </c>
      <c r="F31" s="24">
        <v>4</v>
      </c>
      <c r="G31" s="24">
        <v>5</v>
      </c>
      <c r="H31" s="24">
        <v>6</v>
      </c>
      <c r="I31" s="24">
        <v>7</v>
      </c>
      <c r="J31" s="24">
        <v>8</v>
      </c>
      <c r="K31" s="24">
        <v>9</v>
      </c>
      <c r="L31" s="24">
        <v>10</v>
      </c>
      <c r="M31" s="24">
        <v>11</v>
      </c>
      <c r="N31" s="24">
        <v>12</v>
      </c>
      <c r="O31" s="24">
        <v>13</v>
      </c>
      <c r="P31" s="24">
        <v>14</v>
      </c>
      <c r="Q31" s="24">
        <v>15</v>
      </c>
      <c r="R31" s="24">
        <v>16</v>
      </c>
      <c r="S31" s="24">
        <v>17</v>
      </c>
      <c r="T31" s="24">
        <v>18</v>
      </c>
      <c r="U31" s="24">
        <v>19</v>
      </c>
      <c r="V31" s="24">
        <v>20</v>
      </c>
    </row>
    <row r="32" spans="2:23" s="135" customFormat="1" ht="12.75" x14ac:dyDescent="0.2">
      <c r="B32" s="154" t="s">
        <v>71</v>
      </c>
      <c r="C32" s="178"/>
      <c r="D32" s="178"/>
      <c r="E32" s="178"/>
      <c r="F32" s="178"/>
      <c r="G32" s="178"/>
      <c r="H32" s="178"/>
      <c r="I32" s="178"/>
      <c r="J32" s="178"/>
      <c r="K32" s="178"/>
      <c r="L32" s="178"/>
      <c r="M32" s="178"/>
      <c r="N32" s="178"/>
      <c r="O32" s="178"/>
      <c r="P32" s="178"/>
      <c r="Q32" s="178"/>
      <c r="R32" s="178"/>
      <c r="S32" s="178"/>
      <c r="T32" s="178"/>
      <c r="U32" s="178"/>
      <c r="V32" s="178"/>
    </row>
    <row r="33" spans="1:22" s="135" customFormat="1" ht="12.75" x14ac:dyDescent="0.2">
      <c r="B33" s="179"/>
      <c r="C33" s="178"/>
      <c r="D33" s="178"/>
      <c r="E33" s="178"/>
      <c r="F33" s="178"/>
      <c r="G33" s="178"/>
      <c r="H33" s="178"/>
      <c r="I33" s="178"/>
      <c r="J33" s="178"/>
      <c r="K33" s="178"/>
      <c r="L33" s="178"/>
      <c r="M33" s="178"/>
      <c r="N33" s="178"/>
      <c r="O33" s="178"/>
      <c r="P33" s="178"/>
      <c r="Q33" s="178"/>
      <c r="R33" s="178"/>
      <c r="S33" s="178"/>
      <c r="T33" s="178"/>
      <c r="U33" s="178"/>
      <c r="V33" s="178"/>
    </row>
    <row r="34" spans="1:22" s="135" customFormat="1" ht="12.75" x14ac:dyDescent="0.2">
      <c r="A34" s="149" t="s">
        <v>120</v>
      </c>
      <c r="B34" s="198" t="s">
        <v>465</v>
      </c>
      <c r="C34" s="199"/>
      <c r="D34" s="199"/>
      <c r="E34" s="199"/>
      <c r="F34" s="199"/>
      <c r="G34" s="199"/>
      <c r="H34" s="199"/>
      <c r="I34" s="199"/>
      <c r="J34" s="199"/>
      <c r="K34" s="199"/>
      <c r="L34" s="199"/>
      <c r="M34" s="199"/>
      <c r="N34" s="199"/>
      <c r="O34" s="199"/>
      <c r="P34" s="199"/>
      <c r="Q34" s="199"/>
      <c r="R34" s="199"/>
      <c r="S34" s="199"/>
      <c r="T34" s="199"/>
      <c r="U34" s="199"/>
      <c r="V34" s="199"/>
    </row>
    <row r="35" spans="1:22" s="135" customFormat="1" ht="12.75" x14ac:dyDescent="0.2">
      <c r="A35" s="149">
        <f t="shared" ref="A35" si="2">structure_lifetime-LEFT(B35,2)</f>
        <v>20</v>
      </c>
      <c r="B35" s="160" t="s">
        <v>133</v>
      </c>
      <c r="C35" s="199">
        <f t="shared" ref="C35:V35" si="3">IF(C$31&lt;=$A35,rural_site_capital/structure_lifetime,0)</f>
        <v>5669.9375325318179</v>
      </c>
      <c r="D35" s="199">
        <f t="shared" si="3"/>
        <v>5669.9375325318179</v>
      </c>
      <c r="E35" s="199">
        <f t="shared" si="3"/>
        <v>5669.9375325318179</v>
      </c>
      <c r="F35" s="199">
        <f t="shared" si="3"/>
        <v>5669.9375325318179</v>
      </c>
      <c r="G35" s="199">
        <f t="shared" si="3"/>
        <v>5669.9375325318179</v>
      </c>
      <c r="H35" s="199">
        <f t="shared" si="3"/>
        <v>5669.9375325318179</v>
      </c>
      <c r="I35" s="199">
        <f t="shared" si="3"/>
        <v>5669.9375325318179</v>
      </c>
      <c r="J35" s="199">
        <f t="shared" si="3"/>
        <v>5669.9375325318179</v>
      </c>
      <c r="K35" s="199">
        <f t="shared" si="3"/>
        <v>5669.9375325318179</v>
      </c>
      <c r="L35" s="199">
        <f t="shared" si="3"/>
        <v>5669.9375325318179</v>
      </c>
      <c r="M35" s="199">
        <f t="shared" si="3"/>
        <v>5669.9375325318179</v>
      </c>
      <c r="N35" s="199">
        <f t="shared" si="3"/>
        <v>5669.9375325318179</v>
      </c>
      <c r="O35" s="199">
        <f t="shared" si="3"/>
        <v>5669.9375325318179</v>
      </c>
      <c r="P35" s="199">
        <f t="shared" si="3"/>
        <v>5669.9375325318179</v>
      </c>
      <c r="Q35" s="199">
        <f t="shared" si="3"/>
        <v>5669.9375325318179</v>
      </c>
      <c r="R35" s="199">
        <f t="shared" si="3"/>
        <v>5669.9375325318179</v>
      </c>
      <c r="S35" s="199">
        <f t="shared" si="3"/>
        <v>5669.9375325318179</v>
      </c>
      <c r="T35" s="199">
        <f t="shared" si="3"/>
        <v>5669.9375325318179</v>
      </c>
      <c r="U35" s="199">
        <f t="shared" si="3"/>
        <v>5669.9375325318179</v>
      </c>
      <c r="V35" s="199">
        <f t="shared" si="3"/>
        <v>5669.9375325318179</v>
      </c>
    </row>
    <row r="36" spans="1:22" s="135" customFormat="1" ht="12.75" x14ac:dyDescent="0.2">
      <c r="A36" s="149"/>
      <c r="B36" s="160"/>
      <c r="C36" s="199"/>
      <c r="D36" s="199"/>
      <c r="E36" s="199"/>
      <c r="F36" s="199"/>
      <c r="G36" s="199"/>
      <c r="H36" s="199"/>
      <c r="I36" s="199"/>
      <c r="J36" s="199"/>
      <c r="K36" s="199"/>
      <c r="L36" s="199"/>
      <c r="M36" s="199"/>
      <c r="N36" s="199"/>
      <c r="O36" s="199"/>
      <c r="P36" s="199"/>
      <c r="Q36" s="199"/>
      <c r="R36" s="199"/>
      <c r="S36" s="199"/>
      <c r="T36" s="199"/>
      <c r="U36" s="199"/>
      <c r="V36" s="199"/>
    </row>
    <row r="37" spans="1:22" s="135" customFormat="1" ht="12.75" x14ac:dyDescent="0.2">
      <c r="B37" s="198" t="s">
        <v>464</v>
      </c>
      <c r="C37" s="199"/>
      <c r="D37" s="199"/>
      <c r="E37" s="199"/>
      <c r="F37" s="199"/>
      <c r="G37" s="199"/>
      <c r="H37" s="199"/>
      <c r="I37" s="199"/>
      <c r="J37" s="199"/>
      <c r="K37" s="199"/>
      <c r="L37" s="199"/>
      <c r="M37" s="199"/>
      <c r="N37" s="199"/>
      <c r="O37" s="199"/>
      <c r="P37" s="199"/>
      <c r="Q37" s="199"/>
      <c r="R37" s="199"/>
      <c r="S37" s="199"/>
      <c r="T37" s="199"/>
      <c r="U37" s="199"/>
      <c r="V37" s="199"/>
    </row>
    <row r="38" spans="1:22" s="135" customFormat="1" ht="12.75" x14ac:dyDescent="0.2">
      <c r="A38" s="149">
        <f t="shared" ref="A38" si="4">structure_lifetime-LEFT(B38,2)</f>
        <v>20</v>
      </c>
      <c r="B38" s="160" t="s">
        <v>133</v>
      </c>
      <c r="C38" s="199">
        <f>SUM(C35:$V35)*finance_rate</f>
        <v>6463.7287870862756</v>
      </c>
      <c r="D38" s="199">
        <f>SUM(D35:$V35)*finance_rate</f>
        <v>6140.5423477319619</v>
      </c>
      <c r="E38" s="199">
        <f>SUM(E35:$V35)*finance_rate</f>
        <v>5817.3559083776481</v>
      </c>
      <c r="F38" s="199">
        <f>SUM(F35:$V35)*finance_rate</f>
        <v>5494.1694690233335</v>
      </c>
      <c r="G38" s="199">
        <f>SUM(G35:$V35)*finance_rate</f>
        <v>5170.9830296690197</v>
      </c>
      <c r="H38" s="199">
        <f>SUM(H35:$V35)*finance_rate</f>
        <v>4847.796590314706</v>
      </c>
      <c r="I38" s="199">
        <f>SUM(I35:$V35)*finance_rate</f>
        <v>4524.6101509603914</v>
      </c>
      <c r="J38" s="199">
        <f>SUM(J35:$V35)*finance_rate</f>
        <v>4201.4237116060776</v>
      </c>
      <c r="K38" s="199">
        <f>SUM(K35:$V35)*finance_rate</f>
        <v>3878.2372722517634</v>
      </c>
      <c r="L38" s="199">
        <f>SUM(L35:$V35)*finance_rate</f>
        <v>3555.0508328974497</v>
      </c>
      <c r="M38" s="199">
        <f>SUM(M35:$V35)*finance_rate</f>
        <v>3231.8643935431364</v>
      </c>
      <c r="N38" s="199">
        <f>SUM(N35:$V35)*finance_rate</f>
        <v>2908.6779541888227</v>
      </c>
      <c r="O38" s="199">
        <f>SUM(O35:$V35)*finance_rate</f>
        <v>2585.491514834509</v>
      </c>
      <c r="P38" s="199">
        <f>SUM(P35:$V35)*finance_rate</f>
        <v>2262.3050754801952</v>
      </c>
      <c r="Q38" s="199">
        <f>SUM(Q35:$V35)*finance_rate</f>
        <v>1939.1186361258817</v>
      </c>
      <c r="R38" s="199">
        <f>SUM(R35:$V35)*finance_rate</f>
        <v>1615.9321967715682</v>
      </c>
      <c r="S38" s="199">
        <f>SUM(S35:$V35)*finance_rate</f>
        <v>1292.7457574172545</v>
      </c>
      <c r="T38" s="199">
        <f>SUM(T35:$V35)*finance_rate</f>
        <v>969.55931806294086</v>
      </c>
      <c r="U38" s="199">
        <f>SUM(U35:$V35)*finance_rate</f>
        <v>646.37287870862724</v>
      </c>
      <c r="V38" s="199">
        <f>SUM(V35:$V35)*finance_rate</f>
        <v>323.18643935431362</v>
      </c>
    </row>
    <row r="39" spans="1:22" s="135" customFormat="1" ht="12.75" x14ac:dyDescent="0.2">
      <c r="A39" s="149"/>
      <c r="B39" s="160"/>
      <c r="C39" s="199"/>
      <c r="D39" s="199"/>
      <c r="E39" s="199"/>
      <c r="F39" s="199"/>
      <c r="G39" s="199"/>
      <c r="H39" s="199"/>
      <c r="I39" s="199"/>
      <c r="J39" s="199"/>
      <c r="K39" s="199"/>
      <c r="L39" s="199"/>
      <c r="M39" s="199"/>
      <c r="N39" s="199"/>
      <c r="O39" s="199"/>
      <c r="P39" s="199"/>
      <c r="Q39" s="199"/>
      <c r="R39" s="199"/>
      <c r="S39" s="199"/>
      <c r="T39" s="199"/>
      <c r="U39" s="199"/>
      <c r="V39" s="199"/>
    </row>
    <row r="40" spans="1:22" s="135" customFormat="1" ht="12.75" x14ac:dyDescent="0.2">
      <c r="A40" s="149"/>
      <c r="B40" s="198" t="s">
        <v>466</v>
      </c>
      <c r="C40" s="199"/>
      <c r="D40" s="199"/>
      <c r="E40" s="199"/>
      <c r="F40" s="199"/>
      <c r="G40" s="199"/>
      <c r="H40" s="199"/>
      <c r="I40" s="199"/>
      <c r="J40" s="199"/>
      <c r="K40" s="199"/>
      <c r="L40" s="199"/>
      <c r="M40" s="199"/>
      <c r="N40" s="199"/>
      <c r="O40" s="199"/>
      <c r="P40" s="199"/>
      <c r="Q40" s="199"/>
      <c r="R40" s="199"/>
      <c r="S40" s="199"/>
      <c r="T40" s="199"/>
      <c r="U40" s="199"/>
      <c r="V40" s="199"/>
    </row>
    <row r="41" spans="1:22" s="135" customFormat="1" ht="12.75" x14ac:dyDescent="0.2">
      <c r="A41" s="149">
        <f t="shared" ref="A41" si="5">structure_lifetime-LEFT(B41,2)</f>
        <v>20</v>
      </c>
      <c r="B41" s="160" t="s">
        <v>133</v>
      </c>
      <c r="C41" s="169">
        <f t="shared" ref="C41:V41" si="6">C35+C38</f>
        <v>12133.666319618093</v>
      </c>
      <c r="D41" s="169">
        <f t="shared" si="6"/>
        <v>11810.47988026378</v>
      </c>
      <c r="E41" s="169">
        <f t="shared" si="6"/>
        <v>11487.293440909467</v>
      </c>
      <c r="F41" s="169">
        <f t="shared" si="6"/>
        <v>11164.107001555152</v>
      </c>
      <c r="G41" s="169">
        <f t="shared" si="6"/>
        <v>10840.920562200838</v>
      </c>
      <c r="H41" s="169">
        <f t="shared" si="6"/>
        <v>10517.734122846523</v>
      </c>
      <c r="I41" s="169">
        <f t="shared" si="6"/>
        <v>10194.547683492208</v>
      </c>
      <c r="J41" s="169">
        <f t="shared" si="6"/>
        <v>9871.3612441378955</v>
      </c>
      <c r="K41" s="169">
        <f t="shared" si="6"/>
        <v>9548.1748047835808</v>
      </c>
      <c r="L41" s="169">
        <f t="shared" si="6"/>
        <v>9224.988365429268</v>
      </c>
      <c r="M41" s="169">
        <f t="shared" si="6"/>
        <v>8901.8019260749534</v>
      </c>
      <c r="N41" s="169">
        <f t="shared" si="6"/>
        <v>8578.6154867206405</v>
      </c>
      <c r="O41" s="169">
        <f t="shared" si="6"/>
        <v>8255.4290473663277</v>
      </c>
      <c r="P41" s="169">
        <f t="shared" si="6"/>
        <v>7932.2426080120131</v>
      </c>
      <c r="Q41" s="169">
        <f t="shared" si="6"/>
        <v>7609.0561686576993</v>
      </c>
      <c r="R41" s="169">
        <f t="shared" si="6"/>
        <v>7285.8697293033856</v>
      </c>
      <c r="S41" s="169">
        <f t="shared" si="6"/>
        <v>6962.6832899490728</v>
      </c>
      <c r="T41" s="169">
        <f t="shared" si="6"/>
        <v>6639.4968505947591</v>
      </c>
      <c r="U41" s="169">
        <f t="shared" si="6"/>
        <v>6316.3104112404453</v>
      </c>
      <c r="V41" s="169">
        <f t="shared" si="6"/>
        <v>5993.1239718861316</v>
      </c>
    </row>
    <row r="42" spans="1:22" s="135" customFormat="1" ht="12.75" x14ac:dyDescent="0.2">
      <c r="C42" s="199"/>
      <c r="D42" s="199"/>
      <c r="E42" s="199"/>
      <c r="F42" s="199"/>
      <c r="G42" s="199"/>
      <c r="H42" s="199"/>
      <c r="I42" s="199"/>
      <c r="J42" s="199"/>
      <c r="K42" s="199"/>
      <c r="L42" s="199"/>
      <c r="M42" s="199"/>
      <c r="N42" s="199"/>
      <c r="O42" s="199"/>
      <c r="P42" s="199"/>
      <c r="Q42" s="199"/>
      <c r="R42" s="199"/>
      <c r="S42" s="199"/>
      <c r="T42" s="199"/>
      <c r="U42" s="199"/>
      <c r="V42" s="199"/>
    </row>
    <row r="43" spans="1:22" s="135" customFormat="1" ht="12.75" x14ac:dyDescent="0.2">
      <c r="C43" s="199"/>
      <c r="D43" s="199"/>
      <c r="E43" s="199"/>
      <c r="F43" s="199"/>
      <c r="G43" s="199"/>
      <c r="H43" s="199"/>
      <c r="I43" s="199"/>
      <c r="J43" s="199"/>
      <c r="K43" s="199"/>
      <c r="L43" s="199"/>
      <c r="M43" s="199"/>
      <c r="N43" s="199"/>
      <c r="O43" s="199"/>
      <c r="P43" s="199"/>
      <c r="Q43" s="199"/>
      <c r="R43" s="199"/>
      <c r="S43" s="199"/>
      <c r="T43" s="199"/>
      <c r="U43" s="199"/>
      <c r="V43" s="199"/>
    </row>
    <row r="44" spans="1:22" s="135" customFormat="1" ht="12.75" x14ac:dyDescent="0.2">
      <c r="C44" s="199"/>
      <c r="D44" s="199"/>
      <c r="E44" s="199"/>
      <c r="F44" s="199"/>
      <c r="G44" s="199"/>
      <c r="H44" s="199"/>
      <c r="I44" s="199"/>
      <c r="J44" s="199"/>
      <c r="K44" s="199"/>
      <c r="L44" s="199"/>
      <c r="M44" s="199"/>
      <c r="N44" s="199"/>
      <c r="O44" s="199"/>
      <c r="P44" s="199"/>
      <c r="Q44" s="199"/>
      <c r="R44" s="199"/>
      <c r="S44" s="199"/>
      <c r="T44" s="199"/>
      <c r="U44" s="199"/>
      <c r="V44" s="199"/>
    </row>
    <row r="45" spans="1:22" ht="12.75" x14ac:dyDescent="0.2">
      <c r="C45" s="199"/>
      <c r="D45" s="199"/>
      <c r="E45" s="199"/>
      <c r="F45" s="199"/>
      <c r="G45" s="199"/>
      <c r="H45" s="199"/>
      <c r="I45" s="199"/>
      <c r="J45" s="199"/>
      <c r="K45" s="199"/>
      <c r="L45" s="199"/>
      <c r="M45" s="199"/>
      <c r="N45" s="199"/>
      <c r="O45" s="199"/>
      <c r="P45" s="199"/>
      <c r="Q45" s="199"/>
      <c r="R45" s="199"/>
      <c r="S45" s="199"/>
      <c r="T45" s="199"/>
      <c r="U45" s="199"/>
      <c r="V45" s="199"/>
    </row>
    <row r="46" spans="1:22" ht="12.75" x14ac:dyDescent="0.2">
      <c r="C46" s="199"/>
      <c r="D46" s="199"/>
      <c r="E46" s="199"/>
      <c r="F46" s="199"/>
      <c r="G46" s="199"/>
      <c r="H46" s="199"/>
      <c r="I46" s="199"/>
      <c r="J46" s="199"/>
      <c r="K46" s="199"/>
      <c r="L46" s="199"/>
      <c r="M46" s="199"/>
      <c r="N46" s="199"/>
      <c r="O46" s="199"/>
      <c r="P46" s="199"/>
      <c r="Q46" s="199"/>
      <c r="R46" s="199"/>
      <c r="S46" s="199"/>
      <c r="T46" s="199"/>
      <c r="U46" s="199"/>
      <c r="V46" s="199"/>
    </row>
    <row r="48" spans="1:22" x14ac:dyDescent="0.2">
      <c r="B48" s="8"/>
    </row>
    <row r="49" spans="2:22" x14ac:dyDescent="0.2">
      <c r="V49" s="23"/>
    </row>
    <row r="50" spans="2:22" x14ac:dyDescent="0.2">
      <c r="B50" s="10"/>
    </row>
    <row r="51" spans="2:22" ht="34.9" customHeight="1" x14ac:dyDescent="0.2">
      <c r="B51" s="20"/>
      <c r="C51" s="20"/>
      <c r="D51" s="20"/>
      <c r="E51" s="20"/>
      <c r="F51" s="20"/>
      <c r="G51" s="20"/>
      <c r="H51" s="20"/>
      <c r="I51" s="20"/>
      <c r="J51" s="37"/>
      <c r="K51" s="37"/>
    </row>
    <row r="52" spans="2:22" x14ac:dyDescent="0.2">
      <c r="C52" s="24"/>
      <c r="D52" s="24"/>
      <c r="E52" s="24"/>
      <c r="F52" s="24"/>
      <c r="G52" s="24"/>
      <c r="H52" s="24"/>
      <c r="I52" s="24"/>
    </row>
    <row r="53" spans="2:22" x14ac:dyDescent="0.2">
      <c r="C53" s="25"/>
      <c r="D53" s="25"/>
      <c r="E53" s="25"/>
      <c r="F53" s="25"/>
      <c r="G53" s="25"/>
      <c r="H53" s="25"/>
      <c r="I53" s="25"/>
      <c r="J53" s="36"/>
      <c r="K53" s="25"/>
    </row>
    <row r="54" spans="2:22" x14ac:dyDescent="0.2">
      <c r="C54" s="25"/>
      <c r="D54" s="25"/>
      <c r="E54" s="25"/>
      <c r="F54" s="25"/>
      <c r="G54" s="25"/>
      <c r="H54" s="25"/>
      <c r="I54" s="25"/>
      <c r="J54" s="36"/>
      <c r="K54" s="25"/>
    </row>
    <row r="55" spans="2:22" x14ac:dyDescent="0.2">
      <c r="B55" s="8"/>
      <c r="C55" s="25"/>
      <c r="D55" s="25"/>
      <c r="E55" s="25"/>
      <c r="F55" s="25"/>
      <c r="G55" s="25"/>
      <c r="H55" s="25"/>
      <c r="I55" s="25"/>
      <c r="J55" s="36"/>
      <c r="K55" s="25"/>
    </row>
    <row r="56" spans="2:22" x14ac:dyDescent="0.2">
      <c r="C56" s="25"/>
      <c r="D56" s="25"/>
      <c r="E56" s="25"/>
      <c r="F56" s="25"/>
      <c r="G56" s="25"/>
      <c r="H56" s="25"/>
      <c r="I56" s="25"/>
      <c r="J56" s="36"/>
      <c r="K56" s="25"/>
    </row>
    <row r="57" spans="2:22" x14ac:dyDescent="0.2">
      <c r="B57" s="8"/>
      <c r="C57" s="25"/>
      <c r="D57" s="25"/>
      <c r="E57" s="25"/>
      <c r="F57" s="25"/>
      <c r="G57" s="25"/>
      <c r="H57" s="25"/>
      <c r="I57" s="25"/>
      <c r="J57" s="36"/>
      <c r="K57" s="25"/>
    </row>
    <row r="58" spans="2:22" x14ac:dyDescent="0.2">
      <c r="C58" s="25"/>
      <c r="D58" s="25"/>
      <c r="E58" s="25"/>
      <c r="F58" s="25"/>
      <c r="G58" s="25"/>
      <c r="H58" s="25"/>
      <c r="I58" s="25"/>
      <c r="J58" s="36"/>
      <c r="K58" s="25"/>
    </row>
    <row r="59" spans="2:22" x14ac:dyDescent="0.2">
      <c r="B59" s="8"/>
      <c r="C59" s="25"/>
      <c r="D59" s="25"/>
      <c r="E59" s="25"/>
      <c r="F59" s="25"/>
      <c r="G59" s="25"/>
      <c r="H59" s="25"/>
      <c r="I59" s="25"/>
      <c r="J59" s="36"/>
      <c r="K59" s="25"/>
    </row>
    <row r="60" spans="2:22" x14ac:dyDescent="0.2">
      <c r="K60" s="25"/>
    </row>
    <row r="61" spans="2:22" x14ac:dyDescent="0.2">
      <c r="I61" s="35"/>
      <c r="J61" s="34"/>
      <c r="K61" s="34"/>
    </row>
    <row r="70" spans="3:9" x14ac:dyDescent="0.2">
      <c r="C70" s="27"/>
    </row>
    <row r="71" spans="3:9" x14ac:dyDescent="0.2">
      <c r="C71" s="27"/>
      <c r="D71" s="27"/>
      <c r="E71" s="27"/>
      <c r="F71" s="27"/>
      <c r="G71" s="27"/>
      <c r="H71" s="27"/>
      <c r="I71" s="27"/>
    </row>
    <row r="72" spans="3:9" x14ac:dyDescent="0.2">
      <c r="C72" s="26"/>
      <c r="D72" s="26"/>
      <c r="E72" s="26"/>
      <c r="F72" s="26"/>
      <c r="G72" s="26"/>
      <c r="H72" s="26"/>
      <c r="I72" s="26"/>
    </row>
    <row r="73" spans="3:9" x14ac:dyDescent="0.2">
      <c r="C73" s="26"/>
      <c r="D73" s="26"/>
      <c r="E73" s="26"/>
      <c r="F73" s="26"/>
      <c r="G73" s="26"/>
      <c r="H73" s="26"/>
      <c r="I73" s="26"/>
    </row>
    <row r="76" spans="3:9" x14ac:dyDescent="0.2">
      <c r="D76" s="26"/>
      <c r="E76" s="26"/>
      <c r="F76" s="26"/>
      <c r="G76" s="26"/>
      <c r="H76" s="26"/>
      <c r="I76" s="26"/>
    </row>
  </sheetData>
  <mergeCells count="1">
    <mergeCell ref="C19:V19"/>
  </mergeCells>
  <phoneticPr fontId="7" type="noConversion"/>
  <dataValidations disablePrompts="1" count="1">
    <dataValidation type="list" allowBlank="1" showInputMessage="1" showErrorMessage="1" sqref="C23:V24 C32:V33" xr:uid="{DFAA1BB1-6DF4-4D99-BD6E-3B92C91CE87F}">
      <formula1>"Yes, No"</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ignoredErrors>
    <ignoredError sqref="C35:V4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684AF-AFEF-4D40-B8D0-FFED71E9AB6F}">
  <sheetPr codeName="Sheet28">
    <pageSetUpPr autoPageBreaks="0"/>
  </sheetPr>
  <dimension ref="A1:X66"/>
  <sheetViews>
    <sheetView defaultGridColor="0" colorId="22" zoomScaleNormal="100" workbookViewId="0">
      <pane ySplit="1" topLeftCell="A2" activePane="bottomLeft" state="frozen"/>
      <selection pane="bottomLeft"/>
    </sheetView>
  </sheetViews>
  <sheetFormatPr defaultColWidth="12.7109375" defaultRowHeight="12" x14ac:dyDescent="0.2"/>
  <cols>
    <col min="1" max="1" width="17.42578125" style="16" customWidth="1"/>
    <col min="2" max="2" width="26.85546875" style="16" customWidth="1"/>
    <col min="3" max="9" width="9.42578125" style="16" customWidth="1"/>
    <col min="10" max="21" width="12.7109375" style="16"/>
    <col min="22" max="22" width="17.140625" style="16" customWidth="1"/>
    <col min="23" max="23" width="20.7109375" style="16" customWidth="1"/>
    <col min="24" max="24" width="17.140625" style="16" customWidth="1"/>
    <col min="25" max="16384" width="12.7109375" style="16"/>
  </cols>
  <sheetData>
    <row r="1" spans="1:12" s="11" customFormat="1" ht="40.5" customHeight="1" x14ac:dyDescent="0.2">
      <c r="A1" s="121" t="s">
        <v>472</v>
      </c>
      <c r="L1" s="11" t="s">
        <v>13</v>
      </c>
    </row>
    <row r="2" spans="1:12" s="135" customFormat="1" ht="12.75" x14ac:dyDescent="0.2"/>
    <row r="3" spans="1:12" s="135" customFormat="1" ht="12.75" x14ac:dyDescent="0.2">
      <c r="B3" s="16" t="s">
        <v>25</v>
      </c>
      <c r="C3" s="147">
        <v>20</v>
      </c>
      <c r="D3" s="16"/>
    </row>
    <row r="4" spans="1:12" s="135" customFormat="1" ht="12.75" x14ac:dyDescent="0.2">
      <c r="B4" s="16"/>
      <c r="D4" s="16"/>
    </row>
    <row r="5" spans="1:12" s="135" customFormat="1" ht="12.75" x14ac:dyDescent="0.2">
      <c r="B5" s="16" t="s">
        <v>59</v>
      </c>
      <c r="C5" s="188">
        <v>5.7000000000000002E-2</v>
      </c>
      <c r="D5" s="19" t="s">
        <v>89</v>
      </c>
      <c r="E5" s="172" t="s">
        <v>124</v>
      </c>
      <c r="I5" s="136"/>
    </row>
    <row r="6" spans="1:12" s="135" customFormat="1" ht="12.75" x14ac:dyDescent="0.2">
      <c r="B6" s="16" t="s">
        <v>21</v>
      </c>
      <c r="C6" s="188">
        <v>3.5000000000000003E-2</v>
      </c>
      <c r="D6" s="19" t="s">
        <v>22</v>
      </c>
      <c r="E6" s="172" t="s">
        <v>401</v>
      </c>
      <c r="I6" s="136"/>
    </row>
    <row r="7" spans="1:12" s="135" customFormat="1" ht="12.75" x14ac:dyDescent="0.2">
      <c r="B7" s="16"/>
      <c r="D7" s="16"/>
      <c r="H7" s="173"/>
    </row>
    <row r="8" spans="1:12" s="135" customFormat="1" ht="12.75" x14ac:dyDescent="0.2">
      <c r="B8" s="8" t="s">
        <v>86</v>
      </c>
      <c r="C8" s="191">
        <f>Equipment</f>
        <v>7000</v>
      </c>
      <c r="D8" s="19" t="s">
        <v>90</v>
      </c>
      <c r="H8" s="173"/>
    </row>
    <row r="9" spans="1:12" s="135" customFormat="1" ht="12.75" x14ac:dyDescent="0.2">
      <c r="B9" s="8" t="s">
        <v>369</v>
      </c>
      <c r="C9" s="191">
        <f>'Cost calculations'!G37</f>
        <v>10500</v>
      </c>
      <c r="D9" s="19" t="s">
        <v>370</v>
      </c>
      <c r="H9" s="173"/>
    </row>
    <row r="10" spans="1:12" s="135" customFormat="1" ht="12.75" x14ac:dyDescent="0.2">
      <c r="B10" s="8" t="s">
        <v>87</v>
      </c>
      <c r="C10" s="191">
        <f>'Cost calculations'!C23</f>
        <v>113398.75065063636</v>
      </c>
      <c r="D10" s="32" t="s">
        <v>91</v>
      </c>
      <c r="H10" s="173"/>
    </row>
    <row r="11" spans="1:12" s="135" customFormat="1" ht="12.75" x14ac:dyDescent="0.2">
      <c r="B11" s="8" t="s">
        <v>88</v>
      </c>
      <c r="C11" s="191">
        <f>'Cost calculations'!C24</f>
        <v>11339.875065063636</v>
      </c>
      <c r="D11" s="32" t="s">
        <v>92</v>
      </c>
      <c r="H11" s="173"/>
    </row>
    <row r="12" spans="1:12" s="135" customFormat="1" ht="12.75" x14ac:dyDescent="0.2">
      <c r="B12" s="8"/>
      <c r="D12" s="32"/>
      <c r="H12" s="173"/>
    </row>
    <row r="13" spans="1:12" s="135" customFormat="1" ht="12.75" x14ac:dyDescent="0.2">
      <c r="B13" s="8"/>
      <c r="D13" s="32"/>
      <c r="H13" s="173"/>
    </row>
    <row r="14" spans="1:12" s="135" customFormat="1" ht="12.75" customHeight="1" x14ac:dyDescent="0.2">
      <c r="B14" s="160" t="s">
        <v>121</v>
      </c>
      <c r="C14" s="144">
        <v>0.5</v>
      </c>
      <c r="D14" s="32"/>
      <c r="H14" s="173"/>
    </row>
    <row r="15" spans="1:12" s="135" customFormat="1" ht="12.75" x14ac:dyDescent="0.2">
      <c r="B15" s="8"/>
      <c r="D15" s="32"/>
      <c r="H15" s="173"/>
    </row>
    <row r="16" spans="1:12" s="135" customFormat="1" ht="12.75" x14ac:dyDescent="0.2">
      <c r="B16" s="8"/>
      <c r="D16" s="32"/>
      <c r="H16" s="173"/>
    </row>
    <row r="17" spans="2:23" s="135" customFormat="1" ht="12.75" x14ac:dyDescent="0.2">
      <c r="B17" s="16" t="s">
        <v>45</v>
      </c>
      <c r="C17" s="192">
        <f>'Spectrum cost inputs'!D21</f>
        <v>20</v>
      </c>
      <c r="D17" s="19" t="s">
        <v>94</v>
      </c>
      <c r="F17" s="177"/>
    </row>
    <row r="18" spans="2:23" s="135" customFormat="1" ht="12.75" x14ac:dyDescent="0.2"/>
    <row r="19" spans="2:23" x14ac:dyDescent="0.2">
      <c r="C19" s="234" t="s">
        <v>44</v>
      </c>
      <c r="D19" s="234"/>
      <c r="E19" s="234"/>
      <c r="F19" s="234"/>
      <c r="G19" s="234"/>
      <c r="H19" s="234"/>
      <c r="I19" s="234"/>
      <c r="J19" s="234"/>
      <c r="K19" s="234"/>
      <c r="L19" s="234"/>
      <c r="M19" s="234"/>
      <c r="N19" s="234"/>
      <c r="O19" s="234"/>
      <c r="P19" s="234"/>
      <c r="Q19" s="234"/>
      <c r="R19" s="234"/>
      <c r="S19" s="234"/>
      <c r="T19" s="234"/>
      <c r="U19" s="234"/>
      <c r="V19" s="234"/>
    </row>
    <row r="20" spans="2:23" s="135" customFormat="1" ht="12.75" x14ac:dyDescent="0.2">
      <c r="B20" s="189"/>
      <c r="C20" s="190">
        <v>1</v>
      </c>
      <c r="D20" s="190">
        <v>2</v>
      </c>
      <c r="E20" s="190">
        <v>3</v>
      </c>
      <c r="F20" s="190">
        <v>4</v>
      </c>
      <c r="G20" s="190">
        <v>5</v>
      </c>
      <c r="H20" s="190">
        <v>6</v>
      </c>
      <c r="I20" s="190">
        <v>7</v>
      </c>
      <c r="J20" s="190">
        <v>8</v>
      </c>
      <c r="K20" s="190">
        <v>9</v>
      </c>
      <c r="L20" s="190">
        <v>10</v>
      </c>
      <c r="M20" s="190">
        <v>11</v>
      </c>
      <c r="N20" s="190">
        <v>12</v>
      </c>
      <c r="O20" s="190">
        <v>13</v>
      </c>
      <c r="P20" s="190">
        <v>14</v>
      </c>
      <c r="Q20" s="190">
        <v>15</v>
      </c>
      <c r="R20" s="190">
        <v>16</v>
      </c>
      <c r="S20" s="190">
        <v>17</v>
      </c>
      <c r="T20" s="190">
        <v>18</v>
      </c>
      <c r="U20" s="190">
        <v>19</v>
      </c>
      <c r="V20" s="190">
        <v>20</v>
      </c>
    </row>
    <row r="21" spans="2:23" s="135" customFormat="1" ht="12.75" x14ac:dyDescent="0.2">
      <c r="B21" s="189" t="s">
        <v>60</v>
      </c>
      <c r="C21" s="193">
        <f t="shared" ref="C21:V21" si="0">1/(1+$C5)^(C$20)</f>
        <v>0.94607379375591305</v>
      </c>
      <c r="D21" s="193">
        <f t="shared" si="0"/>
        <v>0.89505562323170573</v>
      </c>
      <c r="E21" s="193">
        <f t="shared" si="0"/>
        <v>0.84678866909338302</v>
      </c>
      <c r="F21" s="193">
        <f t="shared" si="0"/>
        <v>0.80112456867869719</v>
      </c>
      <c r="G21" s="193">
        <f t="shared" si="0"/>
        <v>0.75792295996092451</v>
      </c>
      <c r="H21" s="193">
        <f t="shared" si="0"/>
        <v>0.71705105010494274</v>
      </c>
      <c r="I21" s="193">
        <f t="shared" si="0"/>
        <v>0.67838320728944457</v>
      </c>
      <c r="J21" s="193">
        <f t="shared" si="0"/>
        <v>0.64180057454062855</v>
      </c>
      <c r="K21" s="193">
        <f t="shared" si="0"/>
        <v>0.60719070439037715</v>
      </c>
      <c r="L21" s="193">
        <f t="shared" si="0"/>
        <v>0.57444721323592918</v>
      </c>
      <c r="M21" s="193">
        <f t="shared" si="0"/>
        <v>0.54346945433862748</v>
      </c>
      <c r="N21" s="193">
        <f t="shared" si="0"/>
        <v>0.51416220845660121</v>
      </c>
      <c r="O21" s="193">
        <f t="shared" si="0"/>
        <v>0.4864353911604552</v>
      </c>
      <c r="P21" s="193">
        <f t="shared" si="0"/>
        <v>0.46020377593231337</v>
      </c>
      <c r="Q21" s="193">
        <f t="shared" si="0"/>
        <v>0.43538673219707991</v>
      </c>
      <c r="R21" s="193">
        <f t="shared" si="0"/>
        <v>0.41190797748068098</v>
      </c>
      <c r="S21" s="193">
        <f t="shared" si="0"/>
        <v>0.38969534293347302</v>
      </c>
      <c r="T21" s="193">
        <f t="shared" si="0"/>
        <v>0.36868055149808232</v>
      </c>
      <c r="U21" s="193">
        <f t="shared" si="0"/>
        <v>0.34879900803981301</v>
      </c>
      <c r="V21" s="193">
        <f t="shared" si="0"/>
        <v>0.32998960079452505</v>
      </c>
    </row>
    <row r="22" spans="2:23" s="135" customFormat="1" ht="12.75" x14ac:dyDescent="0.2">
      <c r="B22" s="189" t="s">
        <v>61</v>
      </c>
      <c r="C22" s="194">
        <f t="shared" ref="C22:V22" si="1">1/(1+$C6)^(C$20)</f>
        <v>0.96618357487922713</v>
      </c>
      <c r="D22" s="194">
        <f t="shared" si="1"/>
        <v>0.93351070036640305</v>
      </c>
      <c r="E22" s="194">
        <f t="shared" si="1"/>
        <v>0.90194270566802237</v>
      </c>
      <c r="F22" s="194">
        <f t="shared" si="1"/>
        <v>0.87144222769857238</v>
      </c>
      <c r="G22" s="194">
        <f t="shared" si="1"/>
        <v>0.84197316685852419</v>
      </c>
      <c r="H22" s="194">
        <f t="shared" si="1"/>
        <v>0.81350064430775282</v>
      </c>
      <c r="I22" s="194">
        <f t="shared" si="1"/>
        <v>0.78599096068381913</v>
      </c>
      <c r="J22" s="194">
        <f t="shared" si="1"/>
        <v>0.75941155621625056</v>
      </c>
      <c r="K22" s="194">
        <f t="shared" si="1"/>
        <v>0.73373097218961414</v>
      </c>
      <c r="L22" s="194">
        <f t="shared" si="1"/>
        <v>0.70891881370977217</v>
      </c>
      <c r="M22" s="194">
        <f t="shared" si="1"/>
        <v>0.68494571372924851</v>
      </c>
      <c r="N22" s="194">
        <f t="shared" si="1"/>
        <v>0.66178329828912896</v>
      </c>
      <c r="O22" s="194">
        <f t="shared" si="1"/>
        <v>0.63940415293635666</v>
      </c>
      <c r="P22" s="194">
        <f t="shared" si="1"/>
        <v>0.61778179027667302</v>
      </c>
      <c r="Q22" s="194">
        <f t="shared" si="1"/>
        <v>0.59689061862480497</v>
      </c>
      <c r="R22" s="194">
        <f t="shared" si="1"/>
        <v>0.57670591171478747</v>
      </c>
      <c r="S22" s="194">
        <f t="shared" si="1"/>
        <v>0.55720377943457733</v>
      </c>
      <c r="T22" s="194">
        <f t="shared" si="1"/>
        <v>0.53836113955031628</v>
      </c>
      <c r="U22" s="194">
        <f t="shared" si="1"/>
        <v>0.52015569038677911</v>
      </c>
      <c r="V22" s="194">
        <f t="shared" si="1"/>
        <v>0.50256588443167061</v>
      </c>
      <c r="W22" s="153"/>
    </row>
    <row r="23" spans="2:23" s="135" customFormat="1" ht="12.75" x14ac:dyDescent="0.2">
      <c r="B23" s="189" t="s">
        <v>62</v>
      </c>
      <c r="C23" s="195" t="s">
        <v>15</v>
      </c>
      <c r="D23" s="195" t="s">
        <v>63</v>
      </c>
      <c r="E23" s="195" t="s">
        <v>63</v>
      </c>
      <c r="F23" s="195" t="s">
        <v>63</v>
      </c>
      <c r="G23" s="195" t="s">
        <v>63</v>
      </c>
      <c r="H23" s="195" t="s">
        <v>63</v>
      </c>
      <c r="I23" s="195" t="s">
        <v>63</v>
      </c>
      <c r="J23" s="195" t="s">
        <v>15</v>
      </c>
      <c r="K23" s="195" t="s">
        <v>63</v>
      </c>
      <c r="L23" s="195" t="s">
        <v>63</v>
      </c>
      <c r="M23" s="195" t="s">
        <v>63</v>
      </c>
      <c r="N23" s="195" t="s">
        <v>63</v>
      </c>
      <c r="O23" s="195" t="s">
        <v>63</v>
      </c>
      <c r="P23" s="195" t="s">
        <v>63</v>
      </c>
      <c r="Q23" s="195" t="s">
        <v>15</v>
      </c>
      <c r="R23" s="195" t="s">
        <v>63</v>
      </c>
      <c r="S23" s="195" t="s">
        <v>63</v>
      </c>
      <c r="T23" s="195" t="s">
        <v>63</v>
      </c>
      <c r="U23" s="195" t="s">
        <v>63</v>
      </c>
      <c r="V23" s="195" t="s">
        <v>63</v>
      </c>
    </row>
    <row r="24" spans="2:23" s="135" customFormat="1" ht="12.75" x14ac:dyDescent="0.2">
      <c r="B24" s="189" t="s">
        <v>64</v>
      </c>
      <c r="C24" s="195" t="s">
        <v>15</v>
      </c>
      <c r="D24" s="195" t="s">
        <v>63</v>
      </c>
      <c r="E24" s="195" t="s">
        <v>63</v>
      </c>
      <c r="F24" s="195" t="s">
        <v>63</v>
      </c>
      <c r="G24" s="195" t="s">
        <v>63</v>
      </c>
      <c r="H24" s="195" t="s">
        <v>63</v>
      </c>
      <c r="I24" s="195" t="s">
        <v>63</v>
      </c>
      <c r="J24" s="195" t="s">
        <v>63</v>
      </c>
      <c r="K24" s="195" t="s">
        <v>63</v>
      </c>
      <c r="L24" s="195" t="s">
        <v>63</v>
      </c>
      <c r="M24" s="195" t="s">
        <v>63</v>
      </c>
      <c r="N24" s="195" t="s">
        <v>63</v>
      </c>
      <c r="O24" s="195" t="s">
        <v>63</v>
      </c>
      <c r="P24" s="195" t="s">
        <v>63</v>
      </c>
      <c r="Q24" s="195" t="s">
        <v>63</v>
      </c>
      <c r="R24" s="195" t="s">
        <v>63</v>
      </c>
      <c r="S24" s="195" t="s">
        <v>63</v>
      </c>
      <c r="T24" s="195" t="s">
        <v>63</v>
      </c>
      <c r="U24" s="195" t="s">
        <v>63</v>
      </c>
      <c r="V24" s="195" t="s">
        <v>63</v>
      </c>
    </row>
    <row r="25" spans="2:23" s="135" customFormat="1" ht="12.75" x14ac:dyDescent="0.2">
      <c r="B25" s="160"/>
    </row>
    <row r="26" spans="2:23" s="135" customFormat="1" ht="12.75" x14ac:dyDescent="0.2">
      <c r="B26" s="160"/>
    </row>
    <row r="27" spans="2:23" s="135" customFormat="1" ht="12.75" x14ac:dyDescent="0.2">
      <c r="B27" s="160"/>
    </row>
    <row r="28" spans="2:23" s="135" customFormat="1" ht="12.75" x14ac:dyDescent="0.2">
      <c r="B28" s="33" t="s">
        <v>473</v>
      </c>
    </row>
    <row r="29" spans="2:23" s="135" customFormat="1" ht="12.75" x14ac:dyDescent="0.2">
      <c r="B29" s="160"/>
    </row>
    <row r="30" spans="2:23" s="135" customFormat="1" ht="12.75" x14ac:dyDescent="0.2">
      <c r="B30" s="154"/>
      <c r="C30" s="135" t="s">
        <v>70</v>
      </c>
    </row>
    <row r="31" spans="2:23" s="135" customFormat="1" ht="12.75" x14ac:dyDescent="0.2">
      <c r="C31" s="178">
        <v>1</v>
      </c>
      <c r="D31" s="178">
        <v>2</v>
      </c>
      <c r="E31" s="178">
        <v>3</v>
      </c>
      <c r="F31" s="178">
        <v>4</v>
      </c>
      <c r="G31" s="178">
        <v>5</v>
      </c>
      <c r="H31" s="178">
        <v>6</v>
      </c>
      <c r="I31" s="178">
        <v>7</v>
      </c>
      <c r="J31" s="178">
        <v>8</v>
      </c>
      <c r="K31" s="178">
        <v>9</v>
      </c>
      <c r="L31" s="178">
        <v>10</v>
      </c>
      <c r="M31" s="178">
        <v>11</v>
      </c>
      <c r="N31" s="178">
        <v>12</v>
      </c>
      <c r="O31" s="178">
        <v>13</v>
      </c>
      <c r="P31" s="178">
        <v>14</v>
      </c>
      <c r="Q31" s="178">
        <v>15</v>
      </c>
      <c r="R31" s="178">
        <v>16</v>
      </c>
      <c r="S31" s="178">
        <v>17</v>
      </c>
      <c r="T31" s="178">
        <v>18</v>
      </c>
      <c r="U31" s="178">
        <v>19</v>
      </c>
      <c r="V31" s="178">
        <v>20</v>
      </c>
    </row>
    <row r="32" spans="2:23" s="135" customFormat="1" ht="12.75" x14ac:dyDescent="0.2">
      <c r="B32" s="179" t="s">
        <v>71</v>
      </c>
      <c r="C32" s="178"/>
      <c r="D32" s="178"/>
      <c r="E32" s="178"/>
      <c r="F32" s="178"/>
      <c r="G32" s="178"/>
      <c r="H32" s="178"/>
      <c r="I32" s="178"/>
      <c r="J32" s="178"/>
      <c r="K32" s="178"/>
      <c r="L32" s="178"/>
      <c r="M32" s="178"/>
      <c r="N32" s="178"/>
      <c r="O32" s="178"/>
      <c r="P32" s="178"/>
      <c r="Q32" s="178"/>
      <c r="R32" s="178"/>
      <c r="S32" s="178"/>
      <c r="T32" s="178"/>
      <c r="U32" s="178"/>
      <c r="V32" s="178"/>
    </row>
    <row r="33" spans="1:24" s="135" customFormat="1" ht="12.75" x14ac:dyDescent="0.2">
      <c r="B33" s="179"/>
      <c r="C33" s="178"/>
      <c r="D33" s="178"/>
      <c r="E33" s="178"/>
      <c r="F33" s="178"/>
      <c r="G33" s="178"/>
      <c r="H33" s="178"/>
      <c r="I33" s="178"/>
      <c r="J33" s="178"/>
      <c r="K33" s="178"/>
      <c r="L33" s="178"/>
      <c r="M33" s="178"/>
      <c r="N33" s="178"/>
      <c r="O33" s="178"/>
      <c r="P33" s="178"/>
      <c r="Q33" s="178"/>
      <c r="R33" s="178"/>
      <c r="S33" s="178"/>
      <c r="T33" s="178"/>
      <c r="U33" s="178"/>
      <c r="V33" s="178"/>
    </row>
    <row r="34" spans="1:24" s="135" customFormat="1" ht="12.75" x14ac:dyDescent="0.2">
      <c r="A34" s="149" t="s">
        <v>120</v>
      </c>
      <c r="B34" s="198" t="s">
        <v>465</v>
      </c>
      <c r="C34" s="199"/>
      <c r="D34" s="199"/>
      <c r="E34" s="199"/>
      <c r="F34" s="199"/>
      <c r="G34" s="199"/>
      <c r="H34" s="199"/>
      <c r="I34" s="199"/>
      <c r="J34" s="199"/>
      <c r="K34" s="199"/>
      <c r="L34" s="199"/>
      <c r="M34" s="199"/>
      <c r="N34" s="199"/>
      <c r="O34" s="199"/>
      <c r="P34" s="199"/>
      <c r="Q34" s="199"/>
      <c r="R34" s="199"/>
      <c r="S34" s="199"/>
      <c r="T34" s="199"/>
      <c r="U34" s="199"/>
      <c r="V34" s="199"/>
      <c r="W34" s="180"/>
    </row>
    <row r="35" spans="1:24" s="135" customFormat="1" ht="12.75" x14ac:dyDescent="0.2">
      <c r="A35" s="149">
        <f t="shared" ref="A35" si="2">structure_lifetime-LEFT(B35,2)</f>
        <v>20</v>
      </c>
      <c r="B35" s="160" t="s">
        <v>133</v>
      </c>
      <c r="C35" s="199">
        <f t="shared" ref="C35:V35" si="3">IF(C$31&lt;=$A35,urban_site_capital/structure_lifetime,0)</f>
        <v>566.99375325318181</v>
      </c>
      <c r="D35" s="199">
        <f t="shared" si="3"/>
        <v>566.99375325318181</v>
      </c>
      <c r="E35" s="199">
        <f t="shared" si="3"/>
        <v>566.99375325318181</v>
      </c>
      <c r="F35" s="199">
        <f t="shared" si="3"/>
        <v>566.99375325318181</v>
      </c>
      <c r="G35" s="199">
        <f t="shared" si="3"/>
        <v>566.99375325318181</v>
      </c>
      <c r="H35" s="199">
        <f t="shared" si="3"/>
        <v>566.99375325318181</v>
      </c>
      <c r="I35" s="199">
        <f t="shared" si="3"/>
        <v>566.99375325318181</v>
      </c>
      <c r="J35" s="199">
        <f t="shared" si="3"/>
        <v>566.99375325318181</v>
      </c>
      <c r="K35" s="199">
        <f t="shared" si="3"/>
        <v>566.99375325318181</v>
      </c>
      <c r="L35" s="199">
        <f t="shared" si="3"/>
        <v>566.99375325318181</v>
      </c>
      <c r="M35" s="199">
        <f t="shared" si="3"/>
        <v>566.99375325318181</v>
      </c>
      <c r="N35" s="199">
        <f t="shared" si="3"/>
        <v>566.99375325318181</v>
      </c>
      <c r="O35" s="199">
        <f t="shared" si="3"/>
        <v>566.99375325318181</v>
      </c>
      <c r="P35" s="199">
        <f t="shared" si="3"/>
        <v>566.99375325318181</v>
      </c>
      <c r="Q35" s="199">
        <f t="shared" si="3"/>
        <v>566.99375325318181</v>
      </c>
      <c r="R35" s="199">
        <f t="shared" si="3"/>
        <v>566.99375325318181</v>
      </c>
      <c r="S35" s="199">
        <f t="shared" si="3"/>
        <v>566.99375325318181</v>
      </c>
      <c r="T35" s="199">
        <f t="shared" si="3"/>
        <v>566.99375325318181</v>
      </c>
      <c r="U35" s="199">
        <f t="shared" si="3"/>
        <v>566.99375325318181</v>
      </c>
      <c r="V35" s="199">
        <f t="shared" si="3"/>
        <v>566.99375325318181</v>
      </c>
      <c r="W35" s="184"/>
      <c r="X35" s="184"/>
    </row>
    <row r="36" spans="1:24" s="135" customFormat="1" ht="12.75" x14ac:dyDescent="0.2">
      <c r="C36" s="199"/>
      <c r="D36" s="199"/>
      <c r="E36" s="199"/>
      <c r="F36" s="199"/>
      <c r="G36" s="199"/>
      <c r="H36" s="199"/>
      <c r="I36" s="199"/>
      <c r="J36" s="199"/>
      <c r="K36" s="199"/>
      <c r="L36" s="199"/>
      <c r="M36" s="199"/>
      <c r="N36" s="199"/>
      <c r="O36" s="199"/>
      <c r="P36" s="199"/>
      <c r="Q36" s="199"/>
      <c r="R36" s="199"/>
      <c r="S36" s="199"/>
      <c r="T36" s="199"/>
      <c r="U36" s="199"/>
      <c r="V36" s="199"/>
    </row>
    <row r="37" spans="1:24" s="135" customFormat="1" ht="12.75" x14ac:dyDescent="0.2">
      <c r="B37" s="198" t="s">
        <v>464</v>
      </c>
      <c r="C37" s="199"/>
      <c r="D37" s="199"/>
      <c r="E37" s="199"/>
      <c r="F37" s="199"/>
      <c r="G37" s="199"/>
      <c r="H37" s="199"/>
      <c r="I37" s="199"/>
      <c r="J37" s="199"/>
      <c r="K37" s="199"/>
      <c r="L37" s="199"/>
      <c r="M37" s="199"/>
      <c r="N37" s="199"/>
      <c r="O37" s="199"/>
      <c r="P37" s="199"/>
      <c r="Q37" s="199"/>
      <c r="R37" s="199"/>
      <c r="S37" s="199"/>
      <c r="T37" s="199"/>
      <c r="U37" s="199"/>
      <c r="V37" s="199"/>
    </row>
    <row r="38" spans="1:24" s="135" customFormat="1" ht="12.75" x14ac:dyDescent="0.2">
      <c r="A38" s="149">
        <f t="shared" ref="A38" si="4">structure_lifetime-LEFT(B38,2)</f>
        <v>20</v>
      </c>
      <c r="B38" s="160" t="s">
        <v>133</v>
      </c>
      <c r="C38" s="199">
        <f>SUM(C35:$V35)*finance_rate</f>
        <v>646.37287870862747</v>
      </c>
      <c r="D38" s="199">
        <f>SUM(D35:$V35)*finance_rate</f>
        <v>614.05423477319607</v>
      </c>
      <c r="E38" s="199">
        <f>SUM(E35:$V35)*finance_rate</f>
        <v>581.73559083776468</v>
      </c>
      <c r="F38" s="199">
        <f>SUM(F35:$V35)*finance_rate</f>
        <v>549.41694690233328</v>
      </c>
      <c r="G38" s="199">
        <f>SUM(G35:$V35)*finance_rate</f>
        <v>517.09830296690188</v>
      </c>
      <c r="H38" s="199">
        <f>SUM(H35:$V35)*finance_rate</f>
        <v>484.77965903147054</v>
      </c>
      <c r="I38" s="199">
        <f>SUM(I35:$V35)*finance_rate</f>
        <v>452.4610150960392</v>
      </c>
      <c r="J38" s="199">
        <f>SUM(J35:$V35)*finance_rate</f>
        <v>420.14237116060781</v>
      </c>
      <c r="K38" s="199">
        <f>SUM(K35:$V35)*finance_rate</f>
        <v>387.82372722517647</v>
      </c>
      <c r="L38" s="199">
        <f>SUM(L35:$V35)*finance_rate</f>
        <v>355.50508328974507</v>
      </c>
      <c r="M38" s="199">
        <f>SUM(M35:$V35)*finance_rate</f>
        <v>323.18643935431368</v>
      </c>
      <c r="N38" s="199">
        <f>SUM(N35:$V35)*finance_rate</f>
        <v>290.86779541888228</v>
      </c>
      <c r="O38" s="199">
        <f>SUM(O35:$V35)*finance_rate</f>
        <v>258.54915148345094</v>
      </c>
      <c r="P38" s="199">
        <f>SUM(P35:$V35)*finance_rate</f>
        <v>226.23050754801952</v>
      </c>
      <c r="Q38" s="199">
        <f>SUM(Q35:$V35)*finance_rate</f>
        <v>193.91186361258818</v>
      </c>
      <c r="R38" s="199">
        <f>SUM(R35:$V35)*finance_rate</f>
        <v>161.59321967715681</v>
      </c>
      <c r="S38" s="199">
        <f>SUM(S35:$V35)*finance_rate</f>
        <v>129.27457574172547</v>
      </c>
      <c r="T38" s="199">
        <f>SUM(T35:$V35)*finance_rate</f>
        <v>96.955931806294103</v>
      </c>
      <c r="U38" s="199">
        <f>SUM(U35:$V35)*finance_rate</f>
        <v>64.637287870862735</v>
      </c>
      <c r="V38" s="199">
        <f>SUM(V35:$V35)*finance_rate</f>
        <v>32.318643935431368</v>
      </c>
      <c r="W38" s="184"/>
      <c r="X38" s="184"/>
    </row>
    <row r="39" spans="1:24" s="135" customFormat="1" ht="12.75" x14ac:dyDescent="0.2">
      <c r="A39" s="149"/>
      <c r="C39" s="199"/>
      <c r="D39" s="199"/>
      <c r="E39" s="199"/>
      <c r="F39" s="199"/>
      <c r="G39" s="199"/>
      <c r="H39" s="199"/>
      <c r="I39" s="199"/>
      <c r="J39" s="199"/>
      <c r="K39" s="199"/>
      <c r="L39" s="199"/>
      <c r="M39" s="199"/>
      <c r="N39" s="199"/>
      <c r="O39" s="199"/>
      <c r="P39" s="199"/>
      <c r="Q39" s="199"/>
      <c r="R39" s="199"/>
      <c r="S39" s="199"/>
      <c r="T39" s="199"/>
      <c r="U39" s="199"/>
      <c r="V39" s="199"/>
    </row>
    <row r="40" spans="1:24" s="135" customFormat="1" ht="12.75" x14ac:dyDescent="0.2">
      <c r="B40" s="198" t="s">
        <v>466</v>
      </c>
      <c r="C40" s="199"/>
      <c r="D40" s="199"/>
      <c r="E40" s="199"/>
      <c r="F40" s="199"/>
      <c r="G40" s="199"/>
      <c r="H40" s="199"/>
      <c r="I40" s="199"/>
      <c r="J40" s="199"/>
      <c r="K40" s="199"/>
      <c r="L40" s="199"/>
      <c r="M40" s="199"/>
      <c r="N40" s="199"/>
      <c r="O40" s="199"/>
      <c r="P40" s="199"/>
      <c r="Q40" s="199"/>
      <c r="R40" s="199"/>
      <c r="S40" s="199"/>
      <c r="T40" s="199"/>
      <c r="U40" s="199"/>
      <c r="V40" s="199"/>
    </row>
    <row r="41" spans="1:24" s="135" customFormat="1" ht="12.75" x14ac:dyDescent="0.2">
      <c r="A41" s="149">
        <f t="shared" ref="A41" si="5">structure_lifetime-LEFT(B41,2)</f>
        <v>20</v>
      </c>
      <c r="B41" s="160" t="s">
        <v>133</v>
      </c>
      <c r="C41" s="169">
        <f t="shared" ref="C41:V41" si="6">C35+C38</f>
        <v>1213.3666319618092</v>
      </c>
      <c r="D41" s="169">
        <f t="shared" si="6"/>
        <v>1181.0479880263779</v>
      </c>
      <c r="E41" s="169">
        <f t="shared" si="6"/>
        <v>1148.7293440909466</v>
      </c>
      <c r="F41" s="169">
        <f t="shared" si="6"/>
        <v>1116.4107001555151</v>
      </c>
      <c r="G41" s="169">
        <f t="shared" si="6"/>
        <v>1084.0920562200836</v>
      </c>
      <c r="H41" s="169">
        <f t="shared" si="6"/>
        <v>1051.7734122846523</v>
      </c>
      <c r="I41" s="169">
        <f t="shared" si="6"/>
        <v>1019.454768349221</v>
      </c>
      <c r="J41" s="169">
        <f t="shared" si="6"/>
        <v>987.13612441378962</v>
      </c>
      <c r="K41" s="169">
        <f t="shared" si="6"/>
        <v>954.81748047835822</v>
      </c>
      <c r="L41" s="169">
        <f t="shared" si="6"/>
        <v>922.49883654292694</v>
      </c>
      <c r="M41" s="169">
        <f t="shared" si="6"/>
        <v>890.18019260749543</v>
      </c>
      <c r="N41" s="169">
        <f t="shared" si="6"/>
        <v>857.86154867206415</v>
      </c>
      <c r="O41" s="169">
        <f t="shared" si="6"/>
        <v>825.54290473663275</v>
      </c>
      <c r="P41" s="169">
        <f t="shared" si="6"/>
        <v>793.22426080120135</v>
      </c>
      <c r="Q41" s="169">
        <f t="shared" si="6"/>
        <v>760.90561686576996</v>
      </c>
      <c r="R41" s="169">
        <f t="shared" si="6"/>
        <v>728.58697293033856</v>
      </c>
      <c r="S41" s="169">
        <f t="shared" si="6"/>
        <v>696.26832899490728</v>
      </c>
      <c r="T41" s="169">
        <f t="shared" si="6"/>
        <v>663.94968505947588</v>
      </c>
      <c r="U41" s="169">
        <f t="shared" si="6"/>
        <v>631.63104112404449</v>
      </c>
      <c r="V41" s="169">
        <f t="shared" si="6"/>
        <v>599.3123971886132</v>
      </c>
      <c r="W41" s="184"/>
      <c r="X41" s="184"/>
    </row>
    <row r="42" spans="1:24" s="135" customFormat="1" ht="12.75" x14ac:dyDescent="0.2">
      <c r="B42" s="160"/>
    </row>
    <row r="43" spans="1:24" s="135" customFormat="1" ht="12.75" x14ac:dyDescent="0.2">
      <c r="C43" s="180"/>
      <c r="D43" s="180"/>
      <c r="E43" s="180"/>
      <c r="F43" s="180"/>
      <c r="G43" s="180"/>
      <c r="H43" s="180"/>
      <c r="I43" s="180"/>
      <c r="J43" s="205"/>
      <c r="K43" s="180"/>
    </row>
    <row r="44" spans="1:24" s="135" customFormat="1" ht="12.75" x14ac:dyDescent="0.2">
      <c r="C44" s="180"/>
      <c r="D44" s="180"/>
      <c r="E44" s="180"/>
      <c r="F44" s="180"/>
      <c r="G44" s="180"/>
      <c r="H44" s="180"/>
      <c r="I44" s="180"/>
      <c r="J44" s="205"/>
      <c r="K44" s="180"/>
    </row>
    <row r="45" spans="1:24" s="135" customFormat="1" ht="12.75" x14ac:dyDescent="0.2">
      <c r="B45" s="160"/>
      <c r="C45" s="180"/>
      <c r="D45" s="180"/>
      <c r="E45" s="180"/>
      <c r="F45" s="180"/>
      <c r="G45" s="180"/>
      <c r="H45" s="180"/>
      <c r="I45" s="180"/>
      <c r="J45" s="205"/>
      <c r="K45" s="180"/>
    </row>
    <row r="46" spans="1:24" s="135" customFormat="1" ht="12.75" x14ac:dyDescent="0.2">
      <c r="C46" s="180"/>
      <c r="D46" s="180"/>
      <c r="E46" s="180"/>
      <c r="F46" s="180"/>
      <c r="G46" s="180"/>
      <c r="H46" s="180"/>
      <c r="I46" s="180"/>
      <c r="J46" s="205"/>
      <c r="K46" s="180"/>
    </row>
    <row r="47" spans="1:24" s="135" customFormat="1" ht="12.75" x14ac:dyDescent="0.2">
      <c r="B47" s="160"/>
      <c r="C47" s="180"/>
      <c r="D47" s="180"/>
      <c r="E47" s="180"/>
      <c r="F47" s="180"/>
      <c r="G47" s="180"/>
      <c r="H47" s="180"/>
      <c r="I47" s="180"/>
      <c r="J47" s="205"/>
      <c r="K47" s="180"/>
    </row>
    <row r="48" spans="1:24" s="135" customFormat="1" ht="12.75" x14ac:dyDescent="0.2">
      <c r="C48" s="180"/>
      <c r="D48" s="180"/>
      <c r="E48" s="180"/>
      <c r="F48" s="180"/>
      <c r="G48" s="180"/>
      <c r="H48" s="180"/>
      <c r="I48" s="180"/>
      <c r="J48" s="205"/>
      <c r="K48" s="180"/>
    </row>
    <row r="49" spans="2:11" s="135" customFormat="1" ht="12.75" x14ac:dyDescent="0.2">
      <c r="B49" s="160"/>
      <c r="C49" s="180"/>
      <c r="D49" s="180"/>
      <c r="E49" s="180"/>
      <c r="F49" s="180"/>
      <c r="G49" s="180"/>
      <c r="H49" s="180"/>
      <c r="I49" s="180"/>
      <c r="J49" s="205"/>
      <c r="K49" s="180"/>
    </row>
    <row r="50" spans="2:11" x14ac:dyDescent="0.2">
      <c r="K50" s="25"/>
    </row>
    <row r="51" spans="2:11" x14ac:dyDescent="0.2">
      <c r="I51" s="35"/>
      <c r="J51" s="34"/>
      <c r="K51" s="34"/>
    </row>
    <row r="60" spans="2:11" x14ac:dyDescent="0.2">
      <c r="C60" s="27"/>
    </row>
    <row r="61" spans="2:11" x14ac:dyDescent="0.2">
      <c r="C61" s="27"/>
      <c r="D61" s="27"/>
      <c r="E61" s="27"/>
      <c r="F61" s="27"/>
      <c r="G61" s="27"/>
      <c r="H61" s="27"/>
      <c r="I61" s="27"/>
    </row>
    <row r="62" spans="2:11" x14ac:dyDescent="0.2">
      <c r="C62" s="26"/>
      <c r="D62" s="26"/>
      <c r="E62" s="26"/>
      <c r="F62" s="26"/>
      <c r="G62" s="26"/>
      <c r="H62" s="26"/>
      <c r="I62" s="26"/>
    </row>
    <row r="63" spans="2:11" x14ac:dyDescent="0.2">
      <c r="C63" s="26"/>
      <c r="D63" s="26"/>
      <c r="E63" s="26"/>
      <c r="F63" s="26"/>
      <c r="G63" s="26"/>
      <c r="H63" s="26"/>
      <c r="I63" s="26"/>
    </row>
    <row r="66" spans="4:9" x14ac:dyDescent="0.2">
      <c r="D66" s="26"/>
      <c r="E66" s="26"/>
      <c r="F66" s="26"/>
      <c r="G66" s="26"/>
      <c r="H66" s="26"/>
      <c r="I66" s="26"/>
    </row>
  </sheetData>
  <mergeCells count="1">
    <mergeCell ref="C19:V19"/>
  </mergeCells>
  <dataValidations count="1">
    <dataValidation type="list" allowBlank="1" showInputMessage="1" showErrorMessage="1" sqref="C23:V24 C32:V33" xr:uid="{9CB95E50-1CEF-4E05-8282-4356A58D2E46}">
      <formula1>"Yes, No"</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ignoredErrors>
    <ignoredError sqref="C35:V4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14855-01CD-4112-A36C-7705C23CBF08}">
  <sheetPr codeName="Sheet19">
    <pageSetUpPr autoPageBreaks="0"/>
  </sheetPr>
  <dimension ref="A1:R32"/>
  <sheetViews>
    <sheetView defaultGridColor="0" colorId="22" zoomScaleNormal="100" workbookViewId="0">
      <pane ySplit="1" topLeftCell="A2" activePane="bottomLeft" state="frozen"/>
      <selection pane="bottomLeft"/>
    </sheetView>
  </sheetViews>
  <sheetFormatPr defaultColWidth="12.7109375" defaultRowHeight="12" x14ac:dyDescent="0.2"/>
  <cols>
    <col min="1" max="1" width="12.7109375" style="87" customWidth="1"/>
    <col min="2" max="2" width="33.140625" style="87" customWidth="1"/>
    <col min="3" max="3" width="20.42578125" style="87" customWidth="1"/>
    <col min="4" max="4" width="21.28515625" style="87" customWidth="1"/>
    <col min="5" max="5" width="14.7109375" style="87" bestFit="1" customWidth="1"/>
    <col min="6" max="6" width="15.28515625" style="87" bestFit="1" customWidth="1"/>
    <col min="7" max="7" width="16.42578125" style="87" bestFit="1" customWidth="1"/>
    <col min="8" max="8" width="15.42578125" style="87" bestFit="1" customWidth="1"/>
    <col min="9" max="16384" width="12.7109375" style="87"/>
  </cols>
  <sheetData>
    <row r="1" spans="1:12" s="122" customFormat="1" ht="40.5" customHeight="1" x14ac:dyDescent="0.2">
      <c r="A1" s="121" t="s">
        <v>72</v>
      </c>
      <c r="L1" s="122" t="s">
        <v>13</v>
      </c>
    </row>
    <row r="2" spans="1:12" s="135" customFormat="1" ht="12.75" x14ac:dyDescent="0.2"/>
    <row r="3" spans="1:12" s="135" customFormat="1" ht="12.75" x14ac:dyDescent="0.2">
      <c r="B3" s="154" t="s">
        <v>73</v>
      </c>
    </row>
    <row r="4" spans="1:12" s="135" customFormat="1" ht="12.75" x14ac:dyDescent="0.2"/>
    <row r="5" spans="1:12" s="135" customFormat="1" ht="12.75" x14ac:dyDescent="0.2">
      <c r="D5" s="135" t="s">
        <v>104</v>
      </c>
      <c r="E5" s="135" t="s">
        <v>109</v>
      </c>
    </row>
    <row r="6" spans="1:12" s="135" customFormat="1" ht="12.75" x14ac:dyDescent="0.2">
      <c r="E6" s="177"/>
    </row>
    <row r="7" spans="1:12" s="135" customFormat="1" ht="15" x14ac:dyDescent="0.2">
      <c r="B7" s="135" t="s">
        <v>103</v>
      </c>
      <c r="D7" s="191">
        <f>'Discounted cost_7years'!X81</f>
        <v>556.47907376462751</v>
      </c>
      <c r="E7" s="211">
        <v>1000</v>
      </c>
      <c r="F7" s="180" t="s">
        <v>474</v>
      </c>
    </row>
    <row r="8" spans="1:12" s="135" customFormat="1" ht="15" x14ac:dyDescent="0.2">
      <c r="B8" s="135" t="s">
        <v>102</v>
      </c>
      <c r="D8" s="191">
        <f>'Discounted cost_15years'!X113</f>
        <v>2331.5541518427226</v>
      </c>
      <c r="E8" s="211">
        <v>3000</v>
      </c>
      <c r="F8" s="180" t="s">
        <v>475</v>
      </c>
    </row>
    <row r="9" spans="1:12" s="135" customFormat="1" ht="12.75" x14ac:dyDescent="0.2">
      <c r="B9" s="135" t="s">
        <v>359</v>
      </c>
      <c r="C9" s="135" t="s">
        <v>101</v>
      </c>
      <c r="D9" s="206">
        <f>AVERAGE(D12:D13)</f>
        <v>163447.42814688158</v>
      </c>
      <c r="E9" s="206">
        <f>D9+$E$7</f>
        <v>164447.42814688158</v>
      </c>
    </row>
    <row r="10" spans="1:12" s="135" customFormat="1" ht="12.75" x14ac:dyDescent="0.2">
      <c r="B10" s="135" t="s">
        <v>360</v>
      </c>
      <c r="C10" s="135" t="s">
        <v>101</v>
      </c>
      <c r="D10" s="206">
        <f>AVERAGE(D14:D15)</f>
        <v>152294.99777951365</v>
      </c>
      <c r="E10" s="206">
        <f>D10+$E$8</f>
        <v>155294.99777951365</v>
      </c>
    </row>
    <row r="11" spans="1:12" s="135" customFormat="1" ht="12.75" x14ac:dyDescent="0.2">
      <c r="E11" s="177"/>
    </row>
    <row r="12" spans="1:12" s="135" customFormat="1" ht="12.75" x14ac:dyDescent="0.2">
      <c r="B12" s="135" t="s">
        <v>359</v>
      </c>
      <c r="C12" s="135" t="s">
        <v>56</v>
      </c>
      <c r="D12" s="191">
        <f>'Discounted cost_7years'!npc_rural_hop</f>
        <v>186153.30643650991</v>
      </c>
      <c r="E12" s="177"/>
    </row>
    <row r="13" spans="1:12" s="135" customFormat="1" ht="12.75" x14ac:dyDescent="0.2">
      <c r="B13" s="135" t="s">
        <v>359</v>
      </c>
      <c r="C13" s="135" t="s">
        <v>57</v>
      </c>
      <c r="D13" s="191">
        <f>'Discounted cost_7years'!npc_urban_hop</f>
        <v>140741.54985725321</v>
      </c>
      <c r="E13" s="177"/>
    </row>
    <row r="14" spans="1:12" s="135" customFormat="1" ht="12.75" x14ac:dyDescent="0.2">
      <c r="B14" s="135" t="s">
        <v>360</v>
      </c>
      <c r="C14" s="135" t="s">
        <v>56</v>
      </c>
      <c r="D14" s="191">
        <f>'Discounted cost_15years'!npc_rural_hop</f>
        <v>175000.87606914202</v>
      </c>
      <c r="E14" s="177"/>
    </row>
    <row r="15" spans="1:12" s="135" customFormat="1" ht="12.75" x14ac:dyDescent="0.2">
      <c r="B15" s="135" t="s">
        <v>360</v>
      </c>
      <c r="C15" s="135" t="s">
        <v>57</v>
      </c>
      <c r="D15" s="191">
        <f>'Discounted cost_15years'!npc_urban_hop</f>
        <v>129589.1194898853</v>
      </c>
      <c r="E15" s="177"/>
    </row>
    <row r="16" spans="1:12" s="135" customFormat="1" ht="12.75" x14ac:dyDescent="0.2"/>
    <row r="17" spans="2:18" s="135" customFormat="1" ht="12.75" x14ac:dyDescent="0.2">
      <c r="B17" s="149" t="s">
        <v>477</v>
      </c>
    </row>
    <row r="18" spans="2:18" s="135" customFormat="1" ht="12.75" x14ac:dyDescent="0.2">
      <c r="B18" s="135" t="s">
        <v>476</v>
      </c>
    </row>
    <row r="19" spans="2:18" s="135" customFormat="1" ht="12.75" x14ac:dyDescent="0.2"/>
    <row r="20" spans="2:18" s="135" customFormat="1" ht="34.15" customHeight="1" x14ac:dyDescent="0.2">
      <c r="D20" s="207" t="s">
        <v>371</v>
      </c>
      <c r="E20" s="207" t="s">
        <v>372</v>
      </c>
      <c r="F20" s="207" t="s">
        <v>373</v>
      </c>
      <c r="G20" s="207" t="s">
        <v>374</v>
      </c>
    </row>
    <row r="21" spans="2:18" s="135" customFormat="1" ht="12.75" x14ac:dyDescent="0.2">
      <c r="B21" s="154" t="s">
        <v>81</v>
      </c>
      <c r="D21" s="135">
        <v>1</v>
      </c>
      <c r="E21" s="135">
        <v>2</v>
      </c>
      <c r="F21" s="135">
        <v>3</v>
      </c>
      <c r="G21" s="160">
        <v>4</v>
      </c>
      <c r="H21" s="160">
        <v>5</v>
      </c>
      <c r="I21" s="160">
        <v>6</v>
      </c>
      <c r="J21" s="160">
        <v>7</v>
      </c>
    </row>
    <row r="22" spans="2:18" s="135" customFormat="1" ht="12.75" x14ac:dyDescent="0.2">
      <c r="L22" s="208"/>
      <c r="M22" s="208"/>
      <c r="N22" s="208"/>
    </row>
    <row r="23" spans="2:18" s="135" customFormat="1" ht="15" x14ac:dyDescent="0.2">
      <c r="B23" s="135" t="s">
        <v>103</v>
      </c>
      <c r="D23" s="210">
        <v>1</v>
      </c>
      <c r="E23" s="210">
        <v>0.98</v>
      </c>
      <c r="F23" s="210">
        <v>0</v>
      </c>
      <c r="G23" s="210">
        <v>0</v>
      </c>
      <c r="H23" s="209"/>
      <c r="I23" s="209"/>
      <c r="J23" s="209"/>
      <c r="K23" s="209"/>
      <c r="L23" s="209"/>
      <c r="M23" s="209"/>
      <c r="N23" s="209"/>
      <c r="O23" s="209"/>
      <c r="P23" s="209"/>
      <c r="Q23" s="209"/>
      <c r="R23" s="209"/>
    </row>
    <row r="24" spans="2:18" s="135" customFormat="1" ht="15" x14ac:dyDescent="0.2">
      <c r="B24" s="135" t="s">
        <v>102</v>
      </c>
      <c r="D24" s="210">
        <v>0</v>
      </c>
      <c r="E24" s="210">
        <v>0</v>
      </c>
      <c r="F24" s="210">
        <v>1</v>
      </c>
      <c r="G24" s="210">
        <v>0.98</v>
      </c>
      <c r="H24" s="209"/>
      <c r="I24" s="209"/>
      <c r="J24" s="209"/>
      <c r="K24" s="209"/>
      <c r="L24" s="209"/>
      <c r="M24" s="209"/>
      <c r="N24" s="209"/>
      <c r="O24" s="209"/>
      <c r="P24" s="209"/>
      <c r="Q24" s="209"/>
      <c r="R24" s="209"/>
    </row>
    <row r="25" spans="2:18" s="135" customFormat="1" ht="15" x14ac:dyDescent="0.2">
      <c r="B25" s="135" t="s">
        <v>361</v>
      </c>
      <c r="D25" s="210">
        <v>0</v>
      </c>
      <c r="E25" s="210">
        <v>0.02</v>
      </c>
      <c r="F25" s="210">
        <v>0</v>
      </c>
      <c r="G25" s="210">
        <v>0</v>
      </c>
      <c r="H25" s="209"/>
      <c r="I25" s="209"/>
      <c r="J25" s="209"/>
      <c r="K25" s="209"/>
      <c r="L25" s="209"/>
      <c r="M25" s="209"/>
      <c r="N25" s="209"/>
      <c r="O25" s="209"/>
      <c r="P25" s="209"/>
      <c r="Q25" s="209"/>
      <c r="R25" s="209"/>
    </row>
    <row r="26" spans="2:18" s="135" customFormat="1" ht="15" x14ac:dyDescent="0.2">
      <c r="B26" s="135" t="s">
        <v>362</v>
      </c>
      <c r="D26" s="210">
        <v>0</v>
      </c>
      <c r="E26" s="210">
        <v>0</v>
      </c>
      <c r="F26" s="210">
        <v>0</v>
      </c>
      <c r="G26" s="210">
        <v>0.02</v>
      </c>
      <c r="H26" s="209"/>
      <c r="I26" s="209"/>
      <c r="J26" s="209"/>
      <c r="K26" s="209"/>
      <c r="L26" s="209"/>
      <c r="M26" s="209"/>
      <c r="N26" s="209"/>
      <c r="O26" s="209"/>
      <c r="P26" s="209"/>
      <c r="Q26" s="209"/>
      <c r="R26" s="209"/>
    </row>
    <row r="27" spans="2:18" s="135" customFormat="1" ht="12.75" x14ac:dyDescent="0.2"/>
    <row r="28" spans="2:18" s="135" customFormat="1" ht="12.75" x14ac:dyDescent="0.2">
      <c r="B28" s="154" t="s">
        <v>74</v>
      </c>
      <c r="D28" s="169">
        <f>SUMPRODUCT($E7:$E10,D23:D26)</f>
        <v>1000</v>
      </c>
      <c r="E28" s="169">
        <f t="shared" ref="E28:G28" si="0">SUMPRODUCT($E7:$E10,E23:E26)</f>
        <v>4268.9485629376322</v>
      </c>
      <c r="F28" s="169">
        <f t="shared" si="0"/>
        <v>3000</v>
      </c>
      <c r="G28" s="169">
        <f t="shared" si="0"/>
        <v>6045.8999555902737</v>
      </c>
      <c r="H28" s="169">
        <f>SUMPRODUCT($D9:$D10,H25:H26)</f>
        <v>0</v>
      </c>
      <c r="I28" s="169">
        <f>SUMPRODUCT($D9:$D10,I25:I26)</f>
        <v>0</v>
      </c>
      <c r="J28" s="169">
        <f>SUMPRODUCT($D9:$D10,J25:J26)</f>
        <v>0</v>
      </c>
    </row>
    <row r="29" spans="2:18" s="135" customFormat="1" ht="12.75" x14ac:dyDescent="0.2">
      <c r="D29" s="135" t="b">
        <f>SUM(D23:D26)=1</f>
        <v>1</v>
      </c>
      <c r="E29" s="135" t="b">
        <f t="shared" ref="E29:G29" si="1">SUM(E23:E26)=1</f>
        <v>1</v>
      </c>
      <c r="F29" s="135" t="b">
        <f t="shared" si="1"/>
        <v>1</v>
      </c>
      <c r="G29" s="135" t="b">
        <f t="shared" si="1"/>
        <v>1</v>
      </c>
    </row>
    <row r="30" spans="2:18" s="135" customFormat="1" ht="12.75" x14ac:dyDescent="0.2"/>
    <row r="31" spans="2:18" s="135" customFormat="1" ht="12.75" x14ac:dyDescent="0.2"/>
    <row r="32" spans="2:18" s="135" customFormat="1" ht="12.75" x14ac:dyDescent="0.2">
      <c r="B32" s="154"/>
      <c r="D32" s="206"/>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031C6-C152-46C1-AE9F-D095208DEE2D}">
  <sheetPr codeName="Sheet6"/>
  <dimension ref="A1:L28"/>
  <sheetViews>
    <sheetView zoomScaleNormal="100" workbookViewId="0"/>
  </sheetViews>
  <sheetFormatPr defaultColWidth="9.28515625" defaultRowHeight="12" x14ac:dyDescent="0.2"/>
  <cols>
    <col min="1" max="2" width="9.28515625" style="212"/>
    <col min="3" max="3" width="12.85546875" style="212" customWidth="1"/>
    <col min="4" max="5" width="9.28515625" style="212"/>
    <col min="6" max="9" width="16.42578125" style="212" customWidth="1"/>
    <col min="10" max="16384" width="9.28515625" style="212"/>
  </cols>
  <sheetData>
    <row r="1" spans="1:12" s="122" customFormat="1" ht="40.5" customHeight="1" x14ac:dyDescent="0.2">
      <c r="A1" s="121" t="s">
        <v>481</v>
      </c>
      <c r="L1" s="122" t="s">
        <v>13</v>
      </c>
    </row>
    <row r="2" spans="1:12" x14ac:dyDescent="0.2">
      <c r="B2" s="212" t="s">
        <v>355</v>
      </c>
      <c r="C2" s="212" t="s">
        <v>479</v>
      </c>
    </row>
    <row r="3" spans="1:12" x14ac:dyDescent="0.2">
      <c r="B3" s="212" t="s">
        <v>478</v>
      </c>
    </row>
    <row r="5" spans="1:12" x14ac:dyDescent="0.2">
      <c r="B5" s="217" t="s">
        <v>480</v>
      </c>
      <c r="F5" s="212" t="s">
        <v>399</v>
      </c>
    </row>
    <row r="6" spans="1:12" x14ac:dyDescent="0.2">
      <c r="F6" s="212" t="s">
        <v>105</v>
      </c>
      <c r="G6" s="212" t="s">
        <v>106</v>
      </c>
      <c r="H6" s="212" t="s">
        <v>107</v>
      </c>
      <c r="I6" s="212" t="s">
        <v>108</v>
      </c>
    </row>
    <row r="7" spans="1:12" ht="72" x14ac:dyDescent="0.25">
      <c r="B7" s="216" t="s">
        <v>95</v>
      </c>
      <c r="C7" s="216" t="s">
        <v>96</v>
      </c>
      <c r="E7" s="213" t="s">
        <v>95</v>
      </c>
      <c r="F7" s="213" t="str">
        <f>'Composite cost scenarios'!D20</f>
        <v xml:space="preserve">Baseline Scenario </v>
      </c>
      <c r="G7" s="213" t="str">
        <f>'Composite cost scenarios'!E20</f>
        <v>Higher ongoing Costs</v>
      </c>
      <c r="H7" s="213" t="str">
        <f>'Composite cost scenarios'!F20</f>
        <v>Baseline Scenario (15 equipment lifetime)</v>
      </c>
      <c r="I7" s="213" t="str">
        <f>'Composite cost scenarios'!G20</f>
        <v>Higher Ongoing Costs Scenario (15 equipment lifetime)</v>
      </c>
    </row>
    <row r="8" spans="1:12" ht="15" x14ac:dyDescent="0.25">
      <c r="B8" s="212" t="s">
        <v>97</v>
      </c>
      <c r="C8" s="218">
        <v>698</v>
      </c>
      <c r="E8" s="214" t="s">
        <v>97</v>
      </c>
      <c r="F8" s="215">
        <f>($C8*'Composite cost scenarios'!D$28)/1000000</f>
        <v>0.69799999999999995</v>
      </c>
      <c r="G8" s="215">
        <f>($C8*'Composite cost scenarios'!E$28)/1000000</f>
        <v>2.9797260969304675</v>
      </c>
      <c r="H8" s="215">
        <f>($C8*'Composite cost scenarios'!F$28)/1000000</f>
        <v>2.0939999999999999</v>
      </c>
      <c r="I8" s="215">
        <f>($C8*'Composite cost scenarios'!G$28)/1000000</f>
        <v>4.2200381690020112</v>
      </c>
    </row>
    <row r="9" spans="1:12" ht="15" x14ac:dyDescent="0.25">
      <c r="B9" s="212" t="s">
        <v>98</v>
      </c>
      <c r="C9" s="218">
        <v>815</v>
      </c>
      <c r="E9" s="214" t="s">
        <v>98</v>
      </c>
      <c r="F9" s="215">
        <f>($C9*'Composite cost scenarios'!D$28)/1000000</f>
        <v>0.81499999999999995</v>
      </c>
      <c r="G9" s="215">
        <f>($C9*'Composite cost scenarios'!E$28)/1000000</f>
        <v>3.4791930787941703</v>
      </c>
      <c r="H9" s="215">
        <f>($C9*'Composite cost scenarios'!F$28)/1000000</f>
        <v>2.4449999999999998</v>
      </c>
      <c r="I9" s="215">
        <f>($C9*'Composite cost scenarios'!G$28)/1000000</f>
        <v>4.9274084638060733</v>
      </c>
    </row>
    <row r="10" spans="1:12" ht="15" x14ac:dyDescent="0.25">
      <c r="B10" s="212" t="s">
        <v>99</v>
      </c>
      <c r="C10" s="218">
        <v>969</v>
      </c>
      <c r="E10" s="214" t="s">
        <v>99</v>
      </c>
      <c r="F10" s="215">
        <f>($C10*'Composite cost scenarios'!D$28)/1000000</f>
        <v>0.96899999999999997</v>
      </c>
      <c r="G10" s="215">
        <f>($C10*'Composite cost scenarios'!E$28)/1000000</f>
        <v>4.1366111574865654</v>
      </c>
      <c r="H10" s="215">
        <f>($C10*'Composite cost scenarios'!F$28)/1000000</f>
        <v>2.907</v>
      </c>
      <c r="I10" s="215">
        <f>($C10*'Composite cost scenarios'!G$28)/1000000</f>
        <v>5.8584770569669757</v>
      </c>
    </row>
    <row r="11" spans="1:12" ht="15" x14ac:dyDescent="0.25">
      <c r="B11" s="212" t="s">
        <v>100</v>
      </c>
      <c r="C11" s="218">
        <v>1334</v>
      </c>
      <c r="E11" s="213" t="s">
        <v>100</v>
      </c>
      <c r="F11" s="215">
        <f>($C11*'Composite cost scenarios'!D$28)/1000000</f>
        <v>1.3340000000000001</v>
      </c>
      <c r="G11" s="215">
        <f>($C11*'Composite cost scenarios'!E$28)/1000000</f>
        <v>5.6947773829588018</v>
      </c>
      <c r="H11" s="215">
        <f>($C11*'Composite cost scenarios'!F$28)/1000000</f>
        <v>4.0019999999999998</v>
      </c>
      <c r="I11" s="215">
        <f>($C11*'Composite cost scenarios'!G$28)/1000000</f>
        <v>8.0652305407574243</v>
      </c>
    </row>
    <row r="13" spans="1:12" x14ac:dyDescent="0.2">
      <c r="B13" s="217" t="s">
        <v>414</v>
      </c>
    </row>
    <row r="15" spans="1:12" ht="57" x14ac:dyDescent="0.25">
      <c r="B15" s="212" t="s">
        <v>95</v>
      </c>
      <c r="C15" s="212" t="s">
        <v>96</v>
      </c>
      <c r="E15" s="213" t="s">
        <v>95</v>
      </c>
      <c r="F15" s="213" t="str">
        <f>'Composite cost scenarios'!D20</f>
        <v xml:space="preserve">Baseline Scenario </v>
      </c>
      <c r="G15" s="213" t="str">
        <f>'Composite cost scenarios'!E20</f>
        <v>Higher ongoing Costs</v>
      </c>
      <c r="H15" s="213" t="str">
        <f>'Composite cost scenarios'!F20</f>
        <v>Baseline Scenario (15 equipment lifetime)</v>
      </c>
      <c r="I15" s="213" t="str">
        <f>'Composite cost scenarios'!G20</f>
        <v>Higher Ongoing Costs Scenario (15 equipment lifetime)</v>
      </c>
    </row>
    <row r="16" spans="1:12" ht="15" x14ac:dyDescent="0.25">
      <c r="B16" s="212" t="s">
        <v>97</v>
      </c>
      <c r="C16" s="218">
        <v>2936</v>
      </c>
      <c r="E16" s="214" t="s">
        <v>97</v>
      </c>
      <c r="F16" s="215">
        <f>($C16*'Composite cost scenarios'!D$28)/1000000</f>
        <v>2.9359999999999999</v>
      </c>
      <c r="G16" s="215">
        <f>($C16*'Composite cost scenarios'!E$28)/1000000</f>
        <v>12.533632980784887</v>
      </c>
      <c r="H16" s="215">
        <f>($C16*'Composite cost scenarios'!F$28)/1000000</f>
        <v>8.8079999999999998</v>
      </c>
      <c r="I16" s="215">
        <f>($C16*'Composite cost scenarios'!G$28)/1000000</f>
        <v>17.750762269613041</v>
      </c>
    </row>
    <row r="17" spans="2:9" ht="15" x14ac:dyDescent="0.25">
      <c r="B17" s="212" t="s">
        <v>98</v>
      </c>
      <c r="C17" s="218">
        <v>3426</v>
      </c>
      <c r="E17" s="214" t="s">
        <v>98</v>
      </c>
      <c r="F17" s="215">
        <f>($C17*'Composite cost scenarios'!D$28)/1000000</f>
        <v>3.4260000000000002</v>
      </c>
      <c r="G17" s="215">
        <f>($C17*'Composite cost scenarios'!E$28)/1000000</f>
        <v>14.625417776624328</v>
      </c>
      <c r="H17" s="215">
        <f>($C17*'Composite cost scenarios'!F$28)/1000000</f>
        <v>10.278</v>
      </c>
      <c r="I17" s="215">
        <f>($C17*'Composite cost scenarios'!G$28)/1000000</f>
        <v>20.713253247852276</v>
      </c>
    </row>
    <row r="18" spans="2:9" ht="15" x14ac:dyDescent="0.25">
      <c r="B18" s="212" t="s">
        <v>99</v>
      </c>
      <c r="C18" s="218">
        <v>3956</v>
      </c>
      <c r="E18" s="214" t="s">
        <v>99</v>
      </c>
      <c r="F18" s="215">
        <f>($C18*'Composite cost scenarios'!D$28)/1000000</f>
        <v>3.956</v>
      </c>
      <c r="G18" s="215">
        <f>($C18*'Composite cost scenarios'!E$28)/1000000</f>
        <v>16.887960514981273</v>
      </c>
      <c r="H18" s="215">
        <f>($C18*'Composite cost scenarios'!F$28)/1000000</f>
        <v>11.868</v>
      </c>
      <c r="I18" s="215">
        <f>($C18*'Composite cost scenarios'!G$28)/1000000</f>
        <v>23.91758022431512</v>
      </c>
    </row>
    <row r="19" spans="2:9" ht="15" x14ac:dyDescent="0.25">
      <c r="B19" s="212" t="s">
        <v>100</v>
      </c>
      <c r="C19" s="218">
        <v>4417</v>
      </c>
      <c r="E19" s="213" t="s">
        <v>100</v>
      </c>
      <c r="F19" s="215">
        <f>($C19*'Composite cost scenarios'!D$28)/1000000</f>
        <v>4.4169999999999998</v>
      </c>
      <c r="G19" s="215">
        <f>($C19*'Composite cost scenarios'!E$28)/1000000</f>
        <v>18.855945802495519</v>
      </c>
      <c r="H19" s="215">
        <f>($C19*'Composite cost scenarios'!F$28)/1000000</f>
        <v>13.250999999999999</v>
      </c>
      <c r="I19" s="215">
        <f>($C19*'Composite cost scenarios'!G$28)/1000000</f>
        <v>26.704740103842241</v>
      </c>
    </row>
    <row r="22" spans="2:9" x14ac:dyDescent="0.2">
      <c r="B22" s="212" t="s">
        <v>415</v>
      </c>
    </row>
    <row r="24" spans="2:9" ht="57" x14ac:dyDescent="0.25">
      <c r="B24" s="212" t="s">
        <v>95</v>
      </c>
      <c r="C24" s="212" t="s">
        <v>96</v>
      </c>
      <c r="E24" s="213" t="s">
        <v>95</v>
      </c>
      <c r="F24" s="213" t="str">
        <f>'Composite cost scenarios'!D20</f>
        <v xml:space="preserve">Baseline Scenario </v>
      </c>
      <c r="G24" s="213" t="str">
        <f>'Composite cost scenarios'!E20</f>
        <v>Higher ongoing Costs</v>
      </c>
      <c r="H24" s="213" t="str">
        <f>'Composite cost scenarios'!F20</f>
        <v>Baseline Scenario (15 equipment lifetime)</v>
      </c>
      <c r="I24" s="213" t="str">
        <f>'Composite cost scenarios'!G20</f>
        <v>Higher Ongoing Costs Scenario (15 equipment lifetime)</v>
      </c>
    </row>
    <row r="25" spans="2:9" ht="15" x14ac:dyDescent="0.25">
      <c r="B25" s="212" t="s">
        <v>97</v>
      </c>
      <c r="C25" s="218">
        <v>45</v>
      </c>
      <c r="E25" s="214" t="s">
        <v>97</v>
      </c>
      <c r="F25" s="219">
        <f>($C25*'Composite cost scenarios'!D$28)/1000000</f>
        <v>4.4999999999999998E-2</v>
      </c>
      <c r="G25" s="215">
        <f>($C25*'Composite cost scenarios'!E$28)/1000000</f>
        <v>0.19210268533219343</v>
      </c>
      <c r="H25" s="215">
        <f>($C25*'Composite cost scenarios'!F$28)/1000000</f>
        <v>0.13500000000000001</v>
      </c>
      <c r="I25" s="215">
        <f>($C25*'Composite cost scenarios'!G$28)/1000000</f>
        <v>0.27206549800156232</v>
      </c>
    </row>
    <row r="26" spans="2:9" ht="15" x14ac:dyDescent="0.25">
      <c r="B26" s="212" t="s">
        <v>98</v>
      </c>
      <c r="C26" s="218">
        <v>48</v>
      </c>
      <c r="E26" s="214" t="s">
        <v>98</v>
      </c>
      <c r="F26" s="219">
        <f>($C26*'Composite cost scenarios'!D$28)/1000000</f>
        <v>4.8000000000000001E-2</v>
      </c>
      <c r="G26" s="215">
        <f>($C26*'Composite cost scenarios'!E$28)/1000000</f>
        <v>0.20490953102100634</v>
      </c>
      <c r="H26" s="215">
        <f>($C26*'Composite cost scenarios'!F$28)/1000000</f>
        <v>0.14399999999999999</v>
      </c>
      <c r="I26" s="215">
        <f>($C26*'Composite cost scenarios'!G$28)/1000000</f>
        <v>0.29020319786833315</v>
      </c>
    </row>
    <row r="27" spans="2:9" ht="15" x14ac:dyDescent="0.25">
      <c r="B27" s="212" t="s">
        <v>99</v>
      </c>
      <c r="C27" s="218">
        <v>63</v>
      </c>
      <c r="E27" s="214" t="s">
        <v>99</v>
      </c>
      <c r="F27" s="219">
        <f>($C27*'Composite cost scenarios'!D$28)/1000000</f>
        <v>6.3E-2</v>
      </c>
      <c r="G27" s="215">
        <f>($C27*'Composite cost scenarios'!E$28)/1000000</f>
        <v>0.26894375946507088</v>
      </c>
      <c r="H27" s="215">
        <f>($C27*'Composite cost scenarios'!F$28)/1000000</f>
        <v>0.189</v>
      </c>
      <c r="I27" s="215">
        <f>($C27*'Composite cost scenarios'!G$28)/1000000</f>
        <v>0.38089169720218724</v>
      </c>
    </row>
    <row r="28" spans="2:9" ht="15" x14ac:dyDescent="0.25">
      <c r="B28" s="212" t="s">
        <v>100</v>
      </c>
      <c r="C28" s="218">
        <v>63</v>
      </c>
      <c r="E28" s="213" t="s">
        <v>100</v>
      </c>
      <c r="F28" s="219">
        <f>($C28*'Composite cost scenarios'!D$28)/1000000</f>
        <v>6.3E-2</v>
      </c>
      <c r="G28" s="215">
        <f>($C28*'Composite cost scenarios'!E$28)/1000000</f>
        <v>0.26894375946507088</v>
      </c>
      <c r="H28" s="215">
        <f>($C28*'Composite cost scenarios'!F$28)/1000000</f>
        <v>0.189</v>
      </c>
      <c r="I28" s="215">
        <f>($C28*'Composite cost scenarios'!G$28)/1000000</f>
        <v>0.38089169720218724</v>
      </c>
    </row>
  </sheetData>
  <phoneticPr fontId="7"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747C1-8424-4D68-9291-C2E7A8F071C6}">
  <sheetPr codeName="Sheet9">
    <tabColor rgb="FFFF0000"/>
  </sheetPr>
  <dimension ref="A1"/>
  <sheetViews>
    <sheetView showGridLines="0" workbookViewId="0"/>
  </sheetViews>
  <sheetFormatPr defaultRowHeight="12" x14ac:dyDescent="0.2"/>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460D-8A70-4F85-AE4C-0E9B4CA1E393}">
  <sheetPr codeName="Sheet7"/>
  <dimension ref="A1:R43"/>
  <sheetViews>
    <sheetView zoomScaleNormal="100" workbookViewId="0">
      <selection activeCell="F7" sqref="F7"/>
    </sheetView>
  </sheetViews>
  <sheetFormatPr defaultColWidth="9.28515625" defaultRowHeight="12" x14ac:dyDescent="0.2"/>
  <cols>
    <col min="1" max="1" width="9.28515625" style="16"/>
    <col min="2" max="6" width="22.140625" style="16" customWidth="1"/>
    <col min="7" max="7" width="9.28515625" style="16"/>
    <col min="8" max="12" width="22.140625" style="16" customWidth="1"/>
    <col min="13" max="13" width="15.42578125" style="16" customWidth="1"/>
    <col min="14" max="18" width="22.140625" style="16" customWidth="1"/>
    <col min="19" max="16384" width="9.28515625" style="16"/>
  </cols>
  <sheetData>
    <row r="1" spans="1:18" s="122" customFormat="1" ht="40.5" customHeight="1" x14ac:dyDescent="0.2">
      <c r="A1" s="121" t="s">
        <v>481</v>
      </c>
      <c r="L1" s="122" t="s">
        <v>13</v>
      </c>
    </row>
    <row r="2" spans="1:18" x14ac:dyDescent="0.2">
      <c r="B2" s="16" t="s">
        <v>383</v>
      </c>
      <c r="H2" s="16" t="s">
        <v>416</v>
      </c>
      <c r="N2" s="16" t="s">
        <v>417</v>
      </c>
    </row>
    <row r="3" spans="1:18" ht="12.75" thickBot="1" x14ac:dyDescent="0.25"/>
    <row r="4" spans="1:18" ht="45.75" thickBot="1" x14ac:dyDescent="0.25">
      <c r="B4" s="75" t="s">
        <v>378</v>
      </c>
      <c r="C4" s="76" t="s">
        <v>379</v>
      </c>
      <c r="D4" s="76" t="s">
        <v>380</v>
      </c>
      <c r="E4" s="76" t="s">
        <v>381</v>
      </c>
      <c r="F4" s="76" t="s">
        <v>382</v>
      </c>
      <c r="H4" s="75" t="s">
        <v>378</v>
      </c>
      <c r="I4" s="76" t="s">
        <v>379</v>
      </c>
      <c r="J4" s="76" t="s">
        <v>380</v>
      </c>
      <c r="K4" s="76" t="s">
        <v>381</v>
      </c>
      <c r="L4" s="76" t="s">
        <v>382</v>
      </c>
      <c r="N4" s="75" t="s">
        <v>378</v>
      </c>
      <c r="O4" s="76" t="s">
        <v>379</v>
      </c>
      <c r="P4" s="76" t="s">
        <v>380</v>
      </c>
      <c r="Q4" s="76" t="s">
        <v>381</v>
      </c>
      <c r="R4" s="76" t="s">
        <v>382</v>
      </c>
    </row>
    <row r="5" spans="1:18" ht="15.75" thickBot="1" x14ac:dyDescent="0.25">
      <c r="B5" s="77">
        <v>20</v>
      </c>
      <c r="C5" s="84">
        <f>'Costs By HDA grouping'!F8</f>
        <v>0.69799999999999995</v>
      </c>
      <c r="D5" s="84">
        <f>'Costs By HDA grouping'!G8</f>
        <v>2.9797260969304675</v>
      </c>
      <c r="E5" s="84">
        <f>'Costs By HDA grouping'!H8</f>
        <v>2.0939999999999999</v>
      </c>
      <c r="F5" s="84">
        <f>'Costs By HDA grouping'!I8</f>
        <v>4.2200381690020112</v>
      </c>
      <c r="H5" s="77">
        <v>20</v>
      </c>
      <c r="I5" s="84">
        <f>'Costs By HDA grouping'!F16</f>
        <v>2.9359999999999999</v>
      </c>
      <c r="J5" s="84">
        <f>'Costs By HDA grouping'!G16</f>
        <v>12.533632980784887</v>
      </c>
      <c r="K5" s="84">
        <f>'Costs By HDA grouping'!H16</f>
        <v>8.8079999999999998</v>
      </c>
      <c r="L5" s="84">
        <f>'Costs By HDA grouping'!I16</f>
        <v>17.750762269613041</v>
      </c>
      <c r="N5" s="77">
        <v>20</v>
      </c>
      <c r="O5" s="86">
        <f>'Costs By HDA grouping'!F25</f>
        <v>4.4999999999999998E-2</v>
      </c>
      <c r="P5" s="84">
        <f>'Costs By HDA grouping'!G25</f>
        <v>0.19210268533219343</v>
      </c>
      <c r="Q5" s="84">
        <f>'Costs By HDA grouping'!H25</f>
        <v>0.13500000000000001</v>
      </c>
      <c r="R5" s="84">
        <f>'Costs By HDA grouping'!I25</f>
        <v>0.27206549800156232</v>
      </c>
    </row>
    <row r="6" spans="1:18" ht="15.75" thickBot="1" x14ac:dyDescent="0.25">
      <c r="B6" s="77">
        <v>40</v>
      </c>
      <c r="C6" s="84">
        <f>'Costs By HDA grouping'!F9</f>
        <v>0.81499999999999995</v>
      </c>
      <c r="D6" s="84">
        <f>'Costs By HDA grouping'!G9</f>
        <v>3.4791930787941703</v>
      </c>
      <c r="E6" s="84">
        <f>'Costs By HDA grouping'!H9</f>
        <v>2.4449999999999998</v>
      </c>
      <c r="F6" s="84">
        <f>'Costs By HDA grouping'!I9</f>
        <v>4.9274084638060733</v>
      </c>
      <c r="H6" s="77">
        <v>40</v>
      </c>
      <c r="I6" s="84">
        <f>'Costs By HDA grouping'!F17</f>
        <v>3.4260000000000002</v>
      </c>
      <c r="J6" s="84">
        <f>'Costs By HDA grouping'!G17</f>
        <v>14.625417776624328</v>
      </c>
      <c r="K6" s="84">
        <f>'Costs By HDA grouping'!H17</f>
        <v>10.278</v>
      </c>
      <c r="L6" s="84">
        <f>'Costs By HDA grouping'!I17</f>
        <v>20.713253247852276</v>
      </c>
      <c r="N6" s="77">
        <v>40</v>
      </c>
      <c r="O6" s="86">
        <f>'Costs By HDA grouping'!F26</f>
        <v>4.8000000000000001E-2</v>
      </c>
      <c r="P6" s="84">
        <f>'Costs By HDA grouping'!G26</f>
        <v>0.20490953102100634</v>
      </c>
      <c r="Q6" s="84">
        <f>'Costs By HDA grouping'!H26</f>
        <v>0.14399999999999999</v>
      </c>
      <c r="R6" s="84">
        <f>'Costs By HDA grouping'!I26</f>
        <v>0.29020319786833315</v>
      </c>
    </row>
    <row r="7" spans="1:18" ht="15.75" thickBot="1" x14ac:dyDescent="0.25">
      <c r="B7" s="77">
        <v>80</v>
      </c>
      <c r="C7" s="84">
        <f>'Costs By HDA grouping'!F10</f>
        <v>0.96899999999999997</v>
      </c>
      <c r="D7" s="84">
        <f>'Costs By HDA grouping'!G10</f>
        <v>4.1366111574865654</v>
      </c>
      <c r="E7" s="84">
        <f>'Costs By HDA grouping'!H10</f>
        <v>2.907</v>
      </c>
      <c r="F7" s="84">
        <f>'Costs By HDA grouping'!I10</f>
        <v>5.8584770569669757</v>
      </c>
      <c r="H7" s="77">
        <v>80</v>
      </c>
      <c r="I7" s="84">
        <f>'Costs By HDA grouping'!F18</f>
        <v>3.956</v>
      </c>
      <c r="J7" s="84">
        <f>'Costs By HDA grouping'!G18</f>
        <v>16.887960514981273</v>
      </c>
      <c r="K7" s="84">
        <f>'Costs By HDA grouping'!H18</f>
        <v>11.868</v>
      </c>
      <c r="L7" s="84">
        <f>'Costs By HDA grouping'!I18</f>
        <v>23.91758022431512</v>
      </c>
      <c r="N7" s="77">
        <v>80</v>
      </c>
      <c r="O7" s="86">
        <f>'Costs By HDA grouping'!F27</f>
        <v>6.3E-2</v>
      </c>
      <c r="P7" s="84">
        <f>'Costs By HDA grouping'!G27</f>
        <v>0.26894375946507088</v>
      </c>
      <c r="Q7" s="84">
        <f>'Costs By HDA grouping'!H27</f>
        <v>0.189</v>
      </c>
      <c r="R7" s="84">
        <f>'Costs By HDA grouping'!I27</f>
        <v>0.38089169720218724</v>
      </c>
    </row>
    <row r="8" spans="1:18" ht="15.75" thickBot="1" x14ac:dyDescent="0.25">
      <c r="B8" s="77" t="s">
        <v>422</v>
      </c>
      <c r="C8" s="84">
        <f>'Costs By HDA grouping'!F11</f>
        <v>1.3340000000000001</v>
      </c>
      <c r="D8" s="84">
        <f>'Costs By HDA grouping'!G11</f>
        <v>5.6947773829588018</v>
      </c>
      <c r="E8" s="84">
        <f>'Costs By HDA grouping'!H11</f>
        <v>4.0019999999999998</v>
      </c>
      <c r="F8" s="84">
        <f>'Costs By HDA grouping'!I11</f>
        <v>8.0652305407574243</v>
      </c>
      <c r="H8" s="77" t="s">
        <v>422</v>
      </c>
      <c r="I8" s="84">
        <f>'Costs By HDA grouping'!F19</f>
        <v>4.4169999999999998</v>
      </c>
      <c r="J8" s="84">
        <f>'Costs By HDA grouping'!G19</f>
        <v>18.855945802495519</v>
      </c>
      <c r="K8" s="84">
        <f>'Costs By HDA grouping'!H19</f>
        <v>13.250999999999999</v>
      </c>
      <c r="L8" s="84">
        <f>'Costs By HDA grouping'!I19</f>
        <v>26.704740103842241</v>
      </c>
      <c r="N8" s="77" t="s">
        <v>422</v>
      </c>
      <c r="O8" s="86">
        <f>'Costs By HDA grouping'!F28</f>
        <v>6.3E-2</v>
      </c>
      <c r="P8" s="84">
        <f>'Costs By HDA grouping'!G28</f>
        <v>0.26894375946507088</v>
      </c>
      <c r="Q8" s="84">
        <f>'Costs By HDA grouping'!H28</f>
        <v>0.189</v>
      </c>
      <c r="R8" s="84">
        <f>'Costs By HDA grouping'!I28</f>
        <v>0.38089169720218724</v>
      </c>
    </row>
    <row r="10" spans="1:18" ht="12.75" thickBot="1" x14ac:dyDescent="0.25"/>
    <row r="11" spans="1:18" ht="60.75" thickBot="1" x14ac:dyDescent="0.25">
      <c r="B11" s="75" t="s">
        <v>384</v>
      </c>
      <c r="C11" s="76" t="s">
        <v>385</v>
      </c>
      <c r="D11" s="76"/>
    </row>
    <row r="12" spans="1:18" ht="15.75" thickBot="1" x14ac:dyDescent="0.25">
      <c r="B12" s="77" t="s">
        <v>367</v>
      </c>
      <c r="C12" s="79">
        <f>'Discounted cost_7years'!X71</f>
        <v>2605.5482448024504</v>
      </c>
      <c r="D12" s="79"/>
    </row>
    <row r="13" spans="1:18" ht="15.75" thickBot="1" x14ac:dyDescent="0.25">
      <c r="B13" s="77" t="s">
        <v>386</v>
      </c>
      <c r="C13" s="79">
        <f>'Discounted cost_7years'!X72</f>
        <v>1289.8052715499421</v>
      </c>
      <c r="D13" s="79"/>
    </row>
    <row r="14" spans="1:18" ht="15.75" thickBot="1" x14ac:dyDescent="0.25">
      <c r="B14" s="77" t="s">
        <v>387</v>
      </c>
      <c r="C14" s="79">
        <f>'Discounted cost_7years'!X73</f>
        <v>0</v>
      </c>
      <c r="D14" s="79"/>
    </row>
    <row r="15" spans="1:18" ht="15.75" thickBot="1" x14ac:dyDescent="0.25">
      <c r="B15" s="77" t="s">
        <v>388</v>
      </c>
      <c r="C15" s="79">
        <f>'Discounted cost_7years'!X74</f>
        <v>0</v>
      </c>
      <c r="D15" s="79"/>
    </row>
    <row r="16" spans="1:18" ht="15.75" thickBot="1" x14ac:dyDescent="0.25">
      <c r="B16" s="77" t="s">
        <v>389</v>
      </c>
      <c r="C16" s="79">
        <f>'Discounted cost_7years'!X75</f>
        <v>0</v>
      </c>
      <c r="D16" s="79"/>
    </row>
    <row r="17" spans="2:16" ht="15.75" thickBot="1" x14ac:dyDescent="0.25">
      <c r="B17" s="77" t="s">
        <v>390</v>
      </c>
      <c r="C17" s="79">
        <f>'Discounted cost_7years'!X76</f>
        <v>0</v>
      </c>
      <c r="D17" s="79"/>
    </row>
    <row r="18" spans="2:16" ht="15.75" thickBot="1" x14ac:dyDescent="0.25">
      <c r="B18" s="77" t="s">
        <v>391</v>
      </c>
      <c r="C18" s="79">
        <f>'Discounted cost_7years'!X77</f>
        <v>0</v>
      </c>
      <c r="D18" s="79"/>
    </row>
    <row r="19" spans="2:16" ht="15.75" thickBot="1" x14ac:dyDescent="0.25">
      <c r="B19" s="80" t="s">
        <v>101</v>
      </c>
      <c r="C19" s="81">
        <f>'Discounted cost_7years'!X81</f>
        <v>556.47907376462751</v>
      </c>
      <c r="D19" s="81"/>
    </row>
    <row r="20" spans="2:16" x14ac:dyDescent="0.2">
      <c r="C20" s="31"/>
      <c r="D20" s="31"/>
    </row>
    <row r="22" spans="2:16" x14ac:dyDescent="0.2">
      <c r="B22" s="16" t="s">
        <v>397</v>
      </c>
      <c r="H22" s="16" t="s">
        <v>418</v>
      </c>
      <c r="N22" s="16" t="s">
        <v>420</v>
      </c>
    </row>
    <row r="23" spans="2:16" ht="12.75" thickBot="1" x14ac:dyDescent="0.25"/>
    <row r="24" spans="2:16" ht="30.75" thickBot="1" x14ac:dyDescent="0.25">
      <c r="B24" s="82" t="s">
        <v>392</v>
      </c>
      <c r="C24" s="83" t="s">
        <v>393</v>
      </c>
      <c r="D24" s="220" t="s">
        <v>413</v>
      </c>
      <c r="H24" s="82" t="s">
        <v>392</v>
      </c>
      <c r="I24" s="83" t="s">
        <v>393</v>
      </c>
      <c r="J24" s="220" t="s">
        <v>413</v>
      </c>
      <c r="N24" s="82" t="s">
        <v>392</v>
      </c>
      <c r="O24" s="83" t="s">
        <v>393</v>
      </c>
      <c r="P24" s="220" t="s">
        <v>413</v>
      </c>
    </row>
    <row r="25" spans="2:16" ht="15.75" thickBot="1" x14ac:dyDescent="0.25">
      <c r="B25" s="77">
        <v>20</v>
      </c>
      <c r="C25" s="78">
        <f>'Costs By HDA grouping'!C8</f>
        <v>698</v>
      </c>
      <c r="D25" s="84">
        <f>'Costs By HDA grouping'!F8</f>
        <v>0.69799999999999995</v>
      </c>
      <c r="H25" s="77">
        <v>20</v>
      </c>
      <c r="I25" s="78">
        <f>'Costs By HDA grouping'!C16</f>
        <v>2936</v>
      </c>
      <c r="J25" s="84">
        <f>'Costs By HDA grouping'!F16</f>
        <v>2.9359999999999999</v>
      </c>
      <c r="N25" s="77">
        <v>20</v>
      </c>
      <c r="O25" s="78">
        <f>'Costs By HDA grouping'!C25</f>
        <v>45</v>
      </c>
      <c r="P25" s="86">
        <f>'Costs By HDA grouping'!F25</f>
        <v>4.4999999999999998E-2</v>
      </c>
    </row>
    <row r="26" spans="2:16" ht="15.75" thickBot="1" x14ac:dyDescent="0.25">
      <c r="B26" s="77">
        <v>40</v>
      </c>
      <c r="C26" s="78">
        <f>'Costs By HDA grouping'!C9</f>
        <v>815</v>
      </c>
      <c r="D26" s="84">
        <f>'Costs By HDA grouping'!F9</f>
        <v>0.81499999999999995</v>
      </c>
      <c r="H26" s="77">
        <v>40</v>
      </c>
      <c r="I26" s="78">
        <f>'Costs By HDA grouping'!C17</f>
        <v>3426</v>
      </c>
      <c r="J26" s="84">
        <f>'Costs By HDA grouping'!F17</f>
        <v>3.4260000000000002</v>
      </c>
      <c r="N26" s="77">
        <v>40</v>
      </c>
      <c r="O26" s="78">
        <f>'Costs By HDA grouping'!C26</f>
        <v>48</v>
      </c>
      <c r="P26" s="86">
        <f>'Costs By HDA grouping'!F26</f>
        <v>4.8000000000000001E-2</v>
      </c>
    </row>
    <row r="27" spans="2:16" ht="15.75" thickBot="1" x14ac:dyDescent="0.25">
      <c r="B27" s="77">
        <v>80</v>
      </c>
      <c r="C27" s="78">
        <f>'Costs By HDA grouping'!C10</f>
        <v>969</v>
      </c>
      <c r="D27" s="84">
        <f>'Costs By HDA grouping'!F10</f>
        <v>0.96899999999999997</v>
      </c>
      <c r="H27" s="77">
        <v>80</v>
      </c>
      <c r="I27" s="78">
        <f>'Costs By HDA grouping'!C18</f>
        <v>3956</v>
      </c>
      <c r="J27" s="84">
        <f>'Costs By HDA grouping'!F18</f>
        <v>3.956</v>
      </c>
      <c r="N27" s="77">
        <v>80</v>
      </c>
      <c r="O27" s="78">
        <f>'Costs By HDA grouping'!C27</f>
        <v>63</v>
      </c>
      <c r="P27" s="86">
        <f>'Costs By HDA grouping'!F27</f>
        <v>6.3E-2</v>
      </c>
    </row>
    <row r="28" spans="2:16" ht="15.75" thickBot="1" x14ac:dyDescent="0.25">
      <c r="B28" s="77" t="s">
        <v>422</v>
      </c>
      <c r="C28" s="78">
        <f>'Costs By HDA grouping'!C11</f>
        <v>1334</v>
      </c>
      <c r="D28" s="84">
        <f>'Costs By HDA grouping'!F11</f>
        <v>1.3340000000000001</v>
      </c>
      <c r="H28" s="77" t="s">
        <v>422</v>
      </c>
      <c r="I28" s="78">
        <f>'Costs By HDA grouping'!C19</f>
        <v>4417</v>
      </c>
      <c r="J28" s="84">
        <f>'Costs By HDA grouping'!F19</f>
        <v>4.4169999999999998</v>
      </c>
      <c r="N28" s="77" t="s">
        <v>422</v>
      </c>
      <c r="O28" s="78">
        <f>'Costs By HDA grouping'!C28</f>
        <v>63</v>
      </c>
      <c r="P28" s="86">
        <f>'Costs By HDA grouping'!F28</f>
        <v>6.3E-2</v>
      </c>
    </row>
    <row r="30" spans="2:16" x14ac:dyDescent="0.2">
      <c r="B30" s="16" t="s">
        <v>398</v>
      </c>
      <c r="H30" s="16" t="s">
        <v>419</v>
      </c>
      <c r="N30" s="16" t="s">
        <v>421</v>
      </c>
    </row>
    <row r="31" spans="2:16" ht="12.75" thickBot="1" x14ac:dyDescent="0.25"/>
    <row r="32" spans="2:16" ht="30.75" thickBot="1" x14ac:dyDescent="0.25">
      <c r="B32" s="82" t="s">
        <v>392</v>
      </c>
      <c r="C32" s="83" t="s">
        <v>393</v>
      </c>
      <c r="D32" s="220" t="s">
        <v>413</v>
      </c>
      <c r="H32" s="82" t="s">
        <v>392</v>
      </c>
      <c r="I32" s="83" t="s">
        <v>393</v>
      </c>
      <c r="J32" s="220" t="s">
        <v>413</v>
      </c>
      <c r="N32" s="82" t="s">
        <v>392</v>
      </c>
      <c r="O32" s="83" t="s">
        <v>393</v>
      </c>
      <c r="P32" s="220" t="s">
        <v>413</v>
      </c>
    </row>
    <row r="33" spans="2:17" ht="15.75" thickBot="1" x14ac:dyDescent="0.25">
      <c r="B33" s="77">
        <v>20</v>
      </c>
      <c r="C33" s="78">
        <f>'Costs By HDA grouping'!C8</f>
        <v>698</v>
      </c>
      <c r="D33" s="84">
        <f>'Costs By HDA grouping'!G8</f>
        <v>2.9797260969304675</v>
      </c>
      <c r="H33" s="77">
        <v>20</v>
      </c>
      <c r="I33" s="78">
        <f>'Costs By HDA grouping'!C16</f>
        <v>2936</v>
      </c>
      <c r="J33" s="84">
        <f>'Costs By HDA grouping'!G16</f>
        <v>12.533632980784887</v>
      </c>
      <c r="N33" s="77">
        <v>20</v>
      </c>
      <c r="O33" s="78">
        <f>'Costs By HDA grouping'!C25</f>
        <v>45</v>
      </c>
      <c r="P33" s="84">
        <f>'Costs By HDA grouping'!G25</f>
        <v>0.19210268533219343</v>
      </c>
    </row>
    <row r="34" spans="2:17" ht="15.75" thickBot="1" x14ac:dyDescent="0.25">
      <c r="B34" s="77">
        <v>40</v>
      </c>
      <c r="C34" s="78">
        <f>'Costs By HDA grouping'!C9</f>
        <v>815</v>
      </c>
      <c r="D34" s="84">
        <f>'Costs By HDA grouping'!G9</f>
        <v>3.4791930787941703</v>
      </c>
      <c r="H34" s="77">
        <v>40</v>
      </c>
      <c r="I34" s="78">
        <f>'Costs By HDA grouping'!C17</f>
        <v>3426</v>
      </c>
      <c r="J34" s="84">
        <f>'Costs By HDA grouping'!G17</f>
        <v>14.625417776624328</v>
      </c>
      <c r="N34" s="77">
        <v>40</v>
      </c>
      <c r="O34" s="78">
        <f>'Costs By HDA grouping'!C26</f>
        <v>48</v>
      </c>
      <c r="P34" s="84">
        <f>'Costs By HDA grouping'!G26</f>
        <v>0.20490953102100634</v>
      </c>
    </row>
    <row r="35" spans="2:17" ht="15.75" thickBot="1" x14ac:dyDescent="0.25">
      <c r="B35" s="77">
        <v>80</v>
      </c>
      <c r="C35" s="78">
        <f>'Costs By HDA grouping'!C10</f>
        <v>969</v>
      </c>
      <c r="D35" s="84">
        <f>'Costs By HDA grouping'!G10</f>
        <v>4.1366111574865654</v>
      </c>
      <c r="H35" s="77">
        <v>80</v>
      </c>
      <c r="I35" s="78">
        <f>'Costs By HDA grouping'!C18</f>
        <v>3956</v>
      </c>
      <c r="J35" s="84">
        <f>'Costs By HDA grouping'!G18</f>
        <v>16.887960514981273</v>
      </c>
      <c r="N35" s="77">
        <v>80</v>
      </c>
      <c r="O35" s="78">
        <f>'Costs By HDA grouping'!C27</f>
        <v>63</v>
      </c>
      <c r="P35" s="84">
        <f>'Costs By HDA grouping'!G27</f>
        <v>0.26894375946507088</v>
      </c>
    </row>
    <row r="36" spans="2:17" ht="15.75" thickBot="1" x14ac:dyDescent="0.25">
      <c r="B36" s="77" t="s">
        <v>422</v>
      </c>
      <c r="C36" s="78">
        <f>'Costs By HDA grouping'!C11</f>
        <v>1334</v>
      </c>
      <c r="D36" s="84">
        <f>'Costs By HDA grouping'!G11</f>
        <v>5.6947773829588018</v>
      </c>
      <c r="H36" s="77" t="s">
        <v>422</v>
      </c>
      <c r="I36" s="78">
        <f>'Costs By HDA grouping'!C19</f>
        <v>4417</v>
      </c>
      <c r="J36" s="84">
        <f>'Costs By HDA grouping'!G19</f>
        <v>18.855945802495519</v>
      </c>
      <c r="N36" s="77" t="s">
        <v>422</v>
      </c>
      <c r="O36" s="78">
        <f>'Costs By HDA grouping'!C28</f>
        <v>63</v>
      </c>
      <c r="P36" s="84">
        <f>'Costs By HDA grouping'!G28</f>
        <v>0.26894375946507088</v>
      </c>
    </row>
    <row r="38" spans="2:17" ht="12.75" thickBot="1" x14ac:dyDescent="0.25"/>
    <row r="39" spans="2:17" ht="60.75" thickBot="1" x14ac:dyDescent="0.25">
      <c r="B39" s="82" t="s">
        <v>394</v>
      </c>
      <c r="C39" s="83" t="s">
        <v>393</v>
      </c>
      <c r="D39" s="83" t="s">
        <v>395</v>
      </c>
      <c r="E39" s="83" t="s">
        <v>396</v>
      </c>
      <c r="H39" s="82" t="s">
        <v>394</v>
      </c>
      <c r="I39" s="83" t="s">
        <v>393</v>
      </c>
      <c r="J39" s="83" t="s">
        <v>395</v>
      </c>
      <c r="K39" s="83" t="s">
        <v>396</v>
      </c>
      <c r="N39" s="82" t="s">
        <v>394</v>
      </c>
      <c r="O39" s="83" t="s">
        <v>393</v>
      </c>
      <c r="P39" s="83" t="s">
        <v>395</v>
      </c>
      <c r="Q39" s="83" t="s">
        <v>396</v>
      </c>
    </row>
    <row r="40" spans="2:17" ht="15.75" thickBot="1" x14ac:dyDescent="0.25">
      <c r="B40" s="77">
        <v>20</v>
      </c>
      <c r="C40" s="78">
        <f>'Costs By HDA grouping'!C8</f>
        <v>698</v>
      </c>
      <c r="D40" s="84">
        <f>'Costs By HDA grouping'!H8</f>
        <v>2.0939999999999999</v>
      </c>
      <c r="E40" s="84">
        <f>'Costs By HDA grouping'!I8</f>
        <v>4.2200381690020112</v>
      </c>
      <c r="H40" s="77">
        <v>20</v>
      </c>
      <c r="I40" s="78">
        <f>'Costs By HDA grouping'!C16</f>
        <v>2936</v>
      </c>
      <c r="J40" s="84">
        <f>'Costs By HDA grouping'!H16</f>
        <v>8.8079999999999998</v>
      </c>
      <c r="K40" s="84">
        <f>'Costs By HDA grouping'!I16</f>
        <v>17.750762269613041</v>
      </c>
      <c r="N40" s="77">
        <v>20</v>
      </c>
      <c r="O40" s="78">
        <f>'Costs By HDA grouping'!C25</f>
        <v>45</v>
      </c>
      <c r="P40" s="84">
        <f>'Costs By HDA grouping'!H25</f>
        <v>0.13500000000000001</v>
      </c>
      <c r="Q40" s="84">
        <f>'Costs By HDA grouping'!I25</f>
        <v>0.27206549800156232</v>
      </c>
    </row>
    <row r="41" spans="2:17" ht="15.75" thickBot="1" x14ac:dyDescent="0.25">
      <c r="B41" s="77">
        <v>40</v>
      </c>
      <c r="C41" s="78">
        <f>'Costs By HDA grouping'!C9</f>
        <v>815</v>
      </c>
      <c r="D41" s="84">
        <f>'Costs By HDA grouping'!H9</f>
        <v>2.4449999999999998</v>
      </c>
      <c r="E41" s="84">
        <f>'Costs By HDA grouping'!I9</f>
        <v>4.9274084638060733</v>
      </c>
      <c r="H41" s="77">
        <v>40</v>
      </c>
      <c r="I41" s="78">
        <f>'Costs By HDA grouping'!C17</f>
        <v>3426</v>
      </c>
      <c r="J41" s="84">
        <f>'Costs By HDA grouping'!H17</f>
        <v>10.278</v>
      </c>
      <c r="K41" s="84">
        <f>'Costs By HDA grouping'!I17</f>
        <v>20.713253247852276</v>
      </c>
      <c r="N41" s="77">
        <v>40</v>
      </c>
      <c r="O41" s="78">
        <f>'Costs By HDA grouping'!C26</f>
        <v>48</v>
      </c>
      <c r="P41" s="84">
        <f>'Costs By HDA grouping'!H26</f>
        <v>0.14399999999999999</v>
      </c>
      <c r="Q41" s="84">
        <f>'Costs By HDA grouping'!I26</f>
        <v>0.29020319786833315</v>
      </c>
    </row>
    <row r="42" spans="2:17" ht="15.75" thickBot="1" x14ac:dyDescent="0.25">
      <c r="B42" s="77">
        <v>80</v>
      </c>
      <c r="C42" s="78">
        <f>'Costs By HDA grouping'!C10</f>
        <v>969</v>
      </c>
      <c r="D42" s="84">
        <f>'Costs By HDA grouping'!H10</f>
        <v>2.907</v>
      </c>
      <c r="E42" s="84">
        <f>'Costs By HDA grouping'!I10</f>
        <v>5.8584770569669757</v>
      </c>
      <c r="H42" s="77">
        <v>80</v>
      </c>
      <c r="I42" s="78">
        <f>'Costs By HDA grouping'!C18</f>
        <v>3956</v>
      </c>
      <c r="J42" s="84">
        <f>'Costs By HDA grouping'!H18</f>
        <v>11.868</v>
      </c>
      <c r="K42" s="84">
        <f>'Costs By HDA grouping'!I18</f>
        <v>23.91758022431512</v>
      </c>
      <c r="N42" s="77">
        <v>80</v>
      </c>
      <c r="O42" s="78">
        <f>'Costs By HDA grouping'!C27</f>
        <v>63</v>
      </c>
      <c r="P42" s="84">
        <f>'Costs By HDA grouping'!H27</f>
        <v>0.189</v>
      </c>
      <c r="Q42" s="84">
        <f>'Costs By HDA grouping'!I27</f>
        <v>0.38089169720218724</v>
      </c>
    </row>
    <row r="43" spans="2:17" ht="15.75" thickBot="1" x14ac:dyDescent="0.25">
      <c r="B43" s="77" t="s">
        <v>422</v>
      </c>
      <c r="C43" s="78">
        <f>'Costs By HDA grouping'!C11</f>
        <v>1334</v>
      </c>
      <c r="D43" s="84">
        <f>'Costs By HDA grouping'!H11</f>
        <v>4.0019999999999998</v>
      </c>
      <c r="E43" s="84">
        <f>'Costs By HDA grouping'!I11</f>
        <v>8.0652305407574243</v>
      </c>
      <c r="H43" s="77" t="s">
        <v>422</v>
      </c>
      <c r="I43" s="78">
        <f>'Costs By HDA grouping'!C19</f>
        <v>4417</v>
      </c>
      <c r="J43" s="84">
        <f>'Costs By HDA grouping'!H19</f>
        <v>13.250999999999999</v>
      </c>
      <c r="K43" s="84">
        <f>'Costs By HDA grouping'!I19</f>
        <v>26.704740103842241</v>
      </c>
      <c r="N43" s="77" t="s">
        <v>422</v>
      </c>
      <c r="O43" s="78">
        <f>'Costs By HDA grouping'!C28</f>
        <v>63</v>
      </c>
      <c r="P43" s="84">
        <f>'Costs By HDA grouping'!H28</f>
        <v>0.189</v>
      </c>
      <c r="Q43" s="84">
        <f>'Costs By HDA grouping'!I28</f>
        <v>0.38089169720218724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B780-42D2-4877-9ABE-5F991BEF818F}">
  <sheetPr codeName="Sheet2">
    <outlinePr summaryBelow="0"/>
    <pageSetUpPr autoPageBreaks="0" fitToPage="1"/>
  </sheetPr>
  <dimension ref="A1:K42"/>
  <sheetViews>
    <sheetView defaultGridColor="0" colorId="22" zoomScale="85" zoomScaleNormal="85" workbookViewId="0">
      <pane ySplit="2" topLeftCell="A3" activePane="bottomLeft" state="frozen"/>
      <selection pane="bottomLeft"/>
    </sheetView>
  </sheetViews>
  <sheetFormatPr defaultColWidth="14.42578125" defaultRowHeight="15" x14ac:dyDescent="0.2"/>
  <cols>
    <col min="1" max="1" width="3" style="94" customWidth="1"/>
    <col min="2" max="2" width="49.28515625" style="94" customWidth="1"/>
    <col min="3" max="6" width="14.42578125" style="94"/>
    <col min="7" max="7" width="8.140625" style="94" customWidth="1"/>
    <col min="8" max="16384" width="14.42578125" style="94"/>
  </cols>
  <sheetData>
    <row r="1" spans="1:8" ht="12" customHeight="1" x14ac:dyDescent="0.4">
      <c r="C1" s="95"/>
    </row>
    <row r="2" spans="1:8" ht="64.5" customHeight="1" x14ac:dyDescent="0.4">
      <c r="H2" s="96" t="s">
        <v>5</v>
      </c>
    </row>
    <row r="3" spans="1:8" x14ac:dyDescent="0.2">
      <c r="A3" s="97"/>
    </row>
    <row r="5" spans="1:8" ht="18" x14ac:dyDescent="0.2">
      <c r="A5" s="98" t="s">
        <v>17</v>
      </c>
    </row>
    <row r="6" spans="1:8" ht="8.25" customHeight="1" x14ac:dyDescent="0.2"/>
    <row r="7" spans="1:8" ht="6.75" customHeight="1" x14ac:dyDescent="0.2">
      <c r="A7" s="99"/>
    </row>
    <row r="8" spans="1:8" x14ac:dyDescent="0.2">
      <c r="B8" s="100" t="s">
        <v>436</v>
      </c>
      <c r="C8" s="101">
        <v>100</v>
      </c>
      <c r="E8" s="94" t="s">
        <v>437</v>
      </c>
    </row>
    <row r="9" spans="1:8" x14ac:dyDescent="0.2">
      <c r="B9" s="100"/>
      <c r="C9" s="102"/>
    </row>
    <row r="10" spans="1:8" ht="15" customHeight="1" x14ac:dyDescent="0.2">
      <c r="B10" s="100" t="s">
        <v>438</v>
      </c>
      <c r="C10" s="103">
        <v>100</v>
      </c>
      <c r="E10" s="94" t="s">
        <v>439</v>
      </c>
    </row>
    <row r="11" spans="1:8" x14ac:dyDescent="0.2">
      <c r="B11" s="100"/>
      <c r="C11" s="102"/>
    </row>
    <row r="12" spans="1:8" x14ac:dyDescent="0.2">
      <c r="B12" s="100" t="s">
        <v>440</v>
      </c>
      <c r="C12" s="104">
        <v>100</v>
      </c>
      <c r="E12" s="94" t="s">
        <v>441</v>
      </c>
    </row>
    <row r="13" spans="1:8" x14ac:dyDescent="0.2">
      <c r="B13" s="100"/>
      <c r="C13" s="102"/>
    </row>
    <row r="14" spans="1:8" x14ac:dyDescent="0.2">
      <c r="B14" s="100" t="s">
        <v>442</v>
      </c>
      <c r="C14" s="105">
        <v>100</v>
      </c>
      <c r="E14" s="94" t="s">
        <v>443</v>
      </c>
    </row>
    <row r="15" spans="1:8" ht="15.75" thickBot="1" x14ac:dyDescent="0.25">
      <c r="B15" s="100"/>
      <c r="C15" s="102"/>
    </row>
    <row r="16" spans="1:8" ht="15.75" thickBot="1" x14ac:dyDescent="0.25">
      <c r="B16" s="100" t="s">
        <v>444</v>
      </c>
      <c r="C16" s="106">
        <v>100</v>
      </c>
      <c r="E16" s="94" t="s">
        <v>445</v>
      </c>
    </row>
    <row r="17" spans="2:11" ht="15.75" thickBot="1" x14ac:dyDescent="0.25">
      <c r="B17" s="100"/>
      <c r="C17" s="102"/>
    </row>
    <row r="18" spans="2:11" ht="15.75" thickBot="1" x14ac:dyDescent="0.25">
      <c r="B18" s="100" t="s">
        <v>446</v>
      </c>
      <c r="C18" s="107">
        <v>100</v>
      </c>
      <c r="E18" s="94" t="s">
        <v>447</v>
      </c>
    </row>
    <row r="19" spans="2:11" ht="15.75" thickBot="1" x14ac:dyDescent="0.25">
      <c r="B19" s="100"/>
      <c r="C19" s="102"/>
    </row>
    <row r="20" spans="2:11" ht="15.75" thickBot="1" x14ac:dyDescent="0.25">
      <c r="B20" s="100" t="s">
        <v>448</v>
      </c>
      <c r="C20" s="108">
        <v>100</v>
      </c>
      <c r="E20" s="94" t="s">
        <v>449</v>
      </c>
    </row>
    <row r="21" spans="2:11" x14ac:dyDescent="0.2">
      <c r="B21" s="100"/>
      <c r="C21" s="102"/>
    </row>
    <row r="22" spans="2:11" x14ac:dyDescent="0.2">
      <c r="B22" s="94" t="s">
        <v>450</v>
      </c>
      <c r="C22" s="109">
        <v>100</v>
      </c>
      <c r="E22" s="94" t="s">
        <v>451</v>
      </c>
    </row>
    <row r="24" spans="2:11" x14ac:dyDescent="0.2">
      <c r="B24" s="94" t="s">
        <v>452</v>
      </c>
      <c r="C24" s="110"/>
      <c r="E24" s="94" t="s">
        <v>453</v>
      </c>
    </row>
    <row r="26" spans="2:11" x14ac:dyDescent="0.2">
      <c r="B26" s="94" t="s">
        <v>2</v>
      </c>
      <c r="C26" s="111">
        <v>100</v>
      </c>
      <c r="E26" s="94" t="s">
        <v>4</v>
      </c>
    </row>
    <row r="27" spans="2:11" x14ac:dyDescent="0.2">
      <c r="B27" s="100"/>
      <c r="C27" s="102"/>
    </row>
    <row r="28" spans="2:11" x14ac:dyDescent="0.2">
      <c r="B28" s="94" t="s">
        <v>3</v>
      </c>
      <c r="C28" s="112">
        <v>100</v>
      </c>
      <c r="E28" s="94" t="s">
        <v>14</v>
      </c>
    </row>
    <row r="30" spans="2:11" x14ac:dyDescent="0.2">
      <c r="B30" s="94" t="s">
        <v>454</v>
      </c>
      <c r="C30" s="113">
        <v>100</v>
      </c>
      <c r="E30" s="94" t="s">
        <v>455</v>
      </c>
    </row>
    <row r="32" spans="2:11" x14ac:dyDescent="0.2">
      <c r="B32" s="94" t="s">
        <v>456</v>
      </c>
      <c r="C32" s="114" t="b">
        <v>1</v>
      </c>
      <c r="E32" s="94" t="s">
        <v>7</v>
      </c>
      <c r="F32" s="115"/>
      <c r="G32" s="115"/>
      <c r="H32" s="115"/>
      <c r="I32" s="115"/>
      <c r="J32" s="115"/>
      <c r="K32" s="115"/>
    </row>
    <row r="33" spans="2:11" x14ac:dyDescent="0.2">
      <c r="B33" s="94" t="s">
        <v>457</v>
      </c>
      <c r="C33" s="116" t="b">
        <v>0</v>
      </c>
      <c r="F33" s="115"/>
      <c r="G33" s="115"/>
      <c r="H33" s="115"/>
      <c r="I33" s="115"/>
      <c r="J33" s="115"/>
      <c r="K33" s="115"/>
    </row>
    <row r="35" spans="2:11" x14ac:dyDescent="0.2">
      <c r="B35" s="94" t="s">
        <v>458</v>
      </c>
      <c r="C35" s="97" t="s">
        <v>459</v>
      </c>
      <c r="E35" s="94" t="s">
        <v>460</v>
      </c>
    </row>
    <row r="37" spans="2:11" x14ac:dyDescent="0.2">
      <c r="B37" s="94" t="s">
        <v>16</v>
      </c>
      <c r="C37" s="117"/>
      <c r="E37" s="94" t="s">
        <v>461</v>
      </c>
    </row>
    <row r="38" spans="2:11" x14ac:dyDescent="0.2">
      <c r="C38" s="118"/>
    </row>
    <row r="39" spans="2:11" x14ac:dyDescent="0.2">
      <c r="B39" s="94" t="s">
        <v>6</v>
      </c>
      <c r="C39" s="119" t="s">
        <v>462</v>
      </c>
      <c r="E39" s="94" t="s">
        <v>8</v>
      </c>
    </row>
    <row r="41" spans="2:11" x14ac:dyDescent="0.2">
      <c r="B41" s="120" t="s">
        <v>18</v>
      </c>
      <c r="C41" s="102"/>
      <c r="E41" s="94" t="s">
        <v>19</v>
      </c>
    </row>
    <row r="42" spans="2:11" x14ac:dyDescent="0.2">
      <c r="B42" s="100"/>
      <c r="C42" s="102"/>
    </row>
  </sheetData>
  <pageMargins left="0.74803149606299213" right="0.74803149606299213" top="0.51181102362204722" bottom="0.51181102362204722" header="0.51181102362204722" footer="0.35433070866141736"/>
  <pageSetup paperSize="9" fitToHeight="0" orientation="landscape"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5FF5-EA7E-4EED-940E-63C4A7BCFED7}">
  <sheetPr codeName="Sheet5">
    <tabColor rgb="FFFF0000"/>
  </sheetPr>
  <dimension ref="A1"/>
  <sheetViews>
    <sheetView showGridLines="0" workbookViewId="0"/>
  </sheetViews>
  <sheetFormatPr defaultColWidth="8.7109375" defaultRowHeight="12" x14ac:dyDescent="0.2"/>
  <cols>
    <col min="1" max="16384" width="8.7109375" style="21"/>
  </cols>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05125-2580-4189-9698-6003F3F7D4D3}">
  <sheetPr codeName="Sheet15">
    <pageSetUpPr autoPageBreaks="0"/>
  </sheetPr>
  <dimension ref="A1:H48"/>
  <sheetViews>
    <sheetView defaultGridColor="0" colorId="22" zoomScaleNormal="100" workbookViewId="0">
      <pane ySplit="1" topLeftCell="A2" activePane="bottomLeft" state="frozen"/>
      <selection activeCell="O57" sqref="O57"/>
      <selection pane="bottomLeft"/>
    </sheetView>
  </sheetViews>
  <sheetFormatPr defaultColWidth="12.7109375" defaultRowHeight="12" x14ac:dyDescent="0.2"/>
  <cols>
    <col min="1" max="1" width="17.7109375" style="87" customWidth="1"/>
    <col min="2" max="2" width="40.7109375" style="87" customWidth="1"/>
    <col min="3" max="3" width="23.7109375" style="87" customWidth="1"/>
    <col min="4" max="4" width="12.7109375" style="87" customWidth="1"/>
    <col min="5" max="5" width="21.7109375" style="87" bestFit="1" customWidth="1"/>
    <col min="6" max="6" width="25.7109375" style="87" customWidth="1"/>
    <col min="7" max="16384" width="12.7109375" style="87"/>
  </cols>
  <sheetData>
    <row r="1" spans="1:7" s="122" customFormat="1" ht="40.5" customHeight="1" x14ac:dyDescent="0.2">
      <c r="A1" s="121" t="s">
        <v>20</v>
      </c>
      <c r="G1" s="122" t="s">
        <v>13</v>
      </c>
    </row>
    <row r="2" spans="1:7" s="135" customFormat="1" ht="12.75" x14ac:dyDescent="0.2"/>
    <row r="3" spans="1:7" s="135" customFormat="1" ht="12.75" x14ac:dyDescent="0.2">
      <c r="B3" s="135" t="s">
        <v>26</v>
      </c>
      <c r="C3" s="136" t="s">
        <v>366</v>
      </c>
      <c r="E3" s="136"/>
    </row>
    <row r="4" spans="1:7" s="135" customFormat="1" ht="43.15" customHeight="1" x14ac:dyDescent="0.2">
      <c r="F4" s="135" t="s">
        <v>365</v>
      </c>
    </row>
    <row r="5" spans="1:7" s="135" customFormat="1" ht="12.75" x14ac:dyDescent="0.2">
      <c r="B5" s="135" t="s">
        <v>27</v>
      </c>
      <c r="C5" s="135" t="s">
        <v>28</v>
      </c>
      <c r="D5" s="141">
        <v>3</v>
      </c>
      <c r="E5" s="138"/>
      <c r="F5" s="135">
        <v>113</v>
      </c>
    </row>
    <row r="6" spans="1:7" s="135" customFormat="1" ht="12.75" x14ac:dyDescent="0.2">
      <c r="B6" s="135" t="s">
        <v>29</v>
      </c>
      <c r="C6" s="135" t="s">
        <v>28</v>
      </c>
      <c r="D6" s="141">
        <v>1</v>
      </c>
      <c r="E6" s="138"/>
      <c r="F6" s="135">
        <v>113</v>
      </c>
    </row>
    <row r="7" spans="1:7" s="135" customFormat="1" ht="12.75" x14ac:dyDescent="0.2">
      <c r="A7" s="139"/>
      <c r="C7" s="140"/>
    </row>
    <row r="8" spans="1:7" s="135" customFormat="1" ht="12.75" x14ac:dyDescent="0.2">
      <c r="A8" s="139"/>
      <c r="B8" s="135" t="s">
        <v>30</v>
      </c>
      <c r="C8" s="135" t="s">
        <v>31</v>
      </c>
      <c r="D8" s="137">
        <v>7000</v>
      </c>
      <c r="E8" s="138"/>
      <c r="F8" s="135">
        <v>113</v>
      </c>
    </row>
    <row r="9" spans="1:7" s="135" customFormat="1" ht="12.75" x14ac:dyDescent="0.2"/>
    <row r="10" spans="1:7" s="135" customFormat="1" ht="12.75" x14ac:dyDescent="0.2">
      <c r="B10" s="135" t="s">
        <v>32</v>
      </c>
      <c r="C10" s="135" t="s">
        <v>33</v>
      </c>
      <c r="D10" s="137">
        <v>100000</v>
      </c>
      <c r="E10" s="138"/>
      <c r="F10" s="135">
        <v>114</v>
      </c>
    </row>
    <row r="11" spans="1:7" s="135" customFormat="1" ht="12.75" x14ac:dyDescent="0.2">
      <c r="B11" s="135" t="s">
        <v>34</v>
      </c>
      <c r="C11" s="135" t="s">
        <v>33</v>
      </c>
      <c r="D11" s="137">
        <v>10000</v>
      </c>
      <c r="E11" s="138"/>
      <c r="F11" s="135">
        <v>114</v>
      </c>
    </row>
    <row r="12" spans="1:7" s="135" customFormat="1" ht="12.75" x14ac:dyDescent="0.2"/>
    <row r="13" spans="1:7" s="135" customFormat="1" ht="12.75" x14ac:dyDescent="0.2">
      <c r="B13" s="135" t="s">
        <v>35</v>
      </c>
      <c r="C13" s="135" t="s">
        <v>36</v>
      </c>
      <c r="D13" s="137">
        <v>1000</v>
      </c>
      <c r="E13" s="138"/>
      <c r="F13" s="135">
        <v>114</v>
      </c>
    </row>
    <row r="14" spans="1:7" s="135" customFormat="1" ht="12.75" x14ac:dyDescent="0.2">
      <c r="B14" s="135" t="s">
        <v>37</v>
      </c>
      <c r="C14" s="135" t="s">
        <v>36</v>
      </c>
      <c r="D14" s="137">
        <v>5000</v>
      </c>
      <c r="E14" s="138"/>
      <c r="F14" s="135">
        <v>114</v>
      </c>
    </row>
    <row r="15" spans="1:7" s="135" customFormat="1" ht="12.75" x14ac:dyDescent="0.2"/>
    <row r="16" spans="1:7" s="135" customFormat="1" ht="12.75" x14ac:dyDescent="0.2">
      <c r="B16" s="135" t="s">
        <v>38</v>
      </c>
      <c r="C16" s="135" t="s">
        <v>39</v>
      </c>
      <c r="D16" s="142">
        <v>0.5</v>
      </c>
      <c r="E16" s="138"/>
      <c r="F16" s="135">
        <v>114</v>
      </c>
    </row>
    <row r="17" spans="2:6" s="135" customFormat="1" ht="12.75" x14ac:dyDescent="0.2">
      <c r="B17" s="135" t="s">
        <v>40</v>
      </c>
      <c r="C17" s="135" t="s">
        <v>39</v>
      </c>
      <c r="D17" s="142">
        <v>0.5</v>
      </c>
      <c r="E17" s="138"/>
      <c r="F17" s="135">
        <v>115</v>
      </c>
    </row>
    <row r="18" spans="2:6" s="135" customFormat="1" ht="12.75" x14ac:dyDescent="0.2">
      <c r="B18" s="135" t="s">
        <v>41</v>
      </c>
      <c r="C18" s="135" t="s">
        <v>42</v>
      </c>
      <c r="D18" s="142">
        <v>0.12</v>
      </c>
      <c r="E18" s="138"/>
      <c r="F18" s="135">
        <v>115</v>
      </c>
    </row>
    <row r="19" spans="2:6" s="135" customFormat="1" ht="12.75" x14ac:dyDescent="0.2"/>
    <row r="20" spans="2:6" s="135" customFormat="1" ht="12.75" x14ac:dyDescent="0.2">
      <c r="B20" s="135" t="s">
        <v>43</v>
      </c>
      <c r="C20" s="135" t="s">
        <v>44</v>
      </c>
      <c r="D20" s="141">
        <v>7</v>
      </c>
      <c r="E20" s="138"/>
      <c r="F20" s="135">
        <v>117</v>
      </c>
    </row>
    <row r="21" spans="2:6" s="135" customFormat="1" ht="12.75" x14ac:dyDescent="0.2">
      <c r="B21" s="135" t="s">
        <v>45</v>
      </c>
      <c r="C21" s="135" t="s">
        <v>44</v>
      </c>
      <c r="D21" s="141">
        <v>20</v>
      </c>
      <c r="E21" s="138"/>
      <c r="F21" s="135">
        <v>117</v>
      </c>
    </row>
    <row r="22" spans="2:6" s="135" customFormat="1" ht="12.75" x14ac:dyDescent="0.2"/>
    <row r="23" spans="2:6" s="135" customFormat="1" ht="12.75" x14ac:dyDescent="0.2">
      <c r="E23" s="138"/>
    </row>
    <row r="24" spans="2:6" s="135" customFormat="1" ht="12.75" x14ac:dyDescent="0.2"/>
    <row r="25" spans="2:6" x14ac:dyDescent="0.2">
      <c r="C25" s="123"/>
      <c r="D25" s="124"/>
      <c r="E25" s="125"/>
      <c r="F25" s="126"/>
    </row>
    <row r="26" spans="2:6" x14ac:dyDescent="0.2">
      <c r="C26" s="123"/>
      <c r="D26" s="124"/>
      <c r="E26" s="125"/>
      <c r="F26" s="126"/>
    </row>
    <row r="27" spans="2:6" x14ac:dyDescent="0.2">
      <c r="C27" s="123"/>
      <c r="D27" s="124"/>
      <c r="E27" s="125"/>
      <c r="F27" s="126"/>
    </row>
    <row r="28" spans="2:6" x14ac:dyDescent="0.2">
      <c r="C28" s="123"/>
      <c r="D28" s="124"/>
      <c r="E28" s="125"/>
      <c r="F28" s="126"/>
    </row>
    <row r="29" spans="2:6" x14ac:dyDescent="0.2">
      <c r="C29" s="123"/>
      <c r="D29" s="124"/>
      <c r="E29" s="125"/>
      <c r="F29" s="126"/>
    </row>
    <row r="30" spans="2:6" x14ac:dyDescent="0.2">
      <c r="C30" s="123"/>
      <c r="D30" s="124"/>
      <c r="E30" s="125"/>
      <c r="F30" s="126"/>
    </row>
    <row r="31" spans="2:6" x14ac:dyDescent="0.2">
      <c r="C31" s="123"/>
      <c r="D31" s="124"/>
      <c r="E31" s="125"/>
      <c r="F31" s="126"/>
    </row>
    <row r="32" spans="2:6" x14ac:dyDescent="0.2">
      <c r="C32" s="123"/>
      <c r="D32" s="123"/>
      <c r="F32" s="127"/>
    </row>
    <row r="33" spans="1:8" x14ac:dyDescent="0.2">
      <c r="C33" s="123"/>
      <c r="D33" s="124"/>
      <c r="E33" s="125"/>
      <c r="F33" s="126"/>
    </row>
    <row r="34" spans="1:8" x14ac:dyDescent="0.2">
      <c r="C34" s="123"/>
      <c r="D34" s="123"/>
      <c r="E34" s="127"/>
      <c r="F34" s="127"/>
    </row>
    <row r="35" spans="1:8" ht="15" x14ac:dyDescent="0.2">
      <c r="A35" s="128"/>
      <c r="C35" s="123"/>
      <c r="D35" s="123"/>
      <c r="F35" s="127"/>
    </row>
    <row r="36" spans="1:8" x14ac:dyDescent="0.2">
      <c r="C36" s="123"/>
      <c r="D36" s="123"/>
      <c r="F36" s="127"/>
    </row>
    <row r="37" spans="1:8" x14ac:dyDescent="0.2">
      <c r="C37" s="123"/>
      <c r="D37" s="123"/>
      <c r="E37" s="129"/>
      <c r="F37" s="127"/>
      <c r="G37" s="129"/>
      <c r="H37" s="129"/>
    </row>
    <row r="38" spans="1:8" x14ac:dyDescent="0.2">
      <c r="C38" s="124"/>
      <c r="D38" s="124"/>
      <c r="F38" s="127"/>
    </row>
    <row r="39" spans="1:8" x14ac:dyDescent="0.2">
      <c r="C39" s="124"/>
      <c r="D39" s="124"/>
      <c r="F39" s="127"/>
    </row>
    <row r="40" spans="1:8" x14ac:dyDescent="0.2">
      <c r="C40" s="124"/>
      <c r="D40" s="124"/>
      <c r="F40" s="127"/>
    </row>
    <row r="41" spans="1:8" x14ac:dyDescent="0.2">
      <c r="C41" s="123"/>
      <c r="D41" s="123"/>
      <c r="F41" s="127"/>
    </row>
    <row r="42" spans="1:8" x14ac:dyDescent="0.2">
      <c r="C42" s="123"/>
      <c r="D42" s="130"/>
      <c r="F42" s="127"/>
    </row>
    <row r="43" spans="1:8" x14ac:dyDescent="0.2">
      <c r="C43" s="123"/>
      <c r="D43" s="130"/>
      <c r="F43" s="127"/>
    </row>
    <row r="44" spans="1:8" ht="15.75" x14ac:dyDescent="0.2">
      <c r="A44" s="131"/>
      <c r="C44" s="123"/>
      <c r="D44" s="132"/>
    </row>
    <row r="45" spans="1:8" x14ac:dyDescent="0.2">
      <c r="C45" s="123"/>
      <c r="D45" s="123"/>
    </row>
    <row r="46" spans="1:8" ht="15.75" x14ac:dyDescent="0.2">
      <c r="A46" s="131"/>
      <c r="C46" s="123"/>
      <c r="D46" s="133"/>
    </row>
    <row r="47" spans="1:8" ht="15.75" x14ac:dyDescent="0.2">
      <c r="A47" s="131"/>
      <c r="C47" s="123"/>
      <c r="D47" s="133"/>
    </row>
    <row r="48" spans="1:8" x14ac:dyDescent="0.2">
      <c r="C48" s="123"/>
      <c r="D48" s="134"/>
    </row>
  </sheetData>
  <dataValidations count="1">
    <dataValidation type="list" allowBlank="1" showInputMessage="1" showErrorMessage="1" sqref="E25:E31 E33" xr:uid="{1216BD69-1B84-492D-A589-5F4B766BDCD6}">
      <formula1>"CAPEX, OPEX"</formula1>
    </dataValidation>
  </dataValidations>
  <hyperlinks>
    <hyperlink ref="C3" r:id="rId1" xr:uid="{4A0EB2EF-C816-43FA-AF56-6BAD1683C66A}"/>
  </hyperlinks>
  <pageMargins left="0.70866141732283472" right="0.70866141732283472" top="0.51181102362204722" bottom="0.51181102362204722" header="0.51181102362204722" footer="0.35433070866141736"/>
  <pageSetup paperSize="9" orientation="landscape" horizontalDpi="4294967292" verticalDpi="4294967292"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E6C61-6462-4BAE-9D9D-35BBF10F9CDD}">
  <sheetPr codeName="Sheet3"/>
  <dimension ref="A1:BF162"/>
  <sheetViews>
    <sheetView workbookViewId="0">
      <pane xSplit="4" ySplit="9" topLeftCell="E10" activePane="bottomRight" state="frozen"/>
      <selection activeCell="B156" sqref="B156:AJ166"/>
      <selection pane="topRight" activeCell="B156" sqref="B156:AJ166"/>
      <selection pane="bottomLeft" activeCell="B156" sqref="B156:AJ166"/>
      <selection pane="bottomRight"/>
    </sheetView>
  </sheetViews>
  <sheetFormatPr defaultColWidth="9.28515625" defaultRowHeight="12" x14ac:dyDescent="0.2"/>
  <cols>
    <col min="1" max="3" width="9.28515625" style="16"/>
    <col min="4" max="4" width="20.7109375" style="16" customWidth="1"/>
    <col min="5" max="16384" width="9.28515625" style="16"/>
  </cols>
  <sheetData>
    <row r="1" spans="1:58" x14ac:dyDescent="0.2">
      <c r="A1" s="22" t="s">
        <v>135</v>
      </c>
    </row>
    <row r="2" spans="1:58" x14ac:dyDescent="0.2">
      <c r="A2" s="74" t="s">
        <v>136</v>
      </c>
    </row>
    <row r="3" spans="1:58" x14ac:dyDescent="0.2">
      <c r="A3" s="74" t="s">
        <v>137</v>
      </c>
    </row>
    <row r="4" spans="1:58" x14ac:dyDescent="0.2">
      <c r="A4" s="16" t="s">
        <v>138</v>
      </c>
    </row>
    <row r="7" spans="1:58" x14ac:dyDescent="0.2">
      <c r="A7" s="38"/>
      <c r="B7" s="38"/>
      <c r="C7" s="38"/>
      <c r="D7" s="38"/>
      <c r="E7" s="38"/>
      <c r="F7" s="38"/>
      <c r="G7" s="38"/>
      <c r="H7" s="39" t="s">
        <v>139</v>
      </c>
      <c r="I7" s="39" t="s">
        <v>140</v>
      </c>
      <c r="J7" s="39" t="s">
        <v>141</v>
      </c>
      <c r="K7" s="39" t="s">
        <v>142</v>
      </c>
      <c r="L7" s="39" t="s">
        <v>143</v>
      </c>
      <c r="M7" s="39" t="s">
        <v>144</v>
      </c>
      <c r="N7" s="39" t="s">
        <v>145</v>
      </c>
      <c r="O7" s="39" t="s">
        <v>146</v>
      </c>
      <c r="P7" s="39" t="s">
        <v>147</v>
      </c>
      <c r="Q7" s="39" t="s">
        <v>148</v>
      </c>
      <c r="R7" s="39" t="s">
        <v>149</v>
      </c>
      <c r="S7" s="39" t="s">
        <v>150</v>
      </c>
      <c r="T7" s="39" t="s">
        <v>151</v>
      </c>
      <c r="U7" s="39" t="s">
        <v>152</v>
      </c>
      <c r="V7" s="39" t="s">
        <v>153</v>
      </c>
      <c r="W7" s="39" t="s">
        <v>154</v>
      </c>
      <c r="X7" s="39" t="s">
        <v>155</v>
      </c>
      <c r="Y7" s="39" t="s">
        <v>156</v>
      </c>
      <c r="Z7" s="39" t="s">
        <v>157</v>
      </c>
      <c r="AA7" s="39" t="s">
        <v>158</v>
      </c>
      <c r="AB7" s="39" t="s">
        <v>159</v>
      </c>
      <c r="AC7" s="39" t="s">
        <v>160</v>
      </c>
      <c r="AD7" s="39" t="s">
        <v>161</v>
      </c>
      <c r="AE7" s="39" t="s">
        <v>162</v>
      </c>
      <c r="AF7" s="39" t="s">
        <v>163</v>
      </c>
      <c r="AG7" s="39" t="s">
        <v>164</v>
      </c>
      <c r="AH7" s="39" t="s">
        <v>165</v>
      </c>
      <c r="AI7" s="39" t="s">
        <v>166</v>
      </c>
      <c r="AJ7" s="39" t="s">
        <v>167</v>
      </c>
      <c r="AK7" s="39" t="s">
        <v>168</v>
      </c>
      <c r="AL7" s="39" t="s">
        <v>169</v>
      </c>
      <c r="AM7" s="39" t="s">
        <v>170</v>
      </c>
      <c r="AN7" s="39" t="s">
        <v>171</v>
      </c>
      <c r="AO7" s="39" t="s">
        <v>172</v>
      </c>
      <c r="AP7" s="39" t="s">
        <v>173</v>
      </c>
      <c r="AQ7" s="39" t="s">
        <v>174</v>
      </c>
      <c r="AR7" s="39" t="s">
        <v>175</v>
      </c>
      <c r="AS7" s="39" t="s">
        <v>176</v>
      </c>
      <c r="AT7" s="39" t="s">
        <v>177</v>
      </c>
      <c r="AU7" s="39" t="s">
        <v>178</v>
      </c>
      <c r="AV7" s="39" t="s">
        <v>179</v>
      </c>
      <c r="AW7" s="39" t="s">
        <v>180</v>
      </c>
      <c r="AX7" s="39" t="s">
        <v>181</v>
      </c>
      <c r="AY7" s="39" t="s">
        <v>182</v>
      </c>
      <c r="AZ7" s="39" t="s">
        <v>183</v>
      </c>
      <c r="BA7" s="39" t="s">
        <v>184</v>
      </c>
      <c r="BB7" s="39" t="s">
        <v>185</v>
      </c>
      <c r="BC7" s="39" t="s">
        <v>186</v>
      </c>
      <c r="BD7" s="39" t="s">
        <v>187</v>
      </c>
      <c r="BE7" s="39" t="s">
        <v>188</v>
      </c>
      <c r="BF7" s="38"/>
    </row>
    <row r="8" spans="1:58" x14ac:dyDescent="0.2">
      <c r="A8" s="38"/>
      <c r="B8" s="38"/>
      <c r="C8" s="38"/>
      <c r="D8" s="38"/>
      <c r="E8" s="38"/>
      <c r="F8" s="38"/>
      <c r="G8" s="38"/>
      <c r="H8" s="40">
        <v>1990</v>
      </c>
      <c r="I8" s="40">
        <v>1991</v>
      </c>
      <c r="J8" s="40">
        <v>1992</v>
      </c>
      <c r="K8" s="40">
        <v>1993</v>
      </c>
      <c r="L8" s="40">
        <v>1994</v>
      </c>
      <c r="M8" s="40">
        <v>1995</v>
      </c>
      <c r="N8" s="40">
        <v>1996</v>
      </c>
      <c r="O8" s="40">
        <v>1997</v>
      </c>
      <c r="P8" s="40">
        <v>1998</v>
      </c>
      <c r="Q8" s="40">
        <v>1999</v>
      </c>
      <c r="R8" s="40">
        <v>2000</v>
      </c>
      <c r="S8" s="40">
        <v>2001</v>
      </c>
      <c r="T8" s="40">
        <v>2002</v>
      </c>
      <c r="U8" s="40">
        <v>2003</v>
      </c>
      <c r="V8" s="40">
        <v>2004</v>
      </c>
      <c r="W8" s="40">
        <v>2005</v>
      </c>
      <c r="X8" s="40">
        <v>2006</v>
      </c>
      <c r="Y8" s="40">
        <v>2007</v>
      </c>
      <c r="Z8" s="40">
        <v>2008</v>
      </c>
      <c r="AA8" s="40">
        <v>2009</v>
      </c>
      <c r="AB8" s="40">
        <v>2010</v>
      </c>
      <c r="AC8" s="40">
        <v>2011</v>
      </c>
      <c r="AD8" s="40">
        <v>2012</v>
      </c>
      <c r="AE8" s="40">
        <v>2013</v>
      </c>
      <c r="AF8" s="40">
        <v>2014</v>
      </c>
      <c r="AG8" s="40">
        <v>2015</v>
      </c>
      <c r="AH8" s="40">
        <v>2016</v>
      </c>
      <c r="AI8" s="40">
        <v>2017</v>
      </c>
      <c r="AJ8" s="40">
        <v>2018</v>
      </c>
      <c r="AK8" s="40">
        <v>2019</v>
      </c>
      <c r="AL8" s="40">
        <v>2020</v>
      </c>
      <c r="AM8" s="40">
        <v>2021</v>
      </c>
      <c r="AN8" s="40">
        <v>2022</v>
      </c>
      <c r="AO8" s="40">
        <v>2023</v>
      </c>
      <c r="AP8" s="40">
        <v>2024</v>
      </c>
      <c r="AQ8" s="40">
        <v>2025</v>
      </c>
      <c r="AR8" s="40">
        <v>2026</v>
      </c>
      <c r="AS8" s="40">
        <v>2027</v>
      </c>
      <c r="AT8" s="40">
        <v>2028</v>
      </c>
      <c r="AU8" s="40">
        <v>2029</v>
      </c>
      <c r="AV8" s="40">
        <v>2030</v>
      </c>
      <c r="AW8" s="40">
        <v>2031</v>
      </c>
      <c r="AX8" s="40">
        <v>2032</v>
      </c>
      <c r="AY8" s="40">
        <v>2033</v>
      </c>
      <c r="AZ8" s="40">
        <v>2034</v>
      </c>
      <c r="BA8" s="40">
        <v>2035</v>
      </c>
      <c r="BB8" s="40">
        <v>2036</v>
      </c>
      <c r="BC8" s="40">
        <v>2037</v>
      </c>
      <c r="BD8" s="40">
        <v>2038</v>
      </c>
      <c r="BE8" s="40">
        <v>2039</v>
      </c>
      <c r="BF8" s="38"/>
    </row>
    <row r="9" spans="1:58" ht="18" x14ac:dyDescent="0.2">
      <c r="A9" s="41" t="s">
        <v>189</v>
      </c>
      <c r="B9" s="42"/>
      <c r="C9" s="42"/>
      <c r="D9" s="42"/>
      <c r="E9" s="42"/>
      <c r="F9" s="42"/>
      <c r="G9" s="42"/>
      <c r="H9" s="43" t="s">
        <v>190</v>
      </c>
      <c r="I9" s="42"/>
      <c r="J9" s="42"/>
      <c r="K9" s="42"/>
      <c r="L9" s="42"/>
      <c r="M9" s="42"/>
      <c r="N9" s="42"/>
      <c r="O9" s="42"/>
      <c r="P9" s="42"/>
      <c r="Q9" s="42"/>
      <c r="R9" s="42"/>
      <c r="S9" s="42"/>
      <c r="T9" s="42"/>
      <c r="U9" s="42"/>
      <c r="V9" s="42"/>
      <c r="W9" s="42"/>
      <c r="X9" s="42"/>
      <c r="Y9" s="42"/>
      <c r="Z9" s="42"/>
      <c r="AA9" s="43" t="s">
        <v>191</v>
      </c>
      <c r="AB9" s="42"/>
      <c r="AC9" s="42"/>
      <c r="AD9" s="42"/>
      <c r="AE9" s="42"/>
      <c r="AF9" s="43" t="s">
        <v>192</v>
      </c>
      <c r="AG9" s="42"/>
      <c r="AH9" s="42"/>
      <c r="AI9" s="42"/>
      <c r="AJ9" s="42"/>
      <c r="AK9" s="42"/>
      <c r="AL9" s="42"/>
      <c r="AM9" s="44"/>
      <c r="AN9" s="42"/>
      <c r="AO9" s="42"/>
      <c r="AP9" s="42"/>
      <c r="AQ9" s="42"/>
      <c r="AR9" s="42"/>
      <c r="AS9" s="42"/>
      <c r="AT9" s="42"/>
      <c r="AU9" s="42"/>
      <c r="AV9" s="42"/>
      <c r="AW9" s="42"/>
      <c r="AX9" s="42"/>
      <c r="AY9" s="42"/>
      <c r="AZ9" s="42"/>
      <c r="BA9" s="42"/>
      <c r="BB9" s="42"/>
      <c r="BC9" s="42"/>
      <c r="BD9" s="42"/>
      <c r="BE9" s="42"/>
      <c r="BF9" s="38"/>
    </row>
    <row r="10" spans="1:58" x14ac:dyDescent="0.2">
      <c r="A10" s="40">
        <v>1</v>
      </c>
      <c r="B10" s="45" t="s">
        <v>193</v>
      </c>
      <c r="C10" s="45" t="s">
        <v>193</v>
      </c>
      <c r="D10" s="38"/>
      <c r="E10" s="38" t="s">
        <v>194</v>
      </c>
      <c r="F10" s="38"/>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2"/>
    </row>
    <row r="11" spans="1:58" x14ac:dyDescent="0.2">
      <c r="A11" s="40">
        <v>2</v>
      </c>
      <c r="B11" s="45" t="s">
        <v>195</v>
      </c>
      <c r="C11" s="45" t="s">
        <v>196</v>
      </c>
      <c r="D11" s="38"/>
      <c r="E11" s="38" t="s">
        <v>194</v>
      </c>
      <c r="F11" s="38"/>
      <c r="H11" s="47">
        <v>0</v>
      </c>
      <c r="I11" s="47">
        <v>0</v>
      </c>
      <c r="J11" s="47">
        <v>0</v>
      </c>
      <c r="K11" s="47">
        <v>0</v>
      </c>
      <c r="L11" s="47">
        <v>0</v>
      </c>
      <c r="M11" s="47">
        <v>0</v>
      </c>
      <c r="N11" s="47">
        <v>0</v>
      </c>
      <c r="O11" s="47">
        <v>0</v>
      </c>
      <c r="P11" s="47">
        <v>0</v>
      </c>
      <c r="Q11" s="47">
        <v>0</v>
      </c>
      <c r="R11" s="48">
        <v>0</v>
      </c>
      <c r="S11" s="48">
        <v>0</v>
      </c>
      <c r="T11" s="48">
        <v>0</v>
      </c>
      <c r="U11" s="48">
        <v>0</v>
      </c>
      <c r="V11" s="48">
        <v>0</v>
      </c>
      <c r="W11" s="48">
        <v>0</v>
      </c>
      <c r="X11" s="48">
        <v>0</v>
      </c>
      <c r="Y11" s="48">
        <v>0</v>
      </c>
      <c r="Z11" s="48">
        <v>0.01</v>
      </c>
      <c r="AA11" s="49">
        <v>-0.15</v>
      </c>
      <c r="AB11" s="49">
        <v>-0.15</v>
      </c>
      <c r="AC11" s="49">
        <v>-0.15</v>
      </c>
      <c r="AD11" s="50">
        <v>7.0000000000000001E-3</v>
      </c>
      <c r="AE11" s="50">
        <v>7.0000000000000001E-3</v>
      </c>
      <c r="AF11" s="47">
        <v>0.02</v>
      </c>
      <c r="AG11" s="47">
        <v>5.0000000000000001E-3</v>
      </c>
      <c r="AH11" s="47">
        <v>5.0000000000000001E-3</v>
      </c>
      <c r="AI11" s="47">
        <v>5.0000000000000001E-3</v>
      </c>
      <c r="AJ11" s="47">
        <v>0</v>
      </c>
      <c r="AK11" s="47">
        <v>0</v>
      </c>
      <c r="AL11" s="47">
        <v>0</v>
      </c>
      <c r="AM11" s="47">
        <v>0</v>
      </c>
      <c r="AN11" s="47">
        <v>0</v>
      </c>
      <c r="AO11" s="47">
        <v>0</v>
      </c>
      <c r="AP11" s="47">
        <v>0</v>
      </c>
      <c r="AQ11" s="47">
        <v>0</v>
      </c>
      <c r="AR11" s="47">
        <v>0</v>
      </c>
      <c r="AS11" s="51">
        <v>0</v>
      </c>
      <c r="AT11" s="51">
        <v>0</v>
      </c>
      <c r="AU11" s="51">
        <v>0</v>
      </c>
      <c r="AV11" s="51">
        <v>0</v>
      </c>
      <c r="AW11" s="51">
        <v>0</v>
      </c>
      <c r="AX11" s="51">
        <v>0</v>
      </c>
      <c r="AY11" s="51">
        <v>0</v>
      </c>
      <c r="AZ11" s="51">
        <v>0</v>
      </c>
      <c r="BA11" s="51">
        <v>0</v>
      </c>
      <c r="BB11" s="51">
        <v>0</v>
      </c>
      <c r="BC11" s="51">
        <v>0</v>
      </c>
      <c r="BD11" s="51">
        <v>0</v>
      </c>
      <c r="BE11" s="51">
        <v>0</v>
      </c>
      <c r="BF11" s="38"/>
    </row>
    <row r="12" spans="1:58" x14ac:dyDescent="0.2">
      <c r="A12" s="40">
        <v>3</v>
      </c>
      <c r="B12" s="45" t="s">
        <v>197</v>
      </c>
      <c r="C12" s="45" t="s">
        <v>198</v>
      </c>
      <c r="D12" s="38"/>
      <c r="E12" s="38" t="s">
        <v>194</v>
      </c>
      <c r="F12" s="38"/>
      <c r="H12" s="51">
        <v>-0.05</v>
      </c>
      <c r="I12" s="51">
        <v>-0.05</v>
      </c>
      <c r="J12" s="51">
        <v>-0.05</v>
      </c>
      <c r="K12" s="51">
        <v>-0.05</v>
      </c>
      <c r="L12" s="51">
        <v>-0.05</v>
      </c>
      <c r="M12" s="51">
        <v>-0.05</v>
      </c>
      <c r="N12" s="51">
        <v>-0.05</v>
      </c>
      <c r="O12" s="51">
        <v>-0.05</v>
      </c>
      <c r="P12" s="51">
        <v>-7.7200000000000005E-2</v>
      </c>
      <c r="Q12" s="51">
        <v>-6.6900000000000001E-2</v>
      </c>
      <c r="R12" s="51">
        <v>-7.0000000000000007E-2</v>
      </c>
      <c r="S12" s="51">
        <v>-0.06</v>
      </c>
      <c r="T12" s="51">
        <v>-0.05</v>
      </c>
      <c r="U12" s="51">
        <v>-0.05</v>
      </c>
      <c r="V12" s="51">
        <v>-0.05</v>
      </c>
      <c r="W12" s="52">
        <v>-0.25</v>
      </c>
      <c r="X12" s="52">
        <v>-0.2</v>
      </c>
      <c r="Y12" s="52">
        <v>-0.2</v>
      </c>
      <c r="Z12" s="52">
        <v>-0.15</v>
      </c>
      <c r="AA12" s="49">
        <v>-0.42080000000000001</v>
      </c>
      <c r="AB12" s="49">
        <v>-0.42080000000000001</v>
      </c>
      <c r="AC12" s="49">
        <v>-0.42080000000000001</v>
      </c>
      <c r="AD12" s="50">
        <v>-0.04</v>
      </c>
      <c r="AE12" s="50">
        <v>-0.04</v>
      </c>
      <c r="AF12" s="53">
        <v>-0.04</v>
      </c>
      <c r="AG12" s="53">
        <v>-0.04</v>
      </c>
      <c r="AH12" s="53">
        <v>-0.04</v>
      </c>
      <c r="AI12" s="53">
        <v>-0.04</v>
      </c>
      <c r="AJ12" s="53">
        <v>-0.04</v>
      </c>
      <c r="AK12" s="53">
        <v>-0.04</v>
      </c>
      <c r="AL12" s="53">
        <v>-0.02</v>
      </c>
      <c r="AM12" s="53">
        <v>-0.01</v>
      </c>
      <c r="AN12" s="53">
        <v>-5.0000000000000001E-3</v>
      </c>
      <c r="AO12" s="53">
        <v>-2.5000000000000001E-3</v>
      </c>
      <c r="AP12" s="53">
        <v>-1.25E-3</v>
      </c>
      <c r="AQ12" s="53">
        <v>-6.2500000000000001E-4</v>
      </c>
      <c r="AR12" s="53">
        <v>-3.1250000000000001E-4</v>
      </c>
      <c r="AS12" s="51">
        <v>0</v>
      </c>
      <c r="AT12" s="51">
        <v>0</v>
      </c>
      <c r="AU12" s="51">
        <v>0</v>
      </c>
      <c r="AV12" s="51">
        <v>0</v>
      </c>
      <c r="AW12" s="51">
        <v>0</v>
      </c>
      <c r="AX12" s="51">
        <v>0</v>
      </c>
      <c r="AY12" s="51">
        <v>0</v>
      </c>
      <c r="AZ12" s="51">
        <v>0</v>
      </c>
      <c r="BA12" s="51">
        <v>0</v>
      </c>
      <c r="BB12" s="51">
        <v>0</v>
      </c>
      <c r="BC12" s="51">
        <v>0</v>
      </c>
      <c r="BD12" s="51">
        <v>0</v>
      </c>
      <c r="BE12" s="51">
        <v>0</v>
      </c>
    </row>
    <row r="13" spans="1:58" x14ac:dyDescent="0.2">
      <c r="A13" s="40">
        <v>4</v>
      </c>
      <c r="B13" s="45" t="s">
        <v>193</v>
      </c>
      <c r="C13" s="45" t="s">
        <v>193</v>
      </c>
      <c r="D13" s="38"/>
      <c r="E13" s="38" t="s">
        <v>194</v>
      </c>
      <c r="F13" s="38"/>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row>
    <row r="14" spans="1:58" x14ac:dyDescent="0.2">
      <c r="A14" s="40">
        <v>5</v>
      </c>
      <c r="B14" s="45" t="s">
        <v>197</v>
      </c>
      <c r="C14" s="45" t="s">
        <v>199</v>
      </c>
      <c r="D14" s="38"/>
      <c r="E14" s="38" t="s">
        <v>194</v>
      </c>
      <c r="F14" s="38"/>
      <c r="H14" s="54">
        <v>-0.05</v>
      </c>
      <c r="I14" s="54">
        <v>-0.05</v>
      </c>
      <c r="J14" s="54">
        <v>-0.05</v>
      </c>
      <c r="K14" s="54">
        <v>-0.05</v>
      </c>
      <c r="L14" s="54">
        <v>-0.05</v>
      </c>
      <c r="M14" s="54">
        <v>-0.05</v>
      </c>
      <c r="N14" s="54">
        <v>-0.05</v>
      </c>
      <c r="O14" s="54">
        <v>-0.05</v>
      </c>
      <c r="P14" s="54">
        <v>-7.7200000000000005E-2</v>
      </c>
      <c r="Q14" s="54">
        <v>-6.6900000000000001E-2</v>
      </c>
      <c r="R14" s="54">
        <v>-7.0000000000000007E-2</v>
      </c>
      <c r="S14" s="54">
        <v>-0.06</v>
      </c>
      <c r="T14" s="54">
        <v>-0.05</v>
      </c>
      <c r="U14" s="54">
        <v>-0.05</v>
      </c>
      <c r="V14" s="54">
        <v>-0.05</v>
      </c>
      <c r="W14" s="54">
        <v>-0.25</v>
      </c>
      <c r="X14" s="54">
        <v>-0.2</v>
      </c>
      <c r="Y14" s="54">
        <v>-0.2</v>
      </c>
      <c r="Z14" s="54">
        <v>-0.15</v>
      </c>
      <c r="AA14" s="49">
        <v>-0.4</v>
      </c>
      <c r="AB14" s="49">
        <v>-0.4</v>
      </c>
      <c r="AC14" s="49">
        <v>-0.4</v>
      </c>
      <c r="AD14" s="50">
        <v>-5.7000000000000002E-2</v>
      </c>
      <c r="AE14" s="50">
        <v>-5.7000000000000002E-2</v>
      </c>
      <c r="AF14" s="54">
        <v>-0.04</v>
      </c>
      <c r="AG14" s="54">
        <v>-0.04</v>
      </c>
      <c r="AH14" s="54">
        <v>-0.04</v>
      </c>
      <c r="AI14" s="54">
        <v>-0.04</v>
      </c>
      <c r="AJ14" s="54">
        <v>-0.04</v>
      </c>
      <c r="AK14" s="54">
        <v>-0.04</v>
      </c>
      <c r="AL14" s="54">
        <v>-0.02</v>
      </c>
      <c r="AM14" s="54">
        <v>-0.01</v>
      </c>
      <c r="AN14" s="54">
        <v>-5.0000000000000001E-3</v>
      </c>
      <c r="AO14" s="54">
        <v>-2.5000000000000001E-3</v>
      </c>
      <c r="AP14" s="54">
        <v>-1.25E-3</v>
      </c>
      <c r="AQ14" s="54">
        <v>-6.2500000000000001E-4</v>
      </c>
      <c r="AR14" s="54">
        <v>-3.1250000000000001E-4</v>
      </c>
      <c r="AS14" s="54">
        <v>0</v>
      </c>
      <c r="AT14" s="54">
        <v>0</v>
      </c>
      <c r="AU14" s="54">
        <v>0</v>
      </c>
      <c r="AV14" s="54">
        <v>0</v>
      </c>
      <c r="AW14" s="54">
        <v>0</v>
      </c>
      <c r="AX14" s="54">
        <v>0</v>
      </c>
      <c r="AY14" s="54">
        <v>0</v>
      </c>
      <c r="AZ14" s="54">
        <v>0</v>
      </c>
      <c r="BA14" s="54">
        <v>0</v>
      </c>
      <c r="BB14" s="54">
        <v>0</v>
      </c>
      <c r="BC14" s="54">
        <v>0</v>
      </c>
      <c r="BD14" s="54">
        <v>0</v>
      </c>
      <c r="BE14" s="54">
        <v>0</v>
      </c>
    </row>
    <row r="15" spans="1:58" x14ac:dyDescent="0.2">
      <c r="A15" s="40">
        <v>6</v>
      </c>
      <c r="B15" s="45" t="s">
        <v>193</v>
      </c>
      <c r="C15" s="45" t="s">
        <v>193</v>
      </c>
      <c r="D15" s="38"/>
      <c r="E15" s="38" t="s">
        <v>194</v>
      </c>
      <c r="F15" s="38"/>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row>
    <row r="16" spans="1:58" x14ac:dyDescent="0.2">
      <c r="A16" s="40">
        <v>7</v>
      </c>
      <c r="B16" s="45" t="s">
        <v>197</v>
      </c>
      <c r="C16" s="45" t="s">
        <v>200</v>
      </c>
      <c r="D16" s="38"/>
      <c r="E16" s="38" t="s">
        <v>194</v>
      </c>
      <c r="F16" s="38"/>
      <c r="H16" s="55">
        <v>-0.05</v>
      </c>
      <c r="I16" s="55">
        <v>-0.05</v>
      </c>
      <c r="J16" s="55">
        <v>-0.05</v>
      </c>
      <c r="K16" s="55">
        <v>-0.05</v>
      </c>
      <c r="L16" s="55">
        <v>-0.05</v>
      </c>
      <c r="M16" s="55">
        <v>-0.05</v>
      </c>
      <c r="N16" s="55">
        <v>-0.05</v>
      </c>
      <c r="O16" s="55">
        <v>-0.05</v>
      </c>
      <c r="P16" s="55">
        <v>-7.7200000000000005E-2</v>
      </c>
      <c r="Q16" s="55">
        <v>-6.6900000000000001E-2</v>
      </c>
      <c r="R16" s="55">
        <v>-7.0000000000000007E-2</v>
      </c>
      <c r="S16" s="55">
        <v>-0.06</v>
      </c>
      <c r="T16" s="55">
        <v>-0.05</v>
      </c>
      <c r="U16" s="55">
        <v>-0.05</v>
      </c>
      <c r="V16" s="55">
        <v>-0.05</v>
      </c>
      <c r="W16" s="55">
        <v>-0.25</v>
      </c>
      <c r="X16" s="55">
        <v>-0.2</v>
      </c>
      <c r="Y16" s="55">
        <v>-0.2</v>
      </c>
      <c r="Z16" s="55">
        <v>-0.15</v>
      </c>
      <c r="AA16" s="49">
        <v>-0.3201</v>
      </c>
      <c r="AB16" s="49">
        <v>-0.3201</v>
      </c>
      <c r="AC16" s="49">
        <v>-0.3201</v>
      </c>
      <c r="AD16" s="50">
        <v>-3.4000000000000002E-2</v>
      </c>
      <c r="AE16" s="50">
        <v>-3.4000000000000002E-2</v>
      </c>
      <c r="AF16" s="55">
        <v>-0.04</v>
      </c>
      <c r="AG16" s="55">
        <v>-0.04</v>
      </c>
      <c r="AH16" s="55">
        <v>-0.04</v>
      </c>
      <c r="AI16" s="55">
        <v>-0.04</v>
      </c>
      <c r="AJ16" s="55">
        <v>-0.04</v>
      </c>
      <c r="AK16" s="55">
        <v>-0.04</v>
      </c>
      <c r="AL16" s="55">
        <v>-0.02</v>
      </c>
      <c r="AM16" s="55">
        <v>-0.01</v>
      </c>
      <c r="AN16" s="55">
        <v>-5.0000000000000001E-3</v>
      </c>
      <c r="AO16" s="55">
        <v>-2.5000000000000001E-3</v>
      </c>
      <c r="AP16" s="55">
        <v>-1.25E-3</v>
      </c>
      <c r="AQ16" s="55">
        <v>-6.2500000000000001E-4</v>
      </c>
      <c r="AR16" s="55">
        <v>-3.1250000000000001E-4</v>
      </c>
      <c r="AS16" s="55">
        <v>0</v>
      </c>
      <c r="AT16" s="55">
        <v>0</v>
      </c>
      <c r="AU16" s="55">
        <v>0</v>
      </c>
      <c r="AV16" s="55">
        <v>0</v>
      </c>
      <c r="AW16" s="55">
        <v>0</v>
      </c>
      <c r="AX16" s="55">
        <v>0</v>
      </c>
      <c r="AY16" s="55">
        <v>0</v>
      </c>
      <c r="AZ16" s="55">
        <v>0</v>
      </c>
      <c r="BA16" s="55">
        <v>0</v>
      </c>
      <c r="BB16" s="55">
        <v>0</v>
      </c>
      <c r="BC16" s="55">
        <v>0</v>
      </c>
      <c r="BD16" s="55">
        <v>0</v>
      </c>
      <c r="BE16" s="55">
        <v>0</v>
      </c>
    </row>
    <row r="17" spans="1:57" x14ac:dyDescent="0.2">
      <c r="A17" s="40">
        <v>8</v>
      </c>
      <c r="B17" s="45" t="s">
        <v>195</v>
      </c>
      <c r="C17" s="45" t="s">
        <v>201</v>
      </c>
      <c r="D17" s="38"/>
      <c r="E17" s="38" t="s">
        <v>194</v>
      </c>
      <c r="F17" s="38"/>
      <c r="H17" s="56">
        <v>0</v>
      </c>
      <c r="I17" s="56">
        <v>0</v>
      </c>
      <c r="J17" s="56">
        <v>0</v>
      </c>
      <c r="K17" s="56">
        <v>0</v>
      </c>
      <c r="L17" s="56">
        <v>0</v>
      </c>
      <c r="M17" s="56">
        <v>0</v>
      </c>
      <c r="N17" s="56">
        <v>0</v>
      </c>
      <c r="O17" s="56">
        <v>0</v>
      </c>
      <c r="P17" s="56">
        <v>0</v>
      </c>
      <c r="Q17" s="56">
        <v>0</v>
      </c>
      <c r="R17" s="56">
        <v>0</v>
      </c>
      <c r="S17" s="56">
        <v>0</v>
      </c>
      <c r="T17" s="56">
        <v>0</v>
      </c>
      <c r="U17" s="56">
        <v>0</v>
      </c>
      <c r="V17" s="56">
        <v>0</v>
      </c>
      <c r="W17" s="56">
        <v>0</v>
      </c>
      <c r="X17" s="56">
        <v>0</v>
      </c>
      <c r="Y17" s="56">
        <v>0</v>
      </c>
      <c r="Z17" s="56">
        <v>0.01</v>
      </c>
      <c r="AA17" s="56">
        <v>-0.15</v>
      </c>
      <c r="AB17" s="56">
        <v>-0.15</v>
      </c>
      <c r="AC17" s="56">
        <v>-0.15</v>
      </c>
      <c r="AD17" s="56">
        <v>7.0000000000000001E-3</v>
      </c>
      <c r="AE17" s="56">
        <v>7.0000000000000001E-3</v>
      </c>
      <c r="AF17" s="56">
        <v>0.02</v>
      </c>
      <c r="AG17" s="56">
        <v>5.0000000000000001E-3</v>
      </c>
      <c r="AH17" s="56">
        <v>5.0000000000000001E-3</v>
      </c>
      <c r="AI17" s="56">
        <v>5.0000000000000001E-3</v>
      </c>
      <c r="AJ17" s="56">
        <v>0</v>
      </c>
      <c r="AK17" s="56">
        <v>0</v>
      </c>
      <c r="AL17" s="56">
        <v>0</v>
      </c>
      <c r="AM17" s="56">
        <v>0</v>
      </c>
      <c r="AN17" s="56">
        <v>0</v>
      </c>
      <c r="AO17" s="56">
        <v>0</v>
      </c>
      <c r="AP17" s="56">
        <v>0</v>
      </c>
      <c r="AQ17" s="56">
        <v>0</v>
      </c>
      <c r="AR17" s="56">
        <v>0</v>
      </c>
      <c r="AS17" s="56">
        <v>0</v>
      </c>
      <c r="AT17" s="56">
        <v>0</v>
      </c>
      <c r="AU17" s="56">
        <v>0</v>
      </c>
      <c r="AV17" s="56">
        <v>0</v>
      </c>
      <c r="AW17" s="56">
        <v>0</v>
      </c>
      <c r="AX17" s="56">
        <v>0</v>
      </c>
      <c r="AY17" s="56">
        <v>0</v>
      </c>
      <c r="AZ17" s="56">
        <v>0</v>
      </c>
      <c r="BA17" s="56">
        <v>0</v>
      </c>
      <c r="BB17" s="56">
        <v>0</v>
      </c>
      <c r="BC17" s="56">
        <v>0</v>
      </c>
      <c r="BD17" s="56">
        <v>0</v>
      </c>
      <c r="BE17" s="56">
        <v>0</v>
      </c>
    </row>
    <row r="18" spans="1:57" x14ac:dyDescent="0.2">
      <c r="A18" s="40">
        <v>9</v>
      </c>
      <c r="B18" s="45" t="s">
        <v>197</v>
      </c>
      <c r="C18" s="45" t="s">
        <v>202</v>
      </c>
      <c r="D18" s="38"/>
      <c r="E18" s="38" t="s">
        <v>194</v>
      </c>
      <c r="F18" s="38"/>
      <c r="H18" s="55">
        <v>-0.05</v>
      </c>
      <c r="I18" s="55">
        <v>-0.05</v>
      </c>
      <c r="J18" s="55">
        <v>-0.05</v>
      </c>
      <c r="K18" s="55">
        <v>-0.05</v>
      </c>
      <c r="L18" s="55">
        <v>-0.05</v>
      </c>
      <c r="M18" s="55">
        <v>-0.05</v>
      </c>
      <c r="N18" s="55">
        <v>-0.05</v>
      </c>
      <c r="O18" s="55">
        <v>-0.05</v>
      </c>
      <c r="P18" s="55">
        <v>-7.7200000000000005E-2</v>
      </c>
      <c r="Q18" s="55">
        <v>-6.6900000000000001E-2</v>
      </c>
      <c r="R18" s="55">
        <v>-7.0000000000000007E-2</v>
      </c>
      <c r="S18" s="55">
        <v>-0.06</v>
      </c>
      <c r="T18" s="55">
        <v>-0.05</v>
      </c>
      <c r="U18" s="55">
        <v>-0.05</v>
      </c>
      <c r="V18" s="55">
        <v>-0.05</v>
      </c>
      <c r="W18" s="52">
        <v>-0.25</v>
      </c>
      <c r="X18" s="52">
        <v>-0.2</v>
      </c>
      <c r="Y18" s="52">
        <v>-0.2</v>
      </c>
      <c r="Z18" s="52">
        <v>-0.15</v>
      </c>
      <c r="AA18" s="49">
        <v>-0.24560000000000001</v>
      </c>
      <c r="AB18" s="49">
        <v>-0.24560000000000001</v>
      </c>
      <c r="AC18" s="49">
        <v>-0.24560000000000001</v>
      </c>
      <c r="AD18" s="50">
        <v>4.1000000000000002E-2</v>
      </c>
      <c r="AE18" s="50">
        <v>4.1000000000000002E-2</v>
      </c>
      <c r="AF18" s="55">
        <v>-0.04</v>
      </c>
      <c r="AG18" s="55">
        <v>-0.04</v>
      </c>
      <c r="AH18" s="55">
        <v>-0.04</v>
      </c>
      <c r="AI18" s="55">
        <v>-0.04</v>
      </c>
      <c r="AJ18" s="55">
        <v>-0.04</v>
      </c>
      <c r="AK18" s="55">
        <v>-0.04</v>
      </c>
      <c r="AL18" s="55">
        <v>-0.02</v>
      </c>
      <c r="AM18" s="55">
        <v>-0.01</v>
      </c>
      <c r="AN18" s="55">
        <v>-5.0000000000000001E-3</v>
      </c>
      <c r="AO18" s="55">
        <v>-2.5000000000000001E-3</v>
      </c>
      <c r="AP18" s="55">
        <v>-1.25E-3</v>
      </c>
      <c r="AQ18" s="55">
        <v>-6.2500000000000001E-4</v>
      </c>
      <c r="AR18" s="55">
        <v>-3.1250000000000001E-4</v>
      </c>
      <c r="AS18" s="55">
        <v>0</v>
      </c>
      <c r="AT18" s="55">
        <v>0</v>
      </c>
      <c r="AU18" s="55">
        <v>0</v>
      </c>
      <c r="AV18" s="55">
        <v>0</v>
      </c>
      <c r="AW18" s="55">
        <v>0</v>
      </c>
      <c r="AX18" s="55">
        <v>0</v>
      </c>
      <c r="AY18" s="55">
        <v>0</v>
      </c>
      <c r="AZ18" s="55">
        <v>0</v>
      </c>
      <c r="BA18" s="55">
        <v>0</v>
      </c>
      <c r="BB18" s="55">
        <v>0</v>
      </c>
      <c r="BC18" s="55">
        <v>0</v>
      </c>
      <c r="BD18" s="55">
        <v>0</v>
      </c>
      <c r="BE18" s="55">
        <v>0</v>
      </c>
    </row>
    <row r="19" spans="1:57" x14ac:dyDescent="0.2">
      <c r="A19" s="40">
        <v>10</v>
      </c>
      <c r="B19" s="45" t="s">
        <v>195</v>
      </c>
      <c r="C19" s="45" t="s">
        <v>203</v>
      </c>
      <c r="D19" s="38"/>
      <c r="E19" s="38" t="s">
        <v>194</v>
      </c>
      <c r="F19" s="38"/>
      <c r="H19" s="55">
        <v>0</v>
      </c>
      <c r="I19" s="55">
        <v>0</v>
      </c>
      <c r="J19" s="55">
        <v>0</v>
      </c>
      <c r="K19" s="55">
        <v>0</v>
      </c>
      <c r="L19" s="55">
        <v>0</v>
      </c>
      <c r="M19" s="55">
        <v>0</v>
      </c>
      <c r="N19" s="55">
        <v>0</v>
      </c>
      <c r="O19" s="55">
        <v>0</v>
      </c>
      <c r="P19" s="55">
        <v>0</v>
      </c>
      <c r="Q19" s="55">
        <v>0</v>
      </c>
      <c r="R19" s="55">
        <v>0</v>
      </c>
      <c r="S19" s="55">
        <v>0</v>
      </c>
      <c r="T19" s="55">
        <v>0</v>
      </c>
      <c r="U19" s="55">
        <v>0</v>
      </c>
      <c r="V19" s="55">
        <v>0</v>
      </c>
      <c r="W19" s="55">
        <v>0</v>
      </c>
      <c r="X19" s="55">
        <v>0</v>
      </c>
      <c r="Y19" s="55">
        <v>0</v>
      </c>
      <c r="Z19" s="55">
        <v>0.01</v>
      </c>
      <c r="AA19" s="55">
        <v>-0.15</v>
      </c>
      <c r="AB19" s="55">
        <v>-0.15</v>
      </c>
      <c r="AC19" s="55">
        <v>-0.15</v>
      </c>
      <c r="AD19" s="55">
        <v>7.0000000000000001E-3</v>
      </c>
      <c r="AE19" s="55">
        <v>7.0000000000000001E-3</v>
      </c>
      <c r="AF19" s="55">
        <v>0.02</v>
      </c>
      <c r="AG19" s="55">
        <v>5.0000000000000001E-3</v>
      </c>
      <c r="AH19" s="55">
        <v>5.0000000000000001E-3</v>
      </c>
      <c r="AI19" s="55">
        <v>5.0000000000000001E-3</v>
      </c>
      <c r="AJ19" s="55">
        <v>0</v>
      </c>
      <c r="AK19" s="55">
        <v>0</v>
      </c>
      <c r="AL19" s="55">
        <v>0</v>
      </c>
      <c r="AM19" s="55">
        <v>0</v>
      </c>
      <c r="AN19" s="55">
        <v>0</v>
      </c>
      <c r="AO19" s="55">
        <v>0</v>
      </c>
      <c r="AP19" s="55">
        <v>0</v>
      </c>
      <c r="AQ19" s="55">
        <v>0</v>
      </c>
      <c r="AR19" s="55">
        <v>0</v>
      </c>
      <c r="AS19" s="55">
        <v>0</v>
      </c>
      <c r="AT19" s="55">
        <v>0</v>
      </c>
      <c r="AU19" s="55">
        <v>0</v>
      </c>
      <c r="AV19" s="55">
        <v>0</v>
      </c>
      <c r="AW19" s="55">
        <v>0</v>
      </c>
      <c r="AX19" s="55">
        <v>0</v>
      </c>
      <c r="AY19" s="55">
        <v>0</v>
      </c>
      <c r="AZ19" s="55">
        <v>0</v>
      </c>
      <c r="BA19" s="55">
        <v>0</v>
      </c>
      <c r="BB19" s="55">
        <v>0</v>
      </c>
      <c r="BC19" s="55">
        <v>0</v>
      </c>
      <c r="BD19" s="55">
        <v>0</v>
      </c>
      <c r="BE19" s="55">
        <v>0</v>
      </c>
    </row>
    <row r="20" spans="1:57" x14ac:dyDescent="0.2">
      <c r="A20" s="40">
        <v>11</v>
      </c>
      <c r="B20" s="45" t="s">
        <v>197</v>
      </c>
      <c r="C20" s="45" t="s">
        <v>204</v>
      </c>
      <c r="D20" s="38"/>
      <c r="E20" s="38" t="s">
        <v>194</v>
      </c>
      <c r="F20" s="38"/>
      <c r="H20" s="54">
        <v>-0.05</v>
      </c>
      <c r="I20" s="54">
        <v>-0.05</v>
      </c>
      <c r="J20" s="54">
        <v>-0.05</v>
      </c>
      <c r="K20" s="54">
        <v>-0.05</v>
      </c>
      <c r="L20" s="54">
        <v>-0.05</v>
      </c>
      <c r="M20" s="54">
        <v>-0.05</v>
      </c>
      <c r="N20" s="54">
        <v>-0.05</v>
      </c>
      <c r="O20" s="54">
        <v>-0.05</v>
      </c>
      <c r="P20" s="54">
        <v>-7.7200000000000005E-2</v>
      </c>
      <c r="Q20" s="54">
        <v>-6.6900000000000001E-2</v>
      </c>
      <c r="R20" s="54">
        <v>-7.0000000000000007E-2</v>
      </c>
      <c r="S20" s="54">
        <v>-0.06</v>
      </c>
      <c r="T20" s="54">
        <v>-0.05</v>
      </c>
      <c r="U20" s="54">
        <v>-0.05</v>
      </c>
      <c r="V20" s="54">
        <v>-0.05</v>
      </c>
      <c r="W20" s="54">
        <v>-0.25</v>
      </c>
      <c r="X20" s="54">
        <v>-0.2</v>
      </c>
      <c r="Y20" s="54">
        <v>-0.2</v>
      </c>
      <c r="Z20" s="54">
        <v>-0.15</v>
      </c>
      <c r="AA20" s="54">
        <v>-0.42080000000000001</v>
      </c>
      <c r="AB20" s="54">
        <v>-0.42080000000000001</v>
      </c>
      <c r="AC20" s="54">
        <v>-0.42080000000000001</v>
      </c>
      <c r="AD20" s="54">
        <v>-0.04</v>
      </c>
      <c r="AE20" s="54">
        <v>-0.04</v>
      </c>
      <c r="AF20" s="54">
        <v>-0.04</v>
      </c>
      <c r="AG20" s="54">
        <v>-0.04</v>
      </c>
      <c r="AH20" s="54">
        <v>-0.04</v>
      </c>
      <c r="AI20" s="54">
        <v>-0.04</v>
      </c>
      <c r="AJ20" s="54">
        <v>-0.04</v>
      </c>
      <c r="AK20" s="54">
        <v>-0.04</v>
      </c>
      <c r="AL20" s="54">
        <v>-0.02</v>
      </c>
      <c r="AM20" s="54">
        <v>-0.01</v>
      </c>
      <c r="AN20" s="54">
        <v>-5.0000000000000001E-3</v>
      </c>
      <c r="AO20" s="54">
        <v>-2.5000000000000001E-3</v>
      </c>
      <c r="AP20" s="54">
        <v>-1.25E-3</v>
      </c>
      <c r="AQ20" s="54">
        <v>-6.2500000000000001E-4</v>
      </c>
      <c r="AR20" s="54">
        <v>-3.1250000000000001E-4</v>
      </c>
      <c r="AS20" s="54">
        <v>0</v>
      </c>
      <c r="AT20" s="54">
        <v>0</v>
      </c>
      <c r="AU20" s="54">
        <v>0</v>
      </c>
      <c r="AV20" s="54">
        <v>0</v>
      </c>
      <c r="AW20" s="54">
        <v>0</v>
      </c>
      <c r="AX20" s="54">
        <v>0</v>
      </c>
      <c r="AY20" s="54">
        <v>0</v>
      </c>
      <c r="AZ20" s="54">
        <v>0</v>
      </c>
      <c r="BA20" s="54">
        <v>0</v>
      </c>
      <c r="BB20" s="54">
        <v>0</v>
      </c>
      <c r="BC20" s="54">
        <v>0</v>
      </c>
      <c r="BD20" s="54">
        <v>0</v>
      </c>
      <c r="BE20" s="54">
        <v>0</v>
      </c>
    </row>
    <row r="21" spans="1:57" x14ac:dyDescent="0.2">
      <c r="A21" s="40">
        <v>12</v>
      </c>
      <c r="B21" s="45" t="s">
        <v>205</v>
      </c>
      <c r="C21" s="45" t="s">
        <v>206</v>
      </c>
      <c r="D21" s="38"/>
      <c r="E21" s="38" t="s">
        <v>194</v>
      </c>
      <c r="F21" s="38"/>
      <c r="H21" s="51">
        <v>0</v>
      </c>
      <c r="I21" s="51">
        <v>0</v>
      </c>
      <c r="J21" s="51">
        <v>0</v>
      </c>
      <c r="K21" s="51">
        <v>-0.05</v>
      </c>
      <c r="L21" s="51">
        <v>-0.05</v>
      </c>
      <c r="M21" s="51">
        <v>-0.05</v>
      </c>
      <c r="N21" s="51">
        <v>-0.1</v>
      </c>
      <c r="O21" s="51">
        <v>-0.1</v>
      </c>
      <c r="P21" s="51">
        <v>-0.3</v>
      </c>
      <c r="Q21" s="51">
        <v>-0.3</v>
      </c>
      <c r="R21" s="51">
        <v>-0.15</v>
      </c>
      <c r="S21" s="51">
        <v>-0.1</v>
      </c>
      <c r="T21" s="51">
        <v>-0.05</v>
      </c>
      <c r="U21" s="51">
        <v>-0.05</v>
      </c>
      <c r="V21" s="51">
        <v>-0.05</v>
      </c>
      <c r="W21" s="52">
        <v>-0.25</v>
      </c>
      <c r="X21" s="52">
        <v>-0.2</v>
      </c>
      <c r="Y21" s="52">
        <v>-0.2</v>
      </c>
      <c r="Z21" s="52">
        <v>-0.15</v>
      </c>
      <c r="AA21" s="49">
        <v>-5.62E-2</v>
      </c>
      <c r="AB21" s="49">
        <v>-5.62E-2</v>
      </c>
      <c r="AC21" s="49">
        <v>-5.62E-2</v>
      </c>
      <c r="AD21" s="50">
        <v>-8.0000000000000002E-3</v>
      </c>
      <c r="AE21" s="50">
        <v>-8.0000000000000002E-3</v>
      </c>
      <c r="AF21" s="57">
        <v>-1.4999999999999999E-2</v>
      </c>
      <c r="AG21" s="53">
        <v>-1.4999999999999999E-2</v>
      </c>
      <c r="AH21" s="53">
        <v>-1.4999999999999999E-2</v>
      </c>
      <c r="AI21" s="53">
        <v>-1.4999999999999999E-2</v>
      </c>
      <c r="AJ21" s="53">
        <v>-1.4999999999999999E-2</v>
      </c>
      <c r="AK21" s="53">
        <v>-1.4999999999999999E-2</v>
      </c>
      <c r="AL21" s="51">
        <v>0</v>
      </c>
      <c r="AM21" s="51">
        <v>0</v>
      </c>
      <c r="AN21" s="51">
        <v>0</v>
      </c>
      <c r="AO21" s="51">
        <v>0</v>
      </c>
      <c r="AP21" s="51">
        <v>0</v>
      </c>
      <c r="AQ21" s="51">
        <v>0</v>
      </c>
      <c r="AR21" s="51">
        <v>0</v>
      </c>
      <c r="AS21" s="51">
        <v>0</v>
      </c>
      <c r="AT21" s="51">
        <v>0</v>
      </c>
      <c r="AU21" s="51">
        <v>0</v>
      </c>
      <c r="AV21" s="51">
        <v>0</v>
      </c>
      <c r="AW21" s="51">
        <v>0</v>
      </c>
      <c r="AX21" s="51">
        <v>0</v>
      </c>
      <c r="AY21" s="51">
        <v>0</v>
      </c>
      <c r="AZ21" s="51">
        <v>0</v>
      </c>
      <c r="BA21" s="51">
        <v>0</v>
      </c>
      <c r="BB21" s="51">
        <v>0</v>
      </c>
      <c r="BC21" s="51">
        <v>0</v>
      </c>
      <c r="BD21" s="51">
        <v>0</v>
      </c>
      <c r="BE21" s="53">
        <v>0</v>
      </c>
    </row>
    <row r="22" spans="1:57" x14ac:dyDescent="0.2">
      <c r="A22" s="40">
        <v>13</v>
      </c>
      <c r="B22" s="45" t="s">
        <v>205</v>
      </c>
      <c r="C22" s="45" t="s">
        <v>207</v>
      </c>
      <c r="D22" s="38"/>
      <c r="E22" s="38" t="s">
        <v>194</v>
      </c>
      <c r="F22" s="38"/>
      <c r="H22" s="54">
        <v>0</v>
      </c>
      <c r="I22" s="54">
        <v>0</v>
      </c>
      <c r="J22" s="54">
        <v>0</v>
      </c>
      <c r="K22" s="54">
        <v>-0.05</v>
      </c>
      <c r="L22" s="54">
        <v>-0.05</v>
      </c>
      <c r="M22" s="54">
        <v>-0.05</v>
      </c>
      <c r="N22" s="54">
        <v>-0.1</v>
      </c>
      <c r="O22" s="54">
        <v>-0.1</v>
      </c>
      <c r="P22" s="54">
        <v>-0.3</v>
      </c>
      <c r="Q22" s="54">
        <v>-0.3</v>
      </c>
      <c r="R22" s="54">
        <v>-0.15</v>
      </c>
      <c r="S22" s="54">
        <v>-0.1</v>
      </c>
      <c r="T22" s="54">
        <v>-0.05</v>
      </c>
      <c r="U22" s="54">
        <v>-0.05</v>
      </c>
      <c r="V22" s="54">
        <v>-0.05</v>
      </c>
      <c r="W22" s="54">
        <v>-0.25</v>
      </c>
      <c r="X22" s="54">
        <v>-0.2</v>
      </c>
      <c r="Y22" s="54">
        <v>-0.2</v>
      </c>
      <c r="Z22" s="54">
        <v>-0.15</v>
      </c>
      <c r="AA22" s="54">
        <v>-5.62E-2</v>
      </c>
      <c r="AB22" s="54">
        <v>-5.62E-2</v>
      </c>
      <c r="AC22" s="54">
        <v>-5.62E-2</v>
      </c>
      <c r="AD22" s="54">
        <v>-8.0000000000000002E-3</v>
      </c>
      <c r="AE22" s="54">
        <v>-8.0000000000000002E-3</v>
      </c>
      <c r="AF22" s="54">
        <v>-1.4999999999999999E-2</v>
      </c>
      <c r="AG22" s="54">
        <v>-1.4999999999999999E-2</v>
      </c>
      <c r="AH22" s="54">
        <v>-1.4999999999999999E-2</v>
      </c>
      <c r="AI22" s="54">
        <v>-1.4999999999999999E-2</v>
      </c>
      <c r="AJ22" s="54">
        <v>-1.4999999999999999E-2</v>
      </c>
      <c r="AK22" s="54">
        <v>-1.4999999999999999E-2</v>
      </c>
      <c r="AL22" s="54">
        <v>0</v>
      </c>
      <c r="AM22" s="54">
        <v>0</v>
      </c>
      <c r="AN22" s="54">
        <v>0</v>
      </c>
      <c r="AO22" s="54">
        <v>0</v>
      </c>
      <c r="AP22" s="54">
        <v>0</v>
      </c>
      <c r="AQ22" s="54">
        <v>0</v>
      </c>
      <c r="AR22" s="54">
        <v>0</v>
      </c>
      <c r="AS22" s="54">
        <v>0</v>
      </c>
      <c r="AT22" s="54">
        <v>0</v>
      </c>
      <c r="AU22" s="54">
        <v>0</v>
      </c>
      <c r="AV22" s="54">
        <v>0</v>
      </c>
      <c r="AW22" s="54">
        <v>0</v>
      </c>
      <c r="AX22" s="54">
        <v>0</v>
      </c>
      <c r="AY22" s="54">
        <v>0</v>
      </c>
      <c r="AZ22" s="54">
        <v>0</v>
      </c>
      <c r="BA22" s="54">
        <v>0</v>
      </c>
      <c r="BB22" s="54">
        <v>0</v>
      </c>
      <c r="BC22" s="54">
        <v>0</v>
      </c>
      <c r="BD22" s="54">
        <v>0</v>
      </c>
      <c r="BE22" s="54">
        <v>0</v>
      </c>
    </row>
    <row r="23" spans="1:57" x14ac:dyDescent="0.2">
      <c r="A23" s="40">
        <v>14</v>
      </c>
      <c r="B23" s="45" t="s">
        <v>205</v>
      </c>
      <c r="C23" s="45" t="s">
        <v>208</v>
      </c>
      <c r="D23" s="38"/>
      <c r="E23" s="38" t="s">
        <v>194</v>
      </c>
      <c r="F23" s="38"/>
      <c r="H23" s="54">
        <v>0</v>
      </c>
      <c r="I23" s="54">
        <v>0</v>
      </c>
      <c r="J23" s="54">
        <v>0</v>
      </c>
      <c r="K23" s="54">
        <v>-0.05</v>
      </c>
      <c r="L23" s="54">
        <v>-0.05</v>
      </c>
      <c r="M23" s="54">
        <v>-0.05</v>
      </c>
      <c r="N23" s="54">
        <v>-0.1</v>
      </c>
      <c r="O23" s="54">
        <v>-0.1</v>
      </c>
      <c r="P23" s="54">
        <v>-0.3</v>
      </c>
      <c r="Q23" s="54">
        <v>-0.3</v>
      </c>
      <c r="R23" s="54">
        <v>-0.15</v>
      </c>
      <c r="S23" s="54">
        <v>-0.1</v>
      </c>
      <c r="T23" s="54">
        <v>-0.05</v>
      </c>
      <c r="U23" s="54">
        <v>-0.05</v>
      </c>
      <c r="V23" s="54">
        <v>-0.05</v>
      </c>
      <c r="W23" s="54">
        <v>-0.25</v>
      </c>
      <c r="X23" s="54">
        <v>-0.2</v>
      </c>
      <c r="Y23" s="54">
        <v>-0.2</v>
      </c>
      <c r="Z23" s="54">
        <v>-0.15</v>
      </c>
      <c r="AA23" s="54">
        <v>-5.62E-2</v>
      </c>
      <c r="AB23" s="54">
        <v>-5.62E-2</v>
      </c>
      <c r="AC23" s="54">
        <v>-5.62E-2</v>
      </c>
      <c r="AD23" s="54">
        <v>-8.0000000000000002E-3</v>
      </c>
      <c r="AE23" s="54">
        <v>-8.0000000000000002E-3</v>
      </c>
      <c r="AF23" s="54">
        <v>-1.4999999999999999E-2</v>
      </c>
      <c r="AG23" s="54">
        <v>-1.4999999999999999E-2</v>
      </c>
      <c r="AH23" s="54">
        <v>-1.4999999999999999E-2</v>
      </c>
      <c r="AI23" s="54">
        <v>-1.4999999999999999E-2</v>
      </c>
      <c r="AJ23" s="54">
        <v>-1.4999999999999999E-2</v>
      </c>
      <c r="AK23" s="54">
        <v>-1.4999999999999999E-2</v>
      </c>
      <c r="AL23" s="54">
        <v>0</v>
      </c>
      <c r="AM23" s="54">
        <v>0</v>
      </c>
      <c r="AN23" s="54">
        <v>0</v>
      </c>
      <c r="AO23" s="54">
        <v>0</v>
      </c>
      <c r="AP23" s="54">
        <v>0</v>
      </c>
      <c r="AQ23" s="54">
        <v>0</v>
      </c>
      <c r="AR23" s="54">
        <v>0</v>
      </c>
      <c r="AS23" s="54">
        <v>0</v>
      </c>
      <c r="AT23" s="54">
        <v>0</v>
      </c>
      <c r="AU23" s="54">
        <v>0</v>
      </c>
      <c r="AV23" s="54">
        <v>0</v>
      </c>
      <c r="AW23" s="54">
        <v>0</v>
      </c>
      <c r="AX23" s="54">
        <v>0</v>
      </c>
      <c r="AY23" s="54">
        <v>0</v>
      </c>
      <c r="AZ23" s="54">
        <v>0</v>
      </c>
      <c r="BA23" s="54">
        <v>0</v>
      </c>
      <c r="BB23" s="54">
        <v>0</v>
      </c>
      <c r="BC23" s="54">
        <v>0</v>
      </c>
      <c r="BD23" s="54">
        <v>0</v>
      </c>
      <c r="BE23" s="54">
        <v>0</v>
      </c>
    </row>
    <row r="24" spans="1:57" x14ac:dyDescent="0.2">
      <c r="A24" s="40">
        <v>15</v>
      </c>
      <c r="B24" s="45" t="s">
        <v>209</v>
      </c>
      <c r="C24" s="45" t="s">
        <v>210</v>
      </c>
      <c r="D24" s="38"/>
      <c r="E24" s="38" t="s">
        <v>194</v>
      </c>
      <c r="F24" s="38"/>
      <c r="H24" s="51">
        <v>-0.05</v>
      </c>
      <c r="I24" s="51">
        <v>-0.05</v>
      </c>
      <c r="J24" s="51">
        <v>-0.05</v>
      </c>
      <c r="K24" s="51">
        <v>-0.05</v>
      </c>
      <c r="L24" s="51">
        <v>-0.05</v>
      </c>
      <c r="M24" s="51">
        <v>-0.05</v>
      </c>
      <c r="N24" s="51">
        <v>-0.1</v>
      </c>
      <c r="O24" s="51">
        <v>-0.1</v>
      </c>
      <c r="P24" s="51">
        <v>-0.16</v>
      </c>
      <c r="Q24" s="51">
        <v>-0.12</v>
      </c>
      <c r="R24" s="51">
        <v>-0.1</v>
      </c>
      <c r="S24" s="51">
        <v>-0.09</v>
      </c>
      <c r="T24" s="51">
        <v>-7.0000000000000007E-2</v>
      </c>
      <c r="U24" s="51">
        <v>-0.06</v>
      </c>
      <c r="V24" s="51">
        <v>-0.04</v>
      </c>
      <c r="W24" s="51">
        <v>-0.4</v>
      </c>
      <c r="X24" s="51">
        <v>-0.4</v>
      </c>
      <c r="Y24" s="51">
        <v>-0.4</v>
      </c>
      <c r="Z24" s="51">
        <v>-0.4</v>
      </c>
      <c r="AA24" s="49">
        <v>5.5E-2</v>
      </c>
      <c r="AB24" s="49">
        <v>5.5E-2</v>
      </c>
      <c r="AC24" s="49">
        <v>5.5E-2</v>
      </c>
      <c r="AD24" s="50">
        <v>-0.26600000000000001</v>
      </c>
      <c r="AE24" s="50">
        <v>-0.26600000000000001</v>
      </c>
      <c r="AF24" s="47">
        <v>-0.01</v>
      </c>
      <c r="AG24" s="47">
        <v>-0.01</v>
      </c>
      <c r="AH24" s="47">
        <v>-0.01</v>
      </c>
      <c r="AI24" s="47">
        <v>-0.01</v>
      </c>
      <c r="AJ24" s="47">
        <v>-0.01</v>
      </c>
      <c r="AK24" s="47">
        <v>-0.01</v>
      </c>
      <c r="AL24" s="47">
        <v>-5.0000000000000001E-3</v>
      </c>
      <c r="AM24" s="47">
        <v>-2.5000000000000001E-3</v>
      </c>
      <c r="AN24" s="47">
        <v>-1.25E-3</v>
      </c>
      <c r="AO24" s="47">
        <v>-6.2500000000000001E-4</v>
      </c>
      <c r="AP24" s="47">
        <v>-3.1250000000000001E-4</v>
      </c>
      <c r="AQ24" s="47">
        <v>-1.5625E-4</v>
      </c>
      <c r="AR24" s="47">
        <v>-7.8125000000000002E-5</v>
      </c>
      <c r="AS24" s="51">
        <v>0</v>
      </c>
      <c r="AT24" s="51">
        <v>0</v>
      </c>
      <c r="AU24" s="51">
        <v>0</v>
      </c>
      <c r="AV24" s="51">
        <v>0</v>
      </c>
      <c r="AW24" s="51">
        <v>0</v>
      </c>
      <c r="AX24" s="51">
        <v>0</v>
      </c>
      <c r="AY24" s="51">
        <v>0</v>
      </c>
      <c r="AZ24" s="51">
        <v>0</v>
      </c>
      <c r="BA24" s="51">
        <v>0</v>
      </c>
      <c r="BB24" s="51">
        <v>0</v>
      </c>
      <c r="BC24" s="51">
        <v>0</v>
      </c>
      <c r="BD24" s="51">
        <v>0</v>
      </c>
      <c r="BE24" s="53">
        <v>0</v>
      </c>
    </row>
    <row r="25" spans="1:57" x14ac:dyDescent="0.2">
      <c r="A25" s="40">
        <v>16</v>
      </c>
      <c r="B25" s="45" t="s">
        <v>209</v>
      </c>
      <c r="C25" s="45" t="s">
        <v>211</v>
      </c>
      <c r="D25" s="38"/>
      <c r="E25" s="38" t="s">
        <v>194</v>
      </c>
      <c r="F25" s="38"/>
      <c r="H25" s="54">
        <v>-0.05</v>
      </c>
      <c r="I25" s="54">
        <v>-0.05</v>
      </c>
      <c r="J25" s="54">
        <v>-0.05</v>
      </c>
      <c r="K25" s="54">
        <v>-0.05</v>
      </c>
      <c r="L25" s="54">
        <v>-0.05</v>
      </c>
      <c r="M25" s="54">
        <v>-0.05</v>
      </c>
      <c r="N25" s="54">
        <v>-0.1</v>
      </c>
      <c r="O25" s="54">
        <v>-0.1</v>
      </c>
      <c r="P25" s="54">
        <v>-0.16</v>
      </c>
      <c r="Q25" s="54">
        <v>-0.12</v>
      </c>
      <c r="R25" s="54">
        <v>-0.1</v>
      </c>
      <c r="S25" s="54">
        <v>-0.09</v>
      </c>
      <c r="T25" s="54">
        <v>-7.0000000000000007E-2</v>
      </c>
      <c r="U25" s="54">
        <v>-0.06</v>
      </c>
      <c r="V25" s="54">
        <v>-0.04</v>
      </c>
      <c r="W25" s="54">
        <v>-0.4</v>
      </c>
      <c r="X25" s="54">
        <v>-0.4</v>
      </c>
      <c r="Y25" s="54">
        <v>-0.4</v>
      </c>
      <c r="Z25" s="54">
        <v>-0.4</v>
      </c>
      <c r="AA25" s="54">
        <v>5.5E-2</v>
      </c>
      <c r="AB25" s="54">
        <v>5.5E-2</v>
      </c>
      <c r="AC25" s="54">
        <v>5.5E-2</v>
      </c>
      <c r="AD25" s="54">
        <v>-0.26600000000000001</v>
      </c>
      <c r="AE25" s="54">
        <v>-0.26600000000000001</v>
      </c>
      <c r="AF25" s="54">
        <v>-0.01</v>
      </c>
      <c r="AG25" s="54">
        <v>-0.01</v>
      </c>
      <c r="AH25" s="54">
        <v>-0.01</v>
      </c>
      <c r="AI25" s="54">
        <v>-0.01</v>
      </c>
      <c r="AJ25" s="54">
        <v>-0.01</v>
      </c>
      <c r="AK25" s="54">
        <v>-0.01</v>
      </c>
      <c r="AL25" s="54">
        <v>-5.0000000000000001E-3</v>
      </c>
      <c r="AM25" s="54">
        <v>-2.5000000000000001E-3</v>
      </c>
      <c r="AN25" s="54">
        <v>-1.25E-3</v>
      </c>
      <c r="AO25" s="54">
        <v>-6.2500000000000001E-4</v>
      </c>
      <c r="AP25" s="54">
        <v>-3.1250000000000001E-4</v>
      </c>
      <c r="AQ25" s="54">
        <v>-1.5625E-4</v>
      </c>
      <c r="AR25" s="54">
        <v>-7.8125000000000002E-5</v>
      </c>
      <c r="AS25" s="54">
        <v>0</v>
      </c>
      <c r="AT25" s="54">
        <v>0</v>
      </c>
      <c r="AU25" s="54">
        <v>0</v>
      </c>
      <c r="AV25" s="54">
        <v>0</v>
      </c>
      <c r="AW25" s="54">
        <v>0</v>
      </c>
      <c r="AX25" s="54">
        <v>0</v>
      </c>
      <c r="AY25" s="54">
        <v>0</v>
      </c>
      <c r="AZ25" s="54">
        <v>0</v>
      </c>
      <c r="BA25" s="54">
        <v>0</v>
      </c>
      <c r="BB25" s="54">
        <v>0</v>
      </c>
      <c r="BC25" s="54">
        <v>0</v>
      </c>
      <c r="BD25" s="54">
        <v>0</v>
      </c>
      <c r="BE25" s="54">
        <v>0</v>
      </c>
    </row>
    <row r="26" spans="1:57" x14ac:dyDescent="0.2">
      <c r="A26" s="40">
        <v>17</v>
      </c>
      <c r="B26" s="45" t="s">
        <v>209</v>
      </c>
      <c r="C26" s="45" t="s">
        <v>212</v>
      </c>
      <c r="D26" s="38"/>
      <c r="E26" s="38" t="s">
        <v>194</v>
      </c>
      <c r="F26" s="38"/>
      <c r="H26" s="54">
        <v>-0.05</v>
      </c>
      <c r="I26" s="54">
        <v>-0.05</v>
      </c>
      <c r="J26" s="54">
        <v>-0.05</v>
      </c>
      <c r="K26" s="54">
        <v>-0.05</v>
      </c>
      <c r="L26" s="54">
        <v>-0.05</v>
      </c>
      <c r="M26" s="54">
        <v>-0.05</v>
      </c>
      <c r="N26" s="54">
        <v>-0.1</v>
      </c>
      <c r="O26" s="54">
        <v>-0.1</v>
      </c>
      <c r="P26" s="54">
        <v>-0.16</v>
      </c>
      <c r="Q26" s="54">
        <v>-0.12</v>
      </c>
      <c r="R26" s="54">
        <v>-0.1</v>
      </c>
      <c r="S26" s="54">
        <v>-0.09</v>
      </c>
      <c r="T26" s="54">
        <v>-7.0000000000000007E-2</v>
      </c>
      <c r="U26" s="54">
        <v>-0.06</v>
      </c>
      <c r="V26" s="54">
        <v>-0.04</v>
      </c>
      <c r="W26" s="54">
        <v>-0.4</v>
      </c>
      <c r="X26" s="54">
        <v>-0.4</v>
      </c>
      <c r="Y26" s="54">
        <v>-0.4</v>
      </c>
      <c r="Z26" s="54">
        <v>-0.4</v>
      </c>
      <c r="AA26" s="54">
        <v>5.5E-2</v>
      </c>
      <c r="AB26" s="54">
        <v>5.5E-2</v>
      </c>
      <c r="AC26" s="54">
        <v>5.5E-2</v>
      </c>
      <c r="AD26" s="54">
        <v>-0.26600000000000001</v>
      </c>
      <c r="AE26" s="54">
        <v>-0.26600000000000001</v>
      </c>
      <c r="AF26" s="54">
        <v>-0.01</v>
      </c>
      <c r="AG26" s="54">
        <v>-0.01</v>
      </c>
      <c r="AH26" s="54">
        <v>-0.01</v>
      </c>
      <c r="AI26" s="54">
        <v>-0.01</v>
      </c>
      <c r="AJ26" s="54">
        <v>-0.01</v>
      </c>
      <c r="AK26" s="54">
        <v>-0.01</v>
      </c>
      <c r="AL26" s="54">
        <v>-5.0000000000000001E-3</v>
      </c>
      <c r="AM26" s="54">
        <v>-2.5000000000000001E-3</v>
      </c>
      <c r="AN26" s="54">
        <v>-1.25E-3</v>
      </c>
      <c r="AO26" s="54">
        <v>-6.2500000000000001E-4</v>
      </c>
      <c r="AP26" s="54">
        <v>-3.1250000000000001E-4</v>
      </c>
      <c r="AQ26" s="54">
        <v>-1.5625E-4</v>
      </c>
      <c r="AR26" s="54">
        <v>-7.8125000000000002E-5</v>
      </c>
      <c r="AS26" s="54">
        <v>0</v>
      </c>
      <c r="AT26" s="54">
        <v>0</v>
      </c>
      <c r="AU26" s="54">
        <v>0</v>
      </c>
      <c r="AV26" s="54">
        <v>0</v>
      </c>
      <c r="AW26" s="54">
        <v>0</v>
      </c>
      <c r="AX26" s="54">
        <v>0</v>
      </c>
      <c r="AY26" s="54">
        <v>0</v>
      </c>
      <c r="AZ26" s="54">
        <v>0</v>
      </c>
      <c r="BA26" s="54">
        <v>0</v>
      </c>
      <c r="BB26" s="54">
        <v>0</v>
      </c>
      <c r="BC26" s="54">
        <v>0</v>
      </c>
      <c r="BD26" s="54">
        <v>0</v>
      </c>
      <c r="BE26" s="54">
        <v>0</v>
      </c>
    </row>
    <row r="27" spans="1:57" x14ac:dyDescent="0.2">
      <c r="A27" s="40">
        <v>18</v>
      </c>
      <c r="B27" s="45" t="s">
        <v>209</v>
      </c>
      <c r="C27" s="45" t="s">
        <v>213</v>
      </c>
      <c r="D27" s="38"/>
      <c r="E27" s="38" t="s">
        <v>194</v>
      </c>
      <c r="F27" s="38"/>
      <c r="H27" s="58">
        <v>-0.05</v>
      </c>
      <c r="I27" s="58">
        <v>-0.05</v>
      </c>
      <c r="J27" s="58">
        <v>-0.05</v>
      </c>
      <c r="K27" s="58">
        <v>-0.05</v>
      </c>
      <c r="L27" s="58">
        <v>-0.05</v>
      </c>
      <c r="M27" s="58">
        <v>-0.05</v>
      </c>
      <c r="N27" s="58">
        <v>-0.1</v>
      </c>
      <c r="O27" s="58">
        <v>-0.1</v>
      </c>
      <c r="P27" s="58">
        <v>-0.16</v>
      </c>
      <c r="Q27" s="58">
        <v>-0.12</v>
      </c>
      <c r="R27" s="58">
        <v>-0.1</v>
      </c>
      <c r="S27" s="58">
        <v>-0.09</v>
      </c>
      <c r="T27" s="58">
        <v>-7.0000000000000007E-2</v>
      </c>
      <c r="U27" s="58">
        <v>-0.06</v>
      </c>
      <c r="V27" s="58">
        <v>-0.04</v>
      </c>
      <c r="W27" s="58">
        <v>-0.4</v>
      </c>
      <c r="X27" s="58">
        <v>-0.4</v>
      </c>
      <c r="Y27" s="58">
        <v>-0.4</v>
      </c>
      <c r="Z27" s="58">
        <v>-0.4</v>
      </c>
      <c r="AA27" s="58">
        <v>5.5E-2</v>
      </c>
      <c r="AB27" s="58">
        <v>5.5E-2</v>
      </c>
      <c r="AC27" s="58">
        <v>5.5E-2</v>
      </c>
      <c r="AD27" s="58">
        <v>-0.26600000000000001</v>
      </c>
      <c r="AE27" s="58">
        <v>-0.26600000000000001</v>
      </c>
      <c r="AF27" s="58">
        <v>-0.01</v>
      </c>
      <c r="AG27" s="58">
        <v>-0.01</v>
      </c>
      <c r="AH27" s="58">
        <v>-0.01</v>
      </c>
      <c r="AI27" s="58">
        <v>-0.01</v>
      </c>
      <c r="AJ27" s="58">
        <v>-0.01</v>
      </c>
      <c r="AK27" s="58">
        <v>-0.01</v>
      </c>
      <c r="AL27" s="58">
        <v>-5.0000000000000001E-3</v>
      </c>
      <c r="AM27" s="58">
        <v>-2.5000000000000001E-3</v>
      </c>
      <c r="AN27" s="58">
        <v>-1.25E-3</v>
      </c>
      <c r="AO27" s="58">
        <v>-6.2500000000000001E-4</v>
      </c>
      <c r="AP27" s="58">
        <v>-3.1250000000000001E-4</v>
      </c>
      <c r="AQ27" s="58">
        <v>-1.5625E-4</v>
      </c>
      <c r="AR27" s="58">
        <v>-7.8125000000000002E-5</v>
      </c>
      <c r="AS27" s="58">
        <v>0</v>
      </c>
      <c r="AT27" s="58">
        <v>0</v>
      </c>
      <c r="AU27" s="58">
        <v>0</v>
      </c>
      <c r="AV27" s="58">
        <v>0</v>
      </c>
      <c r="AW27" s="58">
        <v>0</v>
      </c>
      <c r="AX27" s="58">
        <v>0</v>
      </c>
      <c r="AY27" s="58">
        <v>0</v>
      </c>
      <c r="AZ27" s="58">
        <v>0</v>
      </c>
      <c r="BA27" s="58">
        <v>0</v>
      </c>
      <c r="BB27" s="58">
        <v>0</v>
      </c>
      <c r="BC27" s="58">
        <v>0</v>
      </c>
      <c r="BD27" s="58">
        <v>0</v>
      </c>
      <c r="BE27" s="58">
        <v>0</v>
      </c>
    </row>
    <row r="28" spans="1:57" x14ac:dyDescent="0.2">
      <c r="A28" s="40">
        <v>19</v>
      </c>
      <c r="B28" s="45" t="s">
        <v>214</v>
      </c>
      <c r="C28" s="45" t="s">
        <v>215</v>
      </c>
      <c r="D28" s="38"/>
      <c r="E28" s="38" t="s">
        <v>194</v>
      </c>
      <c r="F28" s="38"/>
      <c r="H28" s="51">
        <v>-0.05</v>
      </c>
      <c r="I28" s="51">
        <v>-0.05</v>
      </c>
      <c r="J28" s="51">
        <v>-0.05</v>
      </c>
      <c r="K28" s="51">
        <v>-0.05</v>
      </c>
      <c r="L28" s="51">
        <v>-0.05</v>
      </c>
      <c r="M28" s="51">
        <v>-0.05</v>
      </c>
      <c r="N28" s="51">
        <v>-0.1</v>
      </c>
      <c r="O28" s="51">
        <v>-0.1</v>
      </c>
      <c r="P28" s="51">
        <v>-0.16</v>
      </c>
      <c r="Q28" s="51">
        <v>-0.12</v>
      </c>
      <c r="R28" s="51">
        <v>-0.1</v>
      </c>
      <c r="S28" s="51">
        <v>-0.09</v>
      </c>
      <c r="T28" s="51">
        <v>-7.0000000000000007E-2</v>
      </c>
      <c r="U28" s="51">
        <v>-0.06</v>
      </c>
      <c r="V28" s="59">
        <v>-0.04</v>
      </c>
      <c r="W28" s="59">
        <v>-0.04</v>
      </c>
      <c r="X28" s="59">
        <v>-0.04</v>
      </c>
      <c r="Y28" s="59">
        <v>-0.04</v>
      </c>
      <c r="Z28" s="51">
        <v>-0.04</v>
      </c>
      <c r="AA28" s="47">
        <v>-3.3333333333333333E-2</v>
      </c>
      <c r="AB28" s="47">
        <v>-2.6666666666666665E-2</v>
      </c>
      <c r="AC28" s="59">
        <v>-0.02</v>
      </c>
      <c r="AD28" s="59">
        <v>-0.02</v>
      </c>
      <c r="AE28" s="59">
        <v>-0.02</v>
      </c>
      <c r="AF28" s="59">
        <v>-0.02</v>
      </c>
      <c r="AG28" s="59">
        <v>-0.02</v>
      </c>
      <c r="AH28" s="59">
        <v>-0.02</v>
      </c>
      <c r="AI28" s="59">
        <v>-0.02</v>
      </c>
      <c r="AJ28" s="59">
        <v>-0.02</v>
      </c>
      <c r="AK28" s="59">
        <v>-0.02</v>
      </c>
      <c r="AL28" s="60">
        <v>-0.01</v>
      </c>
      <c r="AM28" s="60">
        <v>-0.01</v>
      </c>
      <c r="AN28" s="60">
        <v>-0.01</v>
      </c>
      <c r="AO28" s="60">
        <v>-0.01</v>
      </c>
      <c r="AP28" s="60">
        <v>-0.01</v>
      </c>
      <c r="AQ28" s="60">
        <v>-0.01</v>
      </c>
      <c r="AR28" s="60">
        <v>-0.01</v>
      </c>
      <c r="AS28" s="51">
        <v>0</v>
      </c>
      <c r="AT28" s="51">
        <v>0</v>
      </c>
      <c r="AU28" s="51">
        <v>0</v>
      </c>
      <c r="AV28" s="51">
        <v>0</v>
      </c>
      <c r="AW28" s="51">
        <v>0</v>
      </c>
      <c r="AX28" s="51">
        <v>0</v>
      </c>
      <c r="AY28" s="51">
        <v>0</v>
      </c>
      <c r="AZ28" s="51">
        <v>0</v>
      </c>
      <c r="BA28" s="51">
        <v>0</v>
      </c>
      <c r="BB28" s="51">
        <v>0</v>
      </c>
      <c r="BC28" s="51">
        <v>0</v>
      </c>
      <c r="BD28" s="51">
        <v>0</v>
      </c>
      <c r="BE28" s="51">
        <v>0</v>
      </c>
    </row>
    <row r="29" spans="1:57" x14ac:dyDescent="0.2">
      <c r="A29" s="40">
        <v>20</v>
      </c>
      <c r="B29" s="45" t="s">
        <v>214</v>
      </c>
      <c r="C29" s="45" t="s">
        <v>216</v>
      </c>
      <c r="D29" s="38"/>
      <c r="E29" s="38" t="s">
        <v>194</v>
      </c>
      <c r="F29" s="38"/>
      <c r="H29" s="51">
        <v>-0.05</v>
      </c>
      <c r="I29" s="51">
        <v>-0.05</v>
      </c>
      <c r="J29" s="51">
        <v>-0.05</v>
      </c>
      <c r="K29" s="51">
        <v>-0.05</v>
      </c>
      <c r="L29" s="51">
        <v>-0.05</v>
      </c>
      <c r="M29" s="51">
        <v>-0.05</v>
      </c>
      <c r="N29" s="51">
        <v>-0.05</v>
      </c>
      <c r="O29" s="51">
        <v>-0.05</v>
      </c>
      <c r="P29" s="51">
        <v>-0.05</v>
      </c>
      <c r="Q29" s="51">
        <v>-0.05</v>
      </c>
      <c r="R29" s="51">
        <v>-0.05</v>
      </c>
      <c r="S29" s="51">
        <v>-0.05</v>
      </c>
      <c r="T29" s="51">
        <v>-0.05</v>
      </c>
      <c r="U29" s="51">
        <v>-0.05</v>
      </c>
      <c r="V29" s="59">
        <v>-0.05</v>
      </c>
      <c r="W29" s="59">
        <v>-0.05</v>
      </c>
      <c r="X29" s="59">
        <v>-0.05</v>
      </c>
      <c r="Y29" s="59">
        <v>-0.05</v>
      </c>
      <c r="Z29" s="51">
        <v>-0.05</v>
      </c>
      <c r="AA29" s="47">
        <v>-4.1666666666666671E-2</v>
      </c>
      <c r="AB29" s="47">
        <v>-3.333333333333334E-2</v>
      </c>
      <c r="AC29" s="59">
        <v>-2.5000000000000001E-2</v>
      </c>
      <c r="AD29" s="59">
        <v>-2.5000000000000001E-2</v>
      </c>
      <c r="AE29" s="59">
        <v>-2.5000000000000001E-2</v>
      </c>
      <c r="AF29" s="59">
        <v>-2.5000000000000001E-2</v>
      </c>
      <c r="AG29" s="59">
        <v>-2.5000000000000001E-2</v>
      </c>
      <c r="AH29" s="59">
        <v>-2.5000000000000001E-2</v>
      </c>
      <c r="AI29" s="59">
        <v>-2.5000000000000001E-2</v>
      </c>
      <c r="AJ29" s="59">
        <v>-2.5000000000000001E-2</v>
      </c>
      <c r="AK29" s="59">
        <v>-2.5000000000000001E-2</v>
      </c>
      <c r="AL29" s="60">
        <v>-1.2500000000000001E-2</v>
      </c>
      <c r="AM29" s="60">
        <v>-1.2500000000000001E-2</v>
      </c>
      <c r="AN29" s="60">
        <v>-1.2500000000000001E-2</v>
      </c>
      <c r="AO29" s="60">
        <v>-1.2500000000000001E-2</v>
      </c>
      <c r="AP29" s="60">
        <v>-1.2500000000000001E-2</v>
      </c>
      <c r="AQ29" s="60">
        <v>-1.2500000000000001E-2</v>
      </c>
      <c r="AR29" s="60">
        <v>-1.2500000000000001E-2</v>
      </c>
      <c r="AS29" s="51">
        <v>0</v>
      </c>
      <c r="AT29" s="51">
        <v>0</v>
      </c>
      <c r="AU29" s="51">
        <v>0</v>
      </c>
      <c r="AV29" s="51">
        <v>0</v>
      </c>
      <c r="AW29" s="51">
        <v>0</v>
      </c>
      <c r="AX29" s="51">
        <v>0</v>
      </c>
      <c r="AY29" s="51">
        <v>0</v>
      </c>
      <c r="AZ29" s="51">
        <v>0</v>
      </c>
      <c r="BA29" s="51">
        <v>0</v>
      </c>
      <c r="BB29" s="51">
        <v>0</v>
      </c>
      <c r="BC29" s="51">
        <v>0</v>
      </c>
      <c r="BD29" s="51">
        <v>0</v>
      </c>
      <c r="BE29" s="51">
        <v>0</v>
      </c>
    </row>
    <row r="30" spans="1:57" x14ac:dyDescent="0.2">
      <c r="A30" s="40">
        <v>21</v>
      </c>
      <c r="B30" s="45" t="s">
        <v>214</v>
      </c>
      <c r="C30" s="45" t="s">
        <v>217</v>
      </c>
      <c r="D30" s="38"/>
      <c r="E30" s="38" t="s">
        <v>194</v>
      </c>
      <c r="F30" s="38"/>
      <c r="H30" s="61">
        <v>-0.05</v>
      </c>
      <c r="I30" s="61">
        <v>-0.05</v>
      </c>
      <c r="J30" s="61">
        <v>-0.05</v>
      </c>
      <c r="K30" s="61">
        <v>-0.05</v>
      </c>
      <c r="L30" s="61">
        <v>-0.05</v>
      </c>
      <c r="M30" s="61">
        <v>-0.05</v>
      </c>
      <c r="N30" s="61">
        <v>-0.05</v>
      </c>
      <c r="O30" s="61">
        <v>-0.05</v>
      </c>
      <c r="P30" s="61">
        <v>-0.05</v>
      </c>
      <c r="Q30" s="61">
        <v>-0.05</v>
      </c>
      <c r="R30" s="61">
        <v>-0.05</v>
      </c>
      <c r="S30" s="61">
        <v>-0.05</v>
      </c>
      <c r="T30" s="61">
        <v>-0.05</v>
      </c>
      <c r="U30" s="61">
        <v>-0.05</v>
      </c>
      <c r="V30" s="61">
        <v>-0.05</v>
      </c>
      <c r="W30" s="61">
        <v>-0.05</v>
      </c>
      <c r="X30" s="61">
        <v>-0.05</v>
      </c>
      <c r="Y30" s="61">
        <v>-0.05</v>
      </c>
      <c r="Z30" s="61">
        <v>-0.05</v>
      </c>
      <c r="AA30" s="61">
        <v>-4.1666666666666671E-2</v>
      </c>
      <c r="AB30" s="61">
        <v>-3.333333333333334E-2</v>
      </c>
      <c r="AC30" s="61">
        <v>-2.5000000000000001E-2</v>
      </c>
      <c r="AD30" s="61">
        <v>-2.5000000000000001E-2</v>
      </c>
      <c r="AE30" s="61">
        <v>-2.5000000000000001E-2</v>
      </c>
      <c r="AF30" s="61">
        <v>-2.5000000000000001E-2</v>
      </c>
      <c r="AG30" s="61">
        <v>-2.5000000000000001E-2</v>
      </c>
      <c r="AH30" s="61">
        <v>-2.5000000000000001E-2</v>
      </c>
      <c r="AI30" s="61">
        <v>-2.5000000000000001E-2</v>
      </c>
      <c r="AJ30" s="61">
        <v>-2.5000000000000001E-2</v>
      </c>
      <c r="AK30" s="61">
        <v>-2.5000000000000001E-2</v>
      </c>
      <c r="AL30" s="61">
        <v>-1.2500000000000001E-2</v>
      </c>
      <c r="AM30" s="61">
        <v>-1.2500000000000001E-2</v>
      </c>
      <c r="AN30" s="61">
        <v>-1.2500000000000001E-2</v>
      </c>
      <c r="AO30" s="61">
        <v>-1.2500000000000001E-2</v>
      </c>
      <c r="AP30" s="61">
        <v>-1.2500000000000001E-2</v>
      </c>
      <c r="AQ30" s="61">
        <v>-1.2500000000000001E-2</v>
      </c>
      <c r="AR30" s="61">
        <v>-1.2500000000000001E-2</v>
      </c>
      <c r="AS30" s="61">
        <v>0</v>
      </c>
      <c r="AT30" s="61">
        <v>0</v>
      </c>
      <c r="AU30" s="61">
        <v>0</v>
      </c>
      <c r="AV30" s="61">
        <v>0</v>
      </c>
      <c r="AW30" s="61">
        <v>0</v>
      </c>
      <c r="AX30" s="61">
        <v>0</v>
      </c>
      <c r="AY30" s="61">
        <v>0</v>
      </c>
      <c r="AZ30" s="61">
        <v>0</v>
      </c>
      <c r="BA30" s="61">
        <v>0</v>
      </c>
      <c r="BB30" s="61">
        <v>0</v>
      </c>
      <c r="BC30" s="61">
        <v>0</v>
      </c>
      <c r="BD30" s="61">
        <v>0</v>
      </c>
      <c r="BE30" s="61">
        <v>0</v>
      </c>
    </row>
    <row r="31" spans="1:57" x14ac:dyDescent="0.2">
      <c r="A31" s="40">
        <v>22</v>
      </c>
      <c r="B31" s="45" t="s">
        <v>214</v>
      </c>
      <c r="C31" s="45" t="s">
        <v>218</v>
      </c>
      <c r="D31" s="38"/>
      <c r="E31" s="38" t="s">
        <v>194</v>
      </c>
      <c r="F31" s="38"/>
      <c r="H31" s="56">
        <v>-0.05</v>
      </c>
      <c r="I31" s="56">
        <v>-0.05</v>
      </c>
      <c r="J31" s="56">
        <v>-0.05</v>
      </c>
      <c r="K31" s="56">
        <v>-0.05</v>
      </c>
      <c r="L31" s="56">
        <v>-0.05</v>
      </c>
      <c r="M31" s="56">
        <v>-0.05</v>
      </c>
      <c r="N31" s="56">
        <v>-0.05</v>
      </c>
      <c r="O31" s="56">
        <v>-0.05</v>
      </c>
      <c r="P31" s="56">
        <v>-0.05</v>
      </c>
      <c r="Q31" s="56">
        <v>-0.05</v>
      </c>
      <c r="R31" s="56">
        <v>-0.05</v>
      </c>
      <c r="S31" s="56">
        <v>-0.05</v>
      </c>
      <c r="T31" s="56">
        <v>-0.05</v>
      </c>
      <c r="U31" s="56">
        <v>-0.05</v>
      </c>
      <c r="V31" s="56">
        <v>-0.05</v>
      </c>
      <c r="W31" s="56">
        <v>-0.05</v>
      </c>
      <c r="X31" s="56">
        <v>-0.05</v>
      </c>
      <c r="Y31" s="56">
        <v>-0.05</v>
      </c>
      <c r="Z31" s="56">
        <v>-0.05</v>
      </c>
      <c r="AA31" s="56">
        <v>-4.1666666666666671E-2</v>
      </c>
      <c r="AB31" s="56">
        <v>-3.333333333333334E-2</v>
      </c>
      <c r="AC31" s="56">
        <v>-2.5000000000000001E-2</v>
      </c>
      <c r="AD31" s="56">
        <v>-2.5000000000000001E-2</v>
      </c>
      <c r="AE31" s="56">
        <v>-2.5000000000000001E-2</v>
      </c>
      <c r="AF31" s="56">
        <v>-2.5000000000000001E-2</v>
      </c>
      <c r="AG31" s="56">
        <v>-2.5000000000000001E-2</v>
      </c>
      <c r="AH31" s="56">
        <v>-2.5000000000000001E-2</v>
      </c>
      <c r="AI31" s="56">
        <v>-2.5000000000000001E-2</v>
      </c>
      <c r="AJ31" s="56">
        <v>-2.5000000000000001E-2</v>
      </c>
      <c r="AK31" s="56">
        <v>-2.5000000000000001E-2</v>
      </c>
      <c r="AL31" s="56">
        <v>-1.2500000000000001E-2</v>
      </c>
      <c r="AM31" s="56">
        <v>-1.2500000000000001E-2</v>
      </c>
      <c r="AN31" s="56">
        <v>-1.2500000000000001E-2</v>
      </c>
      <c r="AO31" s="56">
        <v>-1.2500000000000001E-2</v>
      </c>
      <c r="AP31" s="56">
        <v>-1.2500000000000001E-2</v>
      </c>
      <c r="AQ31" s="56">
        <v>-1.2500000000000001E-2</v>
      </c>
      <c r="AR31" s="56">
        <v>-1.2500000000000001E-2</v>
      </c>
      <c r="AS31" s="56">
        <v>0</v>
      </c>
      <c r="AT31" s="56">
        <v>0</v>
      </c>
      <c r="AU31" s="56">
        <v>0</v>
      </c>
      <c r="AV31" s="56">
        <v>0</v>
      </c>
      <c r="AW31" s="56">
        <v>0</v>
      </c>
      <c r="AX31" s="56">
        <v>0</v>
      </c>
      <c r="AY31" s="56">
        <v>0</v>
      </c>
      <c r="AZ31" s="56">
        <v>0</v>
      </c>
      <c r="BA31" s="56">
        <v>0</v>
      </c>
      <c r="BB31" s="56">
        <v>0</v>
      </c>
      <c r="BC31" s="56">
        <v>0</v>
      </c>
      <c r="BD31" s="56">
        <v>0</v>
      </c>
      <c r="BE31" s="56">
        <v>0</v>
      </c>
    </row>
    <row r="32" spans="1:57" x14ac:dyDescent="0.2">
      <c r="A32" s="40">
        <v>23</v>
      </c>
      <c r="B32" s="45" t="s">
        <v>219</v>
      </c>
      <c r="C32" s="45" t="s">
        <v>220</v>
      </c>
      <c r="D32" s="38"/>
      <c r="E32" s="38" t="s">
        <v>194</v>
      </c>
      <c r="F32" s="38"/>
      <c r="H32" s="61">
        <v>0</v>
      </c>
      <c r="I32" s="61">
        <v>0</v>
      </c>
      <c r="J32" s="61">
        <v>0</v>
      </c>
      <c r="K32" s="61">
        <v>0</v>
      </c>
      <c r="L32" s="61">
        <v>0</v>
      </c>
      <c r="M32" s="61">
        <v>0</v>
      </c>
      <c r="N32" s="61">
        <v>0</v>
      </c>
      <c r="O32" s="61">
        <v>0</v>
      </c>
      <c r="P32" s="61">
        <v>0</v>
      </c>
      <c r="Q32" s="61">
        <v>0</v>
      </c>
      <c r="R32" s="61">
        <v>0</v>
      </c>
      <c r="S32" s="61">
        <v>0</v>
      </c>
      <c r="T32" s="61">
        <v>0</v>
      </c>
      <c r="U32" s="61">
        <v>0</v>
      </c>
      <c r="V32" s="61">
        <v>0</v>
      </c>
      <c r="W32" s="61">
        <v>0</v>
      </c>
      <c r="X32" s="61">
        <v>0</v>
      </c>
      <c r="Y32" s="61">
        <v>0</v>
      </c>
      <c r="Z32" s="61">
        <v>0.01</v>
      </c>
      <c r="AA32" s="61">
        <v>-0.15</v>
      </c>
      <c r="AB32" s="61">
        <v>-0.15</v>
      </c>
      <c r="AC32" s="61">
        <v>-0.15</v>
      </c>
      <c r="AD32" s="61">
        <v>7.0000000000000001E-3</v>
      </c>
      <c r="AE32" s="61">
        <v>7.0000000000000001E-3</v>
      </c>
      <c r="AF32" s="61">
        <v>0.02</v>
      </c>
      <c r="AG32" s="61">
        <v>5.0000000000000001E-3</v>
      </c>
      <c r="AH32" s="61">
        <v>5.0000000000000001E-3</v>
      </c>
      <c r="AI32" s="61">
        <v>5.0000000000000001E-3</v>
      </c>
      <c r="AJ32" s="61">
        <v>0</v>
      </c>
      <c r="AK32" s="61">
        <v>0</v>
      </c>
      <c r="AL32" s="61">
        <v>0</v>
      </c>
      <c r="AM32" s="61">
        <v>0</v>
      </c>
      <c r="AN32" s="61">
        <v>0</v>
      </c>
      <c r="AO32" s="61">
        <v>0</v>
      </c>
      <c r="AP32" s="61">
        <v>0</v>
      </c>
      <c r="AQ32" s="61">
        <v>0</v>
      </c>
      <c r="AR32" s="61">
        <v>0</v>
      </c>
      <c r="AS32" s="61">
        <v>0</v>
      </c>
      <c r="AT32" s="61">
        <v>0</v>
      </c>
      <c r="AU32" s="61">
        <v>0</v>
      </c>
      <c r="AV32" s="61">
        <v>0</v>
      </c>
      <c r="AW32" s="61">
        <v>0</v>
      </c>
      <c r="AX32" s="61">
        <v>0</v>
      </c>
      <c r="AY32" s="61">
        <v>0</v>
      </c>
      <c r="AZ32" s="61">
        <v>0</v>
      </c>
      <c r="BA32" s="61">
        <v>0</v>
      </c>
      <c r="BB32" s="61">
        <v>0</v>
      </c>
      <c r="BC32" s="61">
        <v>0</v>
      </c>
      <c r="BD32" s="61">
        <v>0</v>
      </c>
      <c r="BE32" s="61">
        <v>0</v>
      </c>
    </row>
    <row r="33" spans="1:57" x14ac:dyDescent="0.2">
      <c r="A33" s="40">
        <v>24</v>
      </c>
      <c r="B33" s="45" t="s">
        <v>219</v>
      </c>
      <c r="C33" s="45" t="s">
        <v>221</v>
      </c>
      <c r="D33" s="38"/>
      <c r="E33" s="38" t="s">
        <v>194</v>
      </c>
      <c r="F33" s="38"/>
      <c r="H33" s="56">
        <v>0</v>
      </c>
      <c r="I33" s="56">
        <v>0</v>
      </c>
      <c r="J33" s="56">
        <v>0</v>
      </c>
      <c r="K33" s="56">
        <v>0</v>
      </c>
      <c r="L33" s="56">
        <v>0</v>
      </c>
      <c r="M33" s="56">
        <v>0</v>
      </c>
      <c r="N33" s="56">
        <v>0</v>
      </c>
      <c r="O33" s="56">
        <v>0</v>
      </c>
      <c r="P33" s="56">
        <v>0</v>
      </c>
      <c r="Q33" s="56">
        <v>0</v>
      </c>
      <c r="R33" s="56">
        <v>0</v>
      </c>
      <c r="S33" s="56">
        <v>0</v>
      </c>
      <c r="T33" s="56">
        <v>0</v>
      </c>
      <c r="U33" s="56">
        <v>0</v>
      </c>
      <c r="V33" s="56">
        <v>0</v>
      </c>
      <c r="W33" s="56">
        <v>0</v>
      </c>
      <c r="X33" s="56">
        <v>0</v>
      </c>
      <c r="Y33" s="56">
        <v>0</v>
      </c>
      <c r="Z33" s="56">
        <v>0.01</v>
      </c>
      <c r="AA33" s="56">
        <v>-0.15</v>
      </c>
      <c r="AB33" s="56">
        <v>-0.15</v>
      </c>
      <c r="AC33" s="56">
        <v>-0.15</v>
      </c>
      <c r="AD33" s="56">
        <v>7.0000000000000001E-3</v>
      </c>
      <c r="AE33" s="56">
        <v>7.0000000000000001E-3</v>
      </c>
      <c r="AF33" s="56">
        <v>0.02</v>
      </c>
      <c r="AG33" s="56">
        <v>5.0000000000000001E-3</v>
      </c>
      <c r="AH33" s="56">
        <v>5.0000000000000001E-3</v>
      </c>
      <c r="AI33" s="56">
        <v>5.0000000000000001E-3</v>
      </c>
      <c r="AJ33" s="56">
        <v>0</v>
      </c>
      <c r="AK33" s="56">
        <v>0</v>
      </c>
      <c r="AL33" s="56">
        <v>0</v>
      </c>
      <c r="AM33" s="56">
        <v>0</v>
      </c>
      <c r="AN33" s="56">
        <v>0</v>
      </c>
      <c r="AO33" s="56">
        <v>0</v>
      </c>
      <c r="AP33" s="56">
        <v>0</v>
      </c>
      <c r="AQ33" s="56">
        <v>0</v>
      </c>
      <c r="AR33" s="56">
        <v>0</v>
      </c>
      <c r="AS33" s="56">
        <v>0</v>
      </c>
      <c r="AT33" s="56">
        <v>0</v>
      </c>
      <c r="AU33" s="56">
        <v>0</v>
      </c>
      <c r="AV33" s="56">
        <v>0</v>
      </c>
      <c r="AW33" s="56">
        <v>0</v>
      </c>
      <c r="AX33" s="56">
        <v>0</v>
      </c>
      <c r="AY33" s="56">
        <v>0</v>
      </c>
      <c r="AZ33" s="56">
        <v>0</v>
      </c>
      <c r="BA33" s="56">
        <v>0</v>
      </c>
      <c r="BB33" s="56">
        <v>0</v>
      </c>
      <c r="BC33" s="56">
        <v>0</v>
      </c>
      <c r="BD33" s="56">
        <v>0</v>
      </c>
      <c r="BE33" s="56">
        <v>0</v>
      </c>
    </row>
    <row r="34" spans="1:57" x14ac:dyDescent="0.2">
      <c r="A34" s="40">
        <v>25</v>
      </c>
      <c r="B34" s="45" t="s">
        <v>222</v>
      </c>
      <c r="C34" s="45" t="s">
        <v>223</v>
      </c>
      <c r="D34" s="38"/>
      <c r="E34" s="38" t="s">
        <v>194</v>
      </c>
      <c r="F34" s="38"/>
      <c r="H34" s="54">
        <v>-0.05</v>
      </c>
      <c r="I34" s="54">
        <v>-0.05</v>
      </c>
      <c r="J34" s="54">
        <v>-0.05</v>
      </c>
      <c r="K34" s="54">
        <v>-0.05</v>
      </c>
      <c r="L34" s="54">
        <v>-0.05</v>
      </c>
      <c r="M34" s="54">
        <v>-0.05</v>
      </c>
      <c r="N34" s="54">
        <v>-0.1</v>
      </c>
      <c r="O34" s="54">
        <v>-0.1</v>
      </c>
      <c r="P34" s="54">
        <v>-0.16</v>
      </c>
      <c r="Q34" s="54">
        <v>-0.12</v>
      </c>
      <c r="R34" s="54">
        <v>-0.1</v>
      </c>
      <c r="S34" s="54">
        <v>-0.09</v>
      </c>
      <c r="T34" s="54">
        <v>-7.0000000000000007E-2</v>
      </c>
      <c r="U34" s="54">
        <v>-0.06</v>
      </c>
      <c r="V34" s="54">
        <v>-0.04</v>
      </c>
      <c r="W34" s="54">
        <v>-0.04</v>
      </c>
      <c r="X34" s="54">
        <v>-0.04</v>
      </c>
      <c r="Y34" s="54">
        <v>-0.04</v>
      </c>
      <c r="Z34" s="54">
        <v>-0.04</v>
      </c>
      <c r="AA34" s="54">
        <v>-3.3333333333333333E-2</v>
      </c>
      <c r="AB34" s="54">
        <v>-2.6666666666666665E-2</v>
      </c>
      <c r="AC34" s="54">
        <v>-0.02</v>
      </c>
      <c r="AD34" s="54">
        <v>-0.02</v>
      </c>
      <c r="AE34" s="54">
        <v>-0.02</v>
      </c>
      <c r="AF34" s="54">
        <v>-0.02</v>
      </c>
      <c r="AG34" s="54">
        <v>-0.02</v>
      </c>
      <c r="AH34" s="54">
        <v>-0.02</v>
      </c>
      <c r="AI34" s="54">
        <v>-0.02</v>
      </c>
      <c r="AJ34" s="54">
        <v>-0.02</v>
      </c>
      <c r="AK34" s="54">
        <v>-0.02</v>
      </c>
      <c r="AL34" s="54">
        <v>-0.01</v>
      </c>
      <c r="AM34" s="54">
        <v>-0.01</v>
      </c>
      <c r="AN34" s="54">
        <v>-0.01</v>
      </c>
      <c r="AO34" s="54">
        <v>-0.01</v>
      </c>
      <c r="AP34" s="54">
        <v>-0.01</v>
      </c>
      <c r="AQ34" s="54">
        <v>-0.01</v>
      </c>
      <c r="AR34" s="54">
        <v>-0.01</v>
      </c>
      <c r="AS34" s="54">
        <v>0</v>
      </c>
      <c r="AT34" s="54">
        <v>0</v>
      </c>
      <c r="AU34" s="54">
        <v>0</v>
      </c>
      <c r="AV34" s="54">
        <v>0</v>
      </c>
      <c r="AW34" s="54">
        <v>0</v>
      </c>
      <c r="AX34" s="54">
        <v>0</v>
      </c>
      <c r="AY34" s="54">
        <v>0</v>
      </c>
      <c r="AZ34" s="54">
        <v>0</v>
      </c>
      <c r="BA34" s="54">
        <v>0</v>
      </c>
      <c r="BB34" s="54">
        <v>0</v>
      </c>
      <c r="BC34" s="54">
        <v>0</v>
      </c>
      <c r="BD34" s="54">
        <v>0</v>
      </c>
      <c r="BE34" s="54">
        <v>0</v>
      </c>
    </row>
    <row r="35" spans="1:57" x14ac:dyDescent="0.2">
      <c r="A35" s="40">
        <v>26</v>
      </c>
      <c r="B35" s="45" t="s">
        <v>224</v>
      </c>
      <c r="C35" s="45" t="s">
        <v>225</v>
      </c>
      <c r="D35" s="38"/>
      <c r="E35" s="38" t="s">
        <v>194</v>
      </c>
      <c r="F35" s="38"/>
      <c r="H35" s="54">
        <v>-0.05</v>
      </c>
      <c r="I35" s="54">
        <v>-0.05</v>
      </c>
      <c r="J35" s="54">
        <v>-0.05</v>
      </c>
      <c r="K35" s="54">
        <v>-0.05</v>
      </c>
      <c r="L35" s="54">
        <v>-0.05</v>
      </c>
      <c r="M35" s="54">
        <v>-0.05</v>
      </c>
      <c r="N35" s="54">
        <v>-0.1</v>
      </c>
      <c r="O35" s="54">
        <v>-0.1</v>
      </c>
      <c r="P35" s="54">
        <v>-0.16</v>
      </c>
      <c r="Q35" s="54">
        <v>-0.12</v>
      </c>
      <c r="R35" s="54">
        <v>-0.1</v>
      </c>
      <c r="S35" s="54">
        <v>-0.09</v>
      </c>
      <c r="T35" s="54">
        <v>-7.0000000000000007E-2</v>
      </c>
      <c r="U35" s="54">
        <v>-0.06</v>
      </c>
      <c r="V35" s="54">
        <v>-0.04</v>
      </c>
      <c r="W35" s="54">
        <v>-0.04</v>
      </c>
      <c r="X35" s="54">
        <v>-0.04</v>
      </c>
      <c r="Y35" s="54">
        <v>-0.04</v>
      </c>
      <c r="Z35" s="54">
        <v>-0.04</v>
      </c>
      <c r="AA35" s="54">
        <v>-3.3333333333333333E-2</v>
      </c>
      <c r="AB35" s="54">
        <v>-2.6666666666666665E-2</v>
      </c>
      <c r="AC35" s="54">
        <v>-0.02</v>
      </c>
      <c r="AD35" s="54">
        <v>-0.02</v>
      </c>
      <c r="AE35" s="54">
        <v>-0.02</v>
      </c>
      <c r="AF35" s="54">
        <v>-0.02</v>
      </c>
      <c r="AG35" s="54">
        <v>-0.02</v>
      </c>
      <c r="AH35" s="54">
        <v>-0.02</v>
      </c>
      <c r="AI35" s="54">
        <v>-0.02</v>
      </c>
      <c r="AJ35" s="54">
        <v>-0.02</v>
      </c>
      <c r="AK35" s="54">
        <v>-0.02</v>
      </c>
      <c r="AL35" s="54">
        <v>-0.01</v>
      </c>
      <c r="AM35" s="54">
        <v>-0.01</v>
      </c>
      <c r="AN35" s="54">
        <v>-0.01</v>
      </c>
      <c r="AO35" s="54">
        <v>-0.01</v>
      </c>
      <c r="AP35" s="54">
        <v>-0.01</v>
      </c>
      <c r="AQ35" s="54">
        <v>-0.01</v>
      </c>
      <c r="AR35" s="54">
        <v>-0.01</v>
      </c>
      <c r="AS35" s="54">
        <v>0</v>
      </c>
      <c r="AT35" s="54">
        <v>0</v>
      </c>
      <c r="AU35" s="54">
        <v>0</v>
      </c>
      <c r="AV35" s="54">
        <v>0</v>
      </c>
      <c r="AW35" s="54">
        <v>0</v>
      </c>
      <c r="AX35" s="54">
        <v>0</v>
      </c>
      <c r="AY35" s="54">
        <v>0</v>
      </c>
      <c r="AZ35" s="54">
        <v>0</v>
      </c>
      <c r="BA35" s="54">
        <v>0</v>
      </c>
      <c r="BB35" s="54">
        <v>0</v>
      </c>
      <c r="BC35" s="54">
        <v>0</v>
      </c>
      <c r="BD35" s="54">
        <v>0</v>
      </c>
      <c r="BE35" s="54">
        <v>0</v>
      </c>
    </row>
    <row r="36" spans="1:57" x14ac:dyDescent="0.2">
      <c r="A36" s="40">
        <v>27</v>
      </c>
      <c r="B36" s="45" t="s">
        <v>226</v>
      </c>
      <c r="C36" s="45" t="s">
        <v>227</v>
      </c>
      <c r="D36" s="38"/>
      <c r="E36" s="38" t="s">
        <v>194</v>
      </c>
      <c r="F36" s="38"/>
      <c r="H36" s="54">
        <v>-0.05</v>
      </c>
      <c r="I36" s="54">
        <v>-0.05</v>
      </c>
      <c r="J36" s="54">
        <v>-0.05</v>
      </c>
      <c r="K36" s="54">
        <v>-0.05</v>
      </c>
      <c r="L36" s="54">
        <v>-0.05</v>
      </c>
      <c r="M36" s="54">
        <v>-0.05</v>
      </c>
      <c r="N36" s="54">
        <v>-0.1</v>
      </c>
      <c r="O36" s="54">
        <v>-0.1</v>
      </c>
      <c r="P36" s="54">
        <v>-0.16</v>
      </c>
      <c r="Q36" s="54">
        <v>-0.12</v>
      </c>
      <c r="R36" s="54">
        <v>-0.1</v>
      </c>
      <c r="S36" s="54">
        <v>-0.09</v>
      </c>
      <c r="T36" s="54">
        <v>-7.0000000000000007E-2</v>
      </c>
      <c r="U36" s="54">
        <v>-0.06</v>
      </c>
      <c r="V36" s="54">
        <v>-0.04</v>
      </c>
      <c r="W36" s="54">
        <v>-0.04</v>
      </c>
      <c r="X36" s="54">
        <v>-0.04</v>
      </c>
      <c r="Y36" s="54">
        <v>-0.04</v>
      </c>
      <c r="Z36" s="54">
        <v>-0.04</v>
      </c>
      <c r="AA36" s="54">
        <v>-3.3333333333333333E-2</v>
      </c>
      <c r="AB36" s="54">
        <v>-2.6666666666666665E-2</v>
      </c>
      <c r="AC36" s="54">
        <v>-0.02</v>
      </c>
      <c r="AD36" s="54">
        <v>-0.02</v>
      </c>
      <c r="AE36" s="54">
        <v>-0.02</v>
      </c>
      <c r="AF36" s="54">
        <v>-0.02</v>
      </c>
      <c r="AG36" s="54">
        <v>-0.02</v>
      </c>
      <c r="AH36" s="54">
        <v>-0.02</v>
      </c>
      <c r="AI36" s="54">
        <v>-0.02</v>
      </c>
      <c r="AJ36" s="54">
        <v>-0.02</v>
      </c>
      <c r="AK36" s="54">
        <v>-0.02</v>
      </c>
      <c r="AL36" s="54">
        <v>-0.01</v>
      </c>
      <c r="AM36" s="54">
        <v>-0.01</v>
      </c>
      <c r="AN36" s="54">
        <v>-0.01</v>
      </c>
      <c r="AO36" s="54">
        <v>-0.01</v>
      </c>
      <c r="AP36" s="54">
        <v>-0.01</v>
      </c>
      <c r="AQ36" s="54">
        <v>-0.01</v>
      </c>
      <c r="AR36" s="54">
        <v>-0.01</v>
      </c>
      <c r="AS36" s="54">
        <v>0</v>
      </c>
      <c r="AT36" s="54">
        <v>0</v>
      </c>
      <c r="AU36" s="54">
        <v>0</v>
      </c>
      <c r="AV36" s="54">
        <v>0</v>
      </c>
      <c r="AW36" s="54">
        <v>0</v>
      </c>
      <c r="AX36" s="54">
        <v>0</v>
      </c>
      <c r="AY36" s="54">
        <v>0</v>
      </c>
      <c r="AZ36" s="54">
        <v>0</v>
      </c>
      <c r="BA36" s="54">
        <v>0</v>
      </c>
      <c r="BB36" s="54">
        <v>0</v>
      </c>
      <c r="BC36" s="54">
        <v>0</v>
      </c>
      <c r="BD36" s="54">
        <v>0</v>
      </c>
      <c r="BE36" s="54">
        <v>0</v>
      </c>
    </row>
    <row r="37" spans="1:57" x14ac:dyDescent="0.2">
      <c r="A37" s="40">
        <v>28</v>
      </c>
      <c r="B37" s="45" t="s">
        <v>228</v>
      </c>
      <c r="C37" s="45" t="s">
        <v>229</v>
      </c>
      <c r="D37" s="38"/>
      <c r="E37" s="38" t="s">
        <v>194</v>
      </c>
      <c r="F37" s="38"/>
      <c r="H37" s="51">
        <v>0</v>
      </c>
      <c r="I37" s="51">
        <v>0</v>
      </c>
      <c r="J37" s="51">
        <v>0</v>
      </c>
      <c r="K37" s="51">
        <v>0</v>
      </c>
      <c r="L37" s="51">
        <v>0</v>
      </c>
      <c r="M37" s="51">
        <v>0</v>
      </c>
      <c r="N37" s="51">
        <v>0</v>
      </c>
      <c r="O37" s="51">
        <v>0</v>
      </c>
      <c r="P37" s="51">
        <v>0</v>
      </c>
      <c r="Q37" s="51">
        <v>0</v>
      </c>
      <c r="R37" s="51">
        <v>0</v>
      </c>
      <c r="S37" s="51">
        <v>0</v>
      </c>
      <c r="T37" s="51">
        <v>0</v>
      </c>
      <c r="U37" s="51">
        <v>0</v>
      </c>
      <c r="V37" s="51">
        <v>0</v>
      </c>
      <c r="W37" s="51">
        <v>0</v>
      </c>
      <c r="X37" s="51">
        <v>0</v>
      </c>
      <c r="Y37" s="51">
        <v>0</v>
      </c>
      <c r="Z37" s="51">
        <v>0</v>
      </c>
      <c r="AA37" s="46">
        <v>0</v>
      </c>
      <c r="AB37" s="46">
        <v>0</v>
      </c>
      <c r="AC37" s="51">
        <v>0</v>
      </c>
      <c r="AD37" s="51">
        <v>0</v>
      </c>
      <c r="AE37" s="51">
        <v>0</v>
      </c>
      <c r="AF37" s="51">
        <v>0</v>
      </c>
      <c r="AG37" s="51">
        <v>0</v>
      </c>
      <c r="AH37" s="51">
        <v>0</v>
      </c>
      <c r="AI37" s="51">
        <v>0</v>
      </c>
      <c r="AJ37" s="51">
        <v>0</v>
      </c>
      <c r="AK37" s="51">
        <v>0</v>
      </c>
      <c r="AL37" s="62">
        <v>0</v>
      </c>
      <c r="AM37" s="62">
        <v>0</v>
      </c>
      <c r="AN37" s="62">
        <v>0</v>
      </c>
      <c r="AO37" s="62">
        <v>0</v>
      </c>
      <c r="AP37" s="62">
        <v>0</v>
      </c>
      <c r="AQ37" s="62">
        <v>0</v>
      </c>
      <c r="AR37" s="62">
        <v>0</v>
      </c>
      <c r="AS37" s="51">
        <v>0</v>
      </c>
      <c r="AT37" s="51">
        <v>0</v>
      </c>
      <c r="AU37" s="51">
        <v>0</v>
      </c>
      <c r="AV37" s="51">
        <v>0</v>
      </c>
      <c r="AW37" s="51">
        <v>0</v>
      </c>
      <c r="AX37" s="51">
        <v>0</v>
      </c>
      <c r="AY37" s="51">
        <v>0</v>
      </c>
      <c r="AZ37" s="51">
        <v>0</v>
      </c>
      <c r="BA37" s="51">
        <v>0</v>
      </c>
      <c r="BB37" s="51">
        <v>0</v>
      </c>
      <c r="BC37" s="51">
        <v>0</v>
      </c>
      <c r="BD37" s="51">
        <v>0</v>
      </c>
      <c r="BE37" s="51">
        <v>0</v>
      </c>
    </row>
    <row r="38" spans="1:57" x14ac:dyDescent="0.2">
      <c r="A38" s="40">
        <v>29</v>
      </c>
      <c r="B38" s="45" t="s">
        <v>230</v>
      </c>
      <c r="C38" s="45" t="s">
        <v>231</v>
      </c>
      <c r="D38" s="38"/>
      <c r="E38" s="38" t="s">
        <v>194</v>
      </c>
      <c r="F38" s="38"/>
      <c r="H38" s="51">
        <v>-0.05</v>
      </c>
      <c r="I38" s="51">
        <v>-0.05</v>
      </c>
      <c r="J38" s="51">
        <v>-0.05</v>
      </c>
      <c r="K38" s="51">
        <v>-0.05</v>
      </c>
      <c r="L38" s="51">
        <v>-0.05</v>
      </c>
      <c r="M38" s="51">
        <v>-0.05</v>
      </c>
      <c r="N38" s="51">
        <v>-0.1</v>
      </c>
      <c r="O38" s="51">
        <v>-0.1</v>
      </c>
      <c r="P38" s="51">
        <v>-0.16</v>
      </c>
      <c r="Q38" s="51">
        <v>-0.12</v>
      </c>
      <c r="R38" s="51">
        <v>-0.1</v>
      </c>
      <c r="S38" s="51">
        <v>-0.09</v>
      </c>
      <c r="T38" s="51">
        <v>-7.0000000000000007E-2</v>
      </c>
      <c r="U38" s="51">
        <v>-0.06</v>
      </c>
      <c r="V38" s="59">
        <v>-0.04</v>
      </c>
      <c r="W38" s="59">
        <v>-0.04</v>
      </c>
      <c r="X38" s="59">
        <v>-0.04</v>
      </c>
      <c r="Y38" s="59">
        <v>-0.04</v>
      </c>
      <c r="Z38" s="51">
        <v>-0.04</v>
      </c>
      <c r="AA38" s="57">
        <v>-3.3333333333333333E-2</v>
      </c>
      <c r="AB38" s="57">
        <v>-2.6666666666666665E-2</v>
      </c>
      <c r="AC38" s="59">
        <v>-0.02</v>
      </c>
      <c r="AD38" s="59">
        <v>-0.02</v>
      </c>
      <c r="AE38" s="59">
        <v>-0.02</v>
      </c>
      <c r="AF38" s="59">
        <v>-0.02</v>
      </c>
      <c r="AG38" s="59">
        <v>-0.02</v>
      </c>
      <c r="AH38" s="59">
        <v>-0.02</v>
      </c>
      <c r="AI38" s="59">
        <v>-0.02</v>
      </c>
      <c r="AJ38" s="59">
        <v>-0.02</v>
      </c>
      <c r="AK38" s="59">
        <v>-0.02</v>
      </c>
      <c r="AL38" s="60">
        <v>-0.01</v>
      </c>
      <c r="AM38" s="60">
        <v>-0.01</v>
      </c>
      <c r="AN38" s="60">
        <v>-0.01</v>
      </c>
      <c r="AO38" s="60">
        <v>-0.01</v>
      </c>
      <c r="AP38" s="60">
        <v>-0.01</v>
      </c>
      <c r="AQ38" s="60">
        <v>-0.01</v>
      </c>
      <c r="AR38" s="60">
        <v>-0.01</v>
      </c>
      <c r="AS38" s="51">
        <v>0</v>
      </c>
      <c r="AT38" s="51">
        <v>0</v>
      </c>
      <c r="AU38" s="51">
        <v>0</v>
      </c>
      <c r="AV38" s="51">
        <v>0</v>
      </c>
      <c r="AW38" s="51">
        <v>0</v>
      </c>
      <c r="AX38" s="51">
        <v>0</v>
      </c>
      <c r="AY38" s="51">
        <v>0</v>
      </c>
      <c r="AZ38" s="51">
        <v>0</v>
      </c>
      <c r="BA38" s="51">
        <v>0</v>
      </c>
      <c r="BB38" s="51">
        <v>0</v>
      </c>
      <c r="BC38" s="51">
        <v>0</v>
      </c>
      <c r="BD38" s="51">
        <v>0</v>
      </c>
      <c r="BE38" s="51">
        <v>0</v>
      </c>
    </row>
    <row r="39" spans="1:57" x14ac:dyDescent="0.2">
      <c r="A39" s="40">
        <v>30</v>
      </c>
      <c r="B39" s="45" t="s">
        <v>232</v>
      </c>
      <c r="C39" s="45" t="s">
        <v>232</v>
      </c>
      <c r="D39" s="38"/>
      <c r="E39" s="38" t="s">
        <v>194</v>
      </c>
      <c r="F39" s="38"/>
      <c r="H39" s="51">
        <v>-0.05</v>
      </c>
      <c r="I39" s="51">
        <v>-0.05</v>
      </c>
      <c r="J39" s="51">
        <v>-0.05</v>
      </c>
      <c r="K39" s="51">
        <v>-0.05</v>
      </c>
      <c r="L39" s="51">
        <v>-0.05</v>
      </c>
      <c r="M39" s="51">
        <v>-0.05</v>
      </c>
      <c r="N39" s="51">
        <v>-0.1</v>
      </c>
      <c r="O39" s="51">
        <v>-0.1</v>
      </c>
      <c r="P39" s="51">
        <v>-0.16</v>
      </c>
      <c r="Q39" s="51">
        <v>-0.12</v>
      </c>
      <c r="R39" s="51">
        <v>-0.1</v>
      </c>
      <c r="S39" s="51">
        <v>-0.09</v>
      </c>
      <c r="T39" s="51">
        <v>-7.0000000000000007E-2</v>
      </c>
      <c r="U39" s="51">
        <v>-0.06</v>
      </c>
      <c r="V39" s="51">
        <v>-0.04</v>
      </c>
      <c r="W39" s="51">
        <v>-0.04</v>
      </c>
      <c r="X39" s="51">
        <v>-0.04</v>
      </c>
      <c r="Y39" s="51">
        <v>-0.04</v>
      </c>
      <c r="Z39" s="51">
        <v>-0.04</v>
      </c>
      <c r="AA39" s="53">
        <v>-3.3333333333333333E-2</v>
      </c>
      <c r="AB39" s="53">
        <v>-2.6666666666666665E-2</v>
      </c>
      <c r="AC39" s="59">
        <v>-0.02</v>
      </c>
      <c r="AD39" s="59">
        <v>-0.02</v>
      </c>
      <c r="AE39" s="59">
        <v>-0.02</v>
      </c>
      <c r="AF39" s="59">
        <v>-0.02</v>
      </c>
      <c r="AG39" s="59">
        <v>-0.02</v>
      </c>
      <c r="AH39" s="59">
        <v>-0.02</v>
      </c>
      <c r="AI39" s="59">
        <v>-0.02</v>
      </c>
      <c r="AJ39" s="59">
        <v>-0.02</v>
      </c>
      <c r="AK39" s="59">
        <v>-0.02</v>
      </c>
      <c r="AL39" s="60">
        <v>-0.01</v>
      </c>
      <c r="AM39" s="60">
        <v>-0.01</v>
      </c>
      <c r="AN39" s="60">
        <v>-0.01</v>
      </c>
      <c r="AO39" s="60">
        <v>-0.01</v>
      </c>
      <c r="AP39" s="60">
        <v>-0.01</v>
      </c>
      <c r="AQ39" s="60">
        <v>-0.01</v>
      </c>
      <c r="AR39" s="60">
        <v>-0.01</v>
      </c>
      <c r="AS39" s="51">
        <v>0</v>
      </c>
      <c r="AT39" s="51">
        <v>0</v>
      </c>
      <c r="AU39" s="51">
        <v>0</v>
      </c>
      <c r="AV39" s="51">
        <v>0</v>
      </c>
      <c r="AW39" s="51">
        <v>0</v>
      </c>
      <c r="AX39" s="51">
        <v>0</v>
      </c>
      <c r="AY39" s="51">
        <v>0</v>
      </c>
      <c r="AZ39" s="51">
        <v>0</v>
      </c>
      <c r="BA39" s="51">
        <v>0</v>
      </c>
      <c r="BB39" s="51">
        <v>0</v>
      </c>
      <c r="BC39" s="51">
        <v>0</v>
      </c>
      <c r="BD39" s="51">
        <v>0</v>
      </c>
      <c r="BE39" s="51">
        <v>0</v>
      </c>
    </row>
    <row r="40" spans="1:57" x14ac:dyDescent="0.2">
      <c r="A40" s="40">
        <v>31</v>
      </c>
      <c r="B40" s="45" t="s">
        <v>193</v>
      </c>
      <c r="C40" s="45" t="s">
        <v>193</v>
      </c>
      <c r="D40" s="38"/>
      <c r="E40" s="38" t="s">
        <v>194</v>
      </c>
      <c r="F40" s="38"/>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row>
    <row r="41" spans="1:57" x14ac:dyDescent="0.2">
      <c r="A41" s="40">
        <v>32</v>
      </c>
      <c r="B41" s="45" t="s">
        <v>233</v>
      </c>
      <c r="C41" s="45" t="s">
        <v>234</v>
      </c>
      <c r="D41" s="38"/>
      <c r="E41" s="38" t="s">
        <v>194</v>
      </c>
      <c r="F41" s="38"/>
      <c r="H41" s="51">
        <v>0</v>
      </c>
      <c r="I41" s="51">
        <v>0</v>
      </c>
      <c r="J41" s="51">
        <v>0</v>
      </c>
      <c r="K41" s="51">
        <v>0</v>
      </c>
      <c r="L41" s="51">
        <v>0</v>
      </c>
      <c r="M41" s="51">
        <v>0</v>
      </c>
      <c r="N41" s="51">
        <v>0</v>
      </c>
      <c r="O41" s="51">
        <v>0</v>
      </c>
      <c r="P41" s="51">
        <v>0</v>
      </c>
      <c r="Q41" s="51">
        <v>0</v>
      </c>
      <c r="R41" s="51">
        <v>0</v>
      </c>
      <c r="S41" s="51">
        <v>0</v>
      </c>
      <c r="T41" s="51">
        <v>0</v>
      </c>
      <c r="U41" s="51">
        <v>0</v>
      </c>
      <c r="V41" s="51">
        <v>0</v>
      </c>
      <c r="W41" s="51">
        <v>0</v>
      </c>
      <c r="X41" s="51">
        <v>0</v>
      </c>
      <c r="Y41" s="51">
        <v>0</v>
      </c>
      <c r="Z41" s="51">
        <v>0</v>
      </c>
      <c r="AA41" s="51">
        <v>0</v>
      </c>
      <c r="AB41" s="51">
        <v>0</v>
      </c>
      <c r="AC41" s="51">
        <v>0</v>
      </c>
      <c r="AD41" s="51">
        <v>0</v>
      </c>
      <c r="AE41" s="51">
        <v>0</v>
      </c>
      <c r="AF41" s="51">
        <v>0</v>
      </c>
      <c r="AG41" s="51">
        <v>0</v>
      </c>
      <c r="AH41" s="51">
        <v>0</v>
      </c>
      <c r="AI41" s="51">
        <v>0</v>
      </c>
      <c r="AJ41" s="51">
        <v>0</v>
      </c>
      <c r="AK41" s="51">
        <v>0</v>
      </c>
      <c r="AL41" s="62">
        <v>0</v>
      </c>
      <c r="AM41" s="62">
        <v>0</v>
      </c>
      <c r="AN41" s="62">
        <v>0</v>
      </c>
      <c r="AO41" s="62">
        <v>0</v>
      </c>
      <c r="AP41" s="62">
        <v>0</v>
      </c>
      <c r="AQ41" s="62">
        <v>0</v>
      </c>
      <c r="AR41" s="62">
        <v>0</v>
      </c>
      <c r="AS41" s="51">
        <v>0</v>
      </c>
      <c r="AT41" s="51">
        <v>0</v>
      </c>
      <c r="AU41" s="51">
        <v>0</v>
      </c>
      <c r="AV41" s="51">
        <v>0</v>
      </c>
      <c r="AW41" s="51">
        <v>0</v>
      </c>
      <c r="AX41" s="51">
        <v>0</v>
      </c>
      <c r="AY41" s="51">
        <v>0</v>
      </c>
      <c r="AZ41" s="51">
        <v>0</v>
      </c>
      <c r="BA41" s="51">
        <v>0</v>
      </c>
      <c r="BB41" s="51">
        <v>0</v>
      </c>
      <c r="BC41" s="51">
        <v>0</v>
      </c>
      <c r="BD41" s="51">
        <v>0</v>
      </c>
      <c r="BE41" s="51">
        <v>0</v>
      </c>
    </row>
    <row r="42" spans="1:57" x14ac:dyDescent="0.2">
      <c r="A42" s="40">
        <v>33</v>
      </c>
      <c r="B42" s="45" t="s">
        <v>235</v>
      </c>
      <c r="C42" s="45" t="s">
        <v>236</v>
      </c>
      <c r="D42" s="38"/>
      <c r="E42" s="38" t="s">
        <v>194</v>
      </c>
      <c r="F42" s="38"/>
      <c r="H42" s="51">
        <v>-0.05</v>
      </c>
      <c r="I42" s="51">
        <v>-0.05</v>
      </c>
      <c r="J42" s="51">
        <v>-0.05</v>
      </c>
      <c r="K42" s="51">
        <v>-0.05</v>
      </c>
      <c r="L42" s="51">
        <v>-0.05</v>
      </c>
      <c r="M42" s="51">
        <v>-0.05</v>
      </c>
      <c r="N42" s="51">
        <v>-0.05</v>
      </c>
      <c r="O42" s="51">
        <v>-0.05</v>
      </c>
      <c r="P42" s="51">
        <v>-0.05</v>
      </c>
      <c r="Q42" s="51">
        <v>-0.05</v>
      </c>
      <c r="R42" s="51">
        <v>-0.05</v>
      </c>
      <c r="S42" s="51">
        <v>-0.05</v>
      </c>
      <c r="T42" s="51">
        <v>-0.05</v>
      </c>
      <c r="U42" s="51">
        <v>-0.05</v>
      </c>
      <c r="V42" s="51">
        <v>-0.05</v>
      </c>
      <c r="W42" s="51">
        <v>-0.05</v>
      </c>
      <c r="X42" s="51">
        <v>-0.05</v>
      </c>
      <c r="Y42" s="51">
        <v>-0.05</v>
      </c>
      <c r="Z42" s="51">
        <v>-0.05</v>
      </c>
      <c r="AA42" s="51">
        <v>-4.1666666666666671E-2</v>
      </c>
      <c r="AB42" s="51">
        <v>-3.333333333333334E-2</v>
      </c>
      <c r="AC42" s="51">
        <v>-2.5000000000000001E-2</v>
      </c>
      <c r="AD42" s="59">
        <v>-2.5000000000000001E-2</v>
      </c>
      <c r="AE42" s="59">
        <v>-2.5000000000000001E-2</v>
      </c>
      <c r="AF42" s="59">
        <v>-2.5000000000000001E-2</v>
      </c>
      <c r="AG42" s="59">
        <v>-2.5000000000000001E-2</v>
      </c>
      <c r="AH42" s="59">
        <v>-2.5000000000000001E-2</v>
      </c>
      <c r="AI42" s="59">
        <v>-2.5000000000000001E-2</v>
      </c>
      <c r="AJ42" s="59">
        <v>-2.5000000000000001E-2</v>
      </c>
      <c r="AK42" s="59">
        <v>-2.5000000000000001E-2</v>
      </c>
      <c r="AL42" s="60">
        <v>-1.2500000000000001E-2</v>
      </c>
      <c r="AM42" s="60">
        <v>-1.2500000000000001E-2</v>
      </c>
      <c r="AN42" s="60">
        <v>-1.2500000000000001E-2</v>
      </c>
      <c r="AO42" s="60">
        <v>-1.2500000000000001E-2</v>
      </c>
      <c r="AP42" s="60">
        <v>-1.2500000000000001E-2</v>
      </c>
      <c r="AQ42" s="60">
        <v>-1.2500000000000001E-2</v>
      </c>
      <c r="AR42" s="60">
        <v>-1.2500000000000001E-2</v>
      </c>
      <c r="AS42" s="51">
        <v>0</v>
      </c>
      <c r="AT42" s="51">
        <v>0</v>
      </c>
      <c r="AU42" s="51">
        <v>0</v>
      </c>
      <c r="AV42" s="51">
        <v>0</v>
      </c>
      <c r="AW42" s="51">
        <v>0</v>
      </c>
      <c r="AX42" s="51">
        <v>0</v>
      </c>
      <c r="AY42" s="51">
        <v>0</v>
      </c>
      <c r="AZ42" s="51">
        <v>0</v>
      </c>
      <c r="BA42" s="51">
        <v>0</v>
      </c>
      <c r="BB42" s="51">
        <v>0</v>
      </c>
      <c r="BC42" s="51">
        <v>0</v>
      </c>
      <c r="BD42" s="51">
        <v>0</v>
      </c>
      <c r="BE42" s="51">
        <v>0</v>
      </c>
    </row>
    <row r="43" spans="1:57" x14ac:dyDescent="0.2">
      <c r="A43" s="40">
        <v>34</v>
      </c>
      <c r="B43" s="45" t="s">
        <v>237</v>
      </c>
      <c r="C43" s="45" t="s">
        <v>238</v>
      </c>
      <c r="D43" s="38"/>
      <c r="E43" s="38" t="s">
        <v>194</v>
      </c>
      <c r="F43" s="38"/>
      <c r="H43" s="58">
        <v>-0.05</v>
      </c>
      <c r="I43" s="58">
        <v>-0.05</v>
      </c>
      <c r="J43" s="58">
        <v>-0.05</v>
      </c>
      <c r="K43" s="58">
        <v>-0.05</v>
      </c>
      <c r="L43" s="58">
        <v>-0.05</v>
      </c>
      <c r="M43" s="58">
        <v>-0.05</v>
      </c>
      <c r="N43" s="58">
        <v>-0.1</v>
      </c>
      <c r="O43" s="58">
        <v>-0.1</v>
      </c>
      <c r="P43" s="58">
        <v>-0.16</v>
      </c>
      <c r="Q43" s="58">
        <v>-0.12</v>
      </c>
      <c r="R43" s="58">
        <v>-0.1</v>
      </c>
      <c r="S43" s="58">
        <v>-0.09</v>
      </c>
      <c r="T43" s="58">
        <v>-7.0000000000000007E-2</v>
      </c>
      <c r="U43" s="58">
        <v>-0.06</v>
      </c>
      <c r="V43" s="58">
        <v>-0.04</v>
      </c>
      <c r="W43" s="58">
        <v>-0.04</v>
      </c>
      <c r="X43" s="58">
        <v>-0.04</v>
      </c>
      <c r="Y43" s="58">
        <v>-0.04</v>
      </c>
      <c r="Z43" s="58">
        <v>-0.04</v>
      </c>
      <c r="AA43" s="53">
        <v>-3.3333333333333333E-2</v>
      </c>
      <c r="AB43" s="53">
        <v>-2.6666666666666665E-2</v>
      </c>
      <c r="AC43" s="59">
        <v>-0.02</v>
      </c>
      <c r="AD43" s="59">
        <v>-0.02</v>
      </c>
      <c r="AE43" s="59">
        <v>-0.02</v>
      </c>
      <c r="AF43" s="59">
        <v>-0.02</v>
      </c>
      <c r="AG43" s="59">
        <v>-0.02</v>
      </c>
      <c r="AH43" s="59">
        <v>-0.02</v>
      </c>
      <c r="AI43" s="59">
        <v>-0.02</v>
      </c>
      <c r="AJ43" s="59">
        <v>-0.02</v>
      </c>
      <c r="AK43" s="59">
        <v>-0.02</v>
      </c>
      <c r="AL43" s="60">
        <v>-0.01</v>
      </c>
      <c r="AM43" s="60">
        <v>-0.01</v>
      </c>
      <c r="AN43" s="60">
        <v>-0.01</v>
      </c>
      <c r="AO43" s="60">
        <v>-0.01</v>
      </c>
      <c r="AP43" s="60">
        <v>-0.01</v>
      </c>
      <c r="AQ43" s="60">
        <v>-0.01</v>
      </c>
      <c r="AR43" s="60">
        <v>-0.01</v>
      </c>
      <c r="AS43" s="51">
        <v>0</v>
      </c>
      <c r="AT43" s="51">
        <v>0</v>
      </c>
      <c r="AU43" s="51">
        <v>0</v>
      </c>
      <c r="AV43" s="51">
        <v>0</v>
      </c>
      <c r="AW43" s="51">
        <v>0</v>
      </c>
      <c r="AX43" s="51">
        <v>0</v>
      </c>
      <c r="AY43" s="51">
        <v>0</v>
      </c>
      <c r="AZ43" s="51">
        <v>0</v>
      </c>
      <c r="BA43" s="51">
        <v>0</v>
      </c>
      <c r="BB43" s="51">
        <v>0</v>
      </c>
      <c r="BC43" s="51">
        <v>0</v>
      </c>
      <c r="BD43" s="51">
        <v>0</v>
      </c>
      <c r="BE43" s="51">
        <v>0</v>
      </c>
    </row>
    <row r="44" spans="1:57" x14ac:dyDescent="0.2">
      <c r="A44" s="40">
        <v>35</v>
      </c>
      <c r="B44" s="45" t="s">
        <v>237</v>
      </c>
      <c r="C44" s="45" t="s">
        <v>239</v>
      </c>
      <c r="D44" s="38"/>
      <c r="E44" s="38" t="s">
        <v>194</v>
      </c>
      <c r="F44" s="38"/>
      <c r="H44" s="58">
        <v>-0.05</v>
      </c>
      <c r="I44" s="58">
        <v>-0.05</v>
      </c>
      <c r="J44" s="58">
        <v>-0.05</v>
      </c>
      <c r="K44" s="58">
        <v>-0.05</v>
      </c>
      <c r="L44" s="58">
        <v>-0.05</v>
      </c>
      <c r="M44" s="58">
        <v>-0.05</v>
      </c>
      <c r="N44" s="58">
        <v>-0.1</v>
      </c>
      <c r="O44" s="58">
        <v>-0.1</v>
      </c>
      <c r="P44" s="58">
        <v>-0.16</v>
      </c>
      <c r="Q44" s="58">
        <v>-0.12</v>
      </c>
      <c r="R44" s="58">
        <v>-0.1</v>
      </c>
      <c r="S44" s="58">
        <v>-0.09</v>
      </c>
      <c r="T44" s="58">
        <v>-7.0000000000000007E-2</v>
      </c>
      <c r="U44" s="58">
        <v>-0.06</v>
      </c>
      <c r="V44" s="58">
        <v>-0.04</v>
      </c>
      <c r="W44" s="58">
        <v>-0.04</v>
      </c>
      <c r="X44" s="58">
        <v>-0.04</v>
      </c>
      <c r="Y44" s="58">
        <v>-0.04</v>
      </c>
      <c r="Z44" s="58">
        <v>-0.04</v>
      </c>
      <c r="AA44" s="53">
        <v>-3.3333333333333333E-2</v>
      </c>
      <c r="AB44" s="53">
        <v>-2.6666666666666665E-2</v>
      </c>
      <c r="AC44" s="59">
        <v>-0.02</v>
      </c>
      <c r="AD44" s="59">
        <v>-0.02</v>
      </c>
      <c r="AE44" s="59">
        <v>-0.02</v>
      </c>
      <c r="AF44" s="59">
        <v>-0.02</v>
      </c>
      <c r="AG44" s="59">
        <v>-0.02</v>
      </c>
      <c r="AH44" s="59">
        <v>-0.02</v>
      </c>
      <c r="AI44" s="59">
        <v>-0.02</v>
      </c>
      <c r="AJ44" s="59">
        <v>-0.02</v>
      </c>
      <c r="AK44" s="59">
        <v>-0.02</v>
      </c>
      <c r="AL44" s="60">
        <v>-0.01</v>
      </c>
      <c r="AM44" s="60">
        <v>-0.01</v>
      </c>
      <c r="AN44" s="60">
        <v>-0.01</v>
      </c>
      <c r="AO44" s="60">
        <v>-0.01</v>
      </c>
      <c r="AP44" s="60">
        <v>-0.01</v>
      </c>
      <c r="AQ44" s="60">
        <v>-0.01</v>
      </c>
      <c r="AR44" s="60">
        <v>-0.01</v>
      </c>
      <c r="AS44" s="51">
        <v>0</v>
      </c>
      <c r="AT44" s="51">
        <v>0</v>
      </c>
      <c r="AU44" s="51">
        <v>0</v>
      </c>
      <c r="AV44" s="51">
        <v>0</v>
      </c>
      <c r="AW44" s="51">
        <v>0</v>
      </c>
      <c r="AX44" s="51">
        <v>0</v>
      </c>
      <c r="AY44" s="51">
        <v>0</v>
      </c>
      <c r="AZ44" s="51">
        <v>0</v>
      </c>
      <c r="BA44" s="51">
        <v>0</v>
      </c>
      <c r="BB44" s="51">
        <v>0</v>
      </c>
      <c r="BC44" s="51">
        <v>0</v>
      </c>
      <c r="BD44" s="51">
        <v>0</v>
      </c>
      <c r="BE44" s="51">
        <v>0</v>
      </c>
    </row>
    <row r="45" spans="1:57" x14ac:dyDescent="0.2">
      <c r="A45" s="40">
        <v>36</v>
      </c>
      <c r="B45" s="45" t="s">
        <v>240</v>
      </c>
      <c r="C45" s="45" t="s">
        <v>240</v>
      </c>
      <c r="D45" s="38"/>
      <c r="E45" s="38" t="s">
        <v>194</v>
      </c>
      <c r="F45" s="38"/>
      <c r="H45" s="46">
        <v>-0.05</v>
      </c>
      <c r="I45" s="46">
        <v>-0.05</v>
      </c>
      <c r="J45" s="46">
        <v>-0.05</v>
      </c>
      <c r="K45" s="46">
        <v>-0.05</v>
      </c>
      <c r="L45" s="46">
        <v>-0.05</v>
      </c>
      <c r="M45" s="46">
        <v>-0.05</v>
      </c>
      <c r="N45" s="46">
        <v>-0.1</v>
      </c>
      <c r="O45" s="46">
        <v>-0.1</v>
      </c>
      <c r="P45" s="46">
        <v>-0.16</v>
      </c>
      <c r="Q45" s="46">
        <v>-0.12</v>
      </c>
      <c r="R45" s="46">
        <v>-0.1</v>
      </c>
      <c r="S45" s="46">
        <v>-0.09</v>
      </c>
      <c r="T45" s="46">
        <v>-7.0000000000000007E-2</v>
      </c>
      <c r="U45" s="46">
        <v>-0.06</v>
      </c>
      <c r="V45" s="46">
        <v>-0.04</v>
      </c>
      <c r="W45" s="46">
        <v>-0.04</v>
      </c>
      <c r="X45" s="46">
        <v>-0.04</v>
      </c>
      <c r="Y45" s="46">
        <v>-0.04</v>
      </c>
      <c r="Z45" s="46">
        <v>-0.04</v>
      </c>
      <c r="AA45" s="46">
        <v>-3.3333333333333333E-2</v>
      </c>
      <c r="AB45" s="63">
        <v>-0.2</v>
      </c>
      <c r="AC45" s="63">
        <v>-0.2</v>
      </c>
      <c r="AD45" s="63">
        <v>-0.2</v>
      </c>
      <c r="AE45" s="63">
        <v>-0.2</v>
      </c>
      <c r="AF45" s="57">
        <v>-0.02</v>
      </c>
      <c r="AG45" s="57">
        <v>-0.02</v>
      </c>
      <c r="AH45" s="57">
        <v>-0.02</v>
      </c>
      <c r="AI45" s="57">
        <v>-0.02</v>
      </c>
      <c r="AJ45" s="57">
        <v>-0.02</v>
      </c>
      <c r="AK45" s="57">
        <v>-0.02</v>
      </c>
      <c r="AL45" s="57">
        <v>-0.01</v>
      </c>
      <c r="AM45" s="57">
        <v>-0.01</v>
      </c>
      <c r="AN45" s="57">
        <v>-0.01</v>
      </c>
      <c r="AO45" s="57">
        <v>-0.01</v>
      </c>
      <c r="AP45" s="57">
        <v>-0.01</v>
      </c>
      <c r="AQ45" s="57">
        <v>-0.01</v>
      </c>
      <c r="AR45" s="57">
        <v>-0.01</v>
      </c>
      <c r="AS45" s="51">
        <v>0</v>
      </c>
      <c r="AT45" s="51">
        <v>0</v>
      </c>
      <c r="AU45" s="51">
        <v>0</v>
      </c>
      <c r="AV45" s="51">
        <v>0</v>
      </c>
      <c r="AW45" s="51">
        <v>0</v>
      </c>
      <c r="AX45" s="51">
        <v>0</v>
      </c>
      <c r="AY45" s="51">
        <v>0</v>
      </c>
      <c r="AZ45" s="51">
        <v>0</v>
      </c>
      <c r="BA45" s="51">
        <v>0</v>
      </c>
      <c r="BB45" s="51">
        <v>0</v>
      </c>
      <c r="BC45" s="51">
        <v>0</v>
      </c>
      <c r="BD45" s="51">
        <v>0</v>
      </c>
      <c r="BE45" s="51">
        <v>0</v>
      </c>
    </row>
    <row r="46" spans="1:57" x14ac:dyDescent="0.2">
      <c r="A46" s="40">
        <v>37</v>
      </c>
      <c r="B46" s="45" t="s">
        <v>241</v>
      </c>
      <c r="C46" s="45" t="s">
        <v>242</v>
      </c>
      <c r="D46" s="38"/>
      <c r="E46" s="38" t="s">
        <v>194</v>
      </c>
      <c r="F46" s="38"/>
      <c r="H46" s="51">
        <v>-0.05</v>
      </c>
      <c r="I46" s="51">
        <v>-0.05</v>
      </c>
      <c r="J46" s="51">
        <v>-0.05</v>
      </c>
      <c r="K46" s="51">
        <v>-0.05</v>
      </c>
      <c r="L46" s="51">
        <v>-0.05</v>
      </c>
      <c r="M46" s="51">
        <v>-0.05</v>
      </c>
      <c r="N46" s="48">
        <v>-0.02</v>
      </c>
      <c r="O46" s="48">
        <v>-0.02</v>
      </c>
      <c r="P46" s="48">
        <v>-0.02</v>
      </c>
      <c r="Q46" s="48">
        <v>-0.02</v>
      </c>
      <c r="R46" s="48">
        <v>-0.02</v>
      </c>
      <c r="S46" s="48">
        <v>-0.02</v>
      </c>
      <c r="T46" s="48">
        <v>-0.02</v>
      </c>
      <c r="U46" s="48">
        <v>-0.02</v>
      </c>
      <c r="V46" s="48">
        <v>-0.02</v>
      </c>
      <c r="W46" s="48">
        <v>-0.02</v>
      </c>
      <c r="X46" s="48">
        <v>-0.02</v>
      </c>
      <c r="Y46" s="48">
        <v>-0.02</v>
      </c>
      <c r="Z46" s="48">
        <v>-0.02</v>
      </c>
      <c r="AA46" s="48">
        <v>-0.02</v>
      </c>
      <c r="AB46" s="46">
        <v>-0.05</v>
      </c>
      <c r="AC46" s="46">
        <v>-0.05</v>
      </c>
      <c r="AD46" s="46">
        <v>-0.05</v>
      </c>
      <c r="AE46" s="46">
        <v>-0.05</v>
      </c>
      <c r="AF46" s="46">
        <v>-2.5000000000000001E-2</v>
      </c>
      <c r="AG46" s="46">
        <v>-2.5000000000000001E-2</v>
      </c>
      <c r="AH46" s="46">
        <v>-2.5000000000000001E-2</v>
      </c>
      <c r="AI46" s="46">
        <v>-2.5000000000000001E-2</v>
      </c>
      <c r="AJ46" s="46">
        <v>-2.5000000000000001E-2</v>
      </c>
      <c r="AK46" s="46">
        <v>-2.5000000000000001E-2</v>
      </c>
      <c r="AL46" s="62">
        <v>-0.01</v>
      </c>
      <c r="AM46" s="62">
        <v>-0.01</v>
      </c>
      <c r="AN46" s="62">
        <v>-0.01</v>
      </c>
      <c r="AO46" s="62">
        <v>-0.01</v>
      </c>
      <c r="AP46" s="62">
        <v>-0.01</v>
      </c>
      <c r="AQ46" s="62">
        <v>-0.01</v>
      </c>
      <c r="AR46" s="62">
        <v>-0.01</v>
      </c>
      <c r="AS46" s="51">
        <v>0</v>
      </c>
      <c r="AT46" s="51">
        <v>0</v>
      </c>
      <c r="AU46" s="51">
        <v>0</v>
      </c>
      <c r="AV46" s="51">
        <v>0</v>
      </c>
      <c r="AW46" s="51">
        <v>0</v>
      </c>
      <c r="AX46" s="51">
        <v>0</v>
      </c>
      <c r="AY46" s="51">
        <v>0</v>
      </c>
      <c r="AZ46" s="51">
        <v>0</v>
      </c>
      <c r="BA46" s="51">
        <v>0</v>
      </c>
      <c r="BB46" s="51">
        <v>0</v>
      </c>
      <c r="BC46" s="51">
        <v>0</v>
      </c>
      <c r="BD46" s="51">
        <v>0</v>
      </c>
      <c r="BE46" s="51">
        <v>0</v>
      </c>
    </row>
    <row r="47" spans="1:57" x14ac:dyDescent="0.2">
      <c r="A47" s="40">
        <v>38</v>
      </c>
      <c r="B47" s="45" t="s">
        <v>241</v>
      </c>
      <c r="C47" s="45" t="s">
        <v>243</v>
      </c>
      <c r="D47" s="38"/>
      <c r="E47" s="38" t="s">
        <v>194</v>
      </c>
      <c r="F47" s="38"/>
      <c r="H47" s="54">
        <v>-0.05</v>
      </c>
      <c r="I47" s="54">
        <v>-0.05</v>
      </c>
      <c r="J47" s="54">
        <v>-0.05</v>
      </c>
      <c r="K47" s="54">
        <v>-0.05</v>
      </c>
      <c r="L47" s="54">
        <v>-0.05</v>
      </c>
      <c r="M47" s="54">
        <v>-0.05</v>
      </c>
      <c r="N47" s="54">
        <v>-0.02</v>
      </c>
      <c r="O47" s="54">
        <v>-0.02</v>
      </c>
      <c r="P47" s="54">
        <v>-0.02</v>
      </c>
      <c r="Q47" s="54">
        <v>-0.02</v>
      </c>
      <c r="R47" s="54">
        <v>-0.02</v>
      </c>
      <c r="S47" s="54">
        <v>-0.02</v>
      </c>
      <c r="T47" s="54">
        <v>-0.02</v>
      </c>
      <c r="U47" s="54">
        <v>-0.02</v>
      </c>
      <c r="V47" s="54">
        <v>-0.02</v>
      </c>
      <c r="W47" s="54">
        <v>-0.02</v>
      </c>
      <c r="X47" s="54">
        <v>-0.02</v>
      </c>
      <c r="Y47" s="54">
        <v>-0.02</v>
      </c>
      <c r="Z47" s="54">
        <v>-0.02</v>
      </c>
      <c r="AA47" s="54">
        <v>-0.02</v>
      </c>
      <c r="AB47" s="54">
        <v>-0.05</v>
      </c>
      <c r="AC47" s="54">
        <v>-0.05</v>
      </c>
      <c r="AD47" s="54">
        <v>-0.05</v>
      </c>
      <c r="AE47" s="54">
        <v>-0.05</v>
      </c>
      <c r="AF47" s="54">
        <v>-2.5000000000000001E-2</v>
      </c>
      <c r="AG47" s="54">
        <v>-2.5000000000000001E-2</v>
      </c>
      <c r="AH47" s="54">
        <v>-2.5000000000000001E-2</v>
      </c>
      <c r="AI47" s="54">
        <v>-2.5000000000000001E-2</v>
      </c>
      <c r="AJ47" s="54">
        <v>-2.5000000000000001E-2</v>
      </c>
      <c r="AK47" s="54">
        <v>-2.5000000000000001E-2</v>
      </c>
      <c r="AL47" s="54">
        <v>-0.01</v>
      </c>
      <c r="AM47" s="54">
        <v>-0.01</v>
      </c>
      <c r="AN47" s="54">
        <v>-0.01</v>
      </c>
      <c r="AO47" s="54">
        <v>-0.01</v>
      </c>
      <c r="AP47" s="54">
        <v>-0.01</v>
      </c>
      <c r="AQ47" s="54">
        <v>-0.01</v>
      </c>
      <c r="AR47" s="54">
        <v>-0.01</v>
      </c>
      <c r="AS47" s="54">
        <v>0</v>
      </c>
      <c r="AT47" s="54">
        <v>0</v>
      </c>
      <c r="AU47" s="54">
        <v>0</v>
      </c>
      <c r="AV47" s="54">
        <v>0</v>
      </c>
      <c r="AW47" s="54">
        <v>0</v>
      </c>
      <c r="AX47" s="54">
        <v>0</v>
      </c>
      <c r="AY47" s="54">
        <v>0</v>
      </c>
      <c r="AZ47" s="54">
        <v>0</v>
      </c>
      <c r="BA47" s="54">
        <v>0</v>
      </c>
      <c r="BB47" s="54">
        <v>0</v>
      </c>
      <c r="BC47" s="54">
        <v>0</v>
      </c>
      <c r="BD47" s="54">
        <v>0</v>
      </c>
      <c r="BE47" s="54">
        <v>0</v>
      </c>
    </row>
    <row r="48" spans="1:57" x14ac:dyDescent="0.2">
      <c r="A48" s="40">
        <v>39</v>
      </c>
      <c r="B48" s="45" t="s">
        <v>241</v>
      </c>
      <c r="C48" s="45" t="s">
        <v>244</v>
      </c>
      <c r="D48" s="38"/>
      <c r="E48" s="38" t="s">
        <v>194</v>
      </c>
      <c r="F48" s="38"/>
      <c r="H48" s="54">
        <v>-0.05</v>
      </c>
      <c r="I48" s="54">
        <v>-0.05</v>
      </c>
      <c r="J48" s="54">
        <v>-0.05</v>
      </c>
      <c r="K48" s="54">
        <v>-0.05</v>
      </c>
      <c r="L48" s="54">
        <v>-0.05</v>
      </c>
      <c r="M48" s="54">
        <v>-0.05</v>
      </c>
      <c r="N48" s="54">
        <v>-0.02</v>
      </c>
      <c r="O48" s="54">
        <v>-0.02</v>
      </c>
      <c r="P48" s="54">
        <v>-0.02</v>
      </c>
      <c r="Q48" s="54">
        <v>-0.02</v>
      </c>
      <c r="R48" s="54">
        <v>-0.02</v>
      </c>
      <c r="S48" s="54">
        <v>-0.02</v>
      </c>
      <c r="T48" s="54">
        <v>-0.02</v>
      </c>
      <c r="U48" s="54">
        <v>-0.02</v>
      </c>
      <c r="V48" s="54">
        <v>-0.02</v>
      </c>
      <c r="W48" s="54">
        <v>-0.02</v>
      </c>
      <c r="X48" s="54">
        <v>-0.02</v>
      </c>
      <c r="Y48" s="54">
        <v>-0.02</v>
      </c>
      <c r="Z48" s="54">
        <v>-0.02</v>
      </c>
      <c r="AA48" s="54">
        <v>-0.02</v>
      </c>
      <c r="AB48" s="54">
        <v>-0.05</v>
      </c>
      <c r="AC48" s="54">
        <v>-0.05</v>
      </c>
      <c r="AD48" s="54">
        <v>-0.05</v>
      </c>
      <c r="AE48" s="54">
        <v>-0.05</v>
      </c>
      <c r="AF48" s="54">
        <v>-2.5000000000000001E-2</v>
      </c>
      <c r="AG48" s="54">
        <v>-2.5000000000000001E-2</v>
      </c>
      <c r="AH48" s="54">
        <v>-2.5000000000000001E-2</v>
      </c>
      <c r="AI48" s="54">
        <v>-2.5000000000000001E-2</v>
      </c>
      <c r="AJ48" s="54">
        <v>-2.5000000000000001E-2</v>
      </c>
      <c r="AK48" s="54">
        <v>-2.5000000000000001E-2</v>
      </c>
      <c r="AL48" s="54">
        <v>-0.01</v>
      </c>
      <c r="AM48" s="54">
        <v>-0.01</v>
      </c>
      <c r="AN48" s="54">
        <v>-0.01</v>
      </c>
      <c r="AO48" s="54">
        <v>-0.01</v>
      </c>
      <c r="AP48" s="54">
        <v>-0.01</v>
      </c>
      <c r="AQ48" s="54">
        <v>-0.01</v>
      </c>
      <c r="AR48" s="54">
        <v>-0.01</v>
      </c>
      <c r="AS48" s="54">
        <v>0</v>
      </c>
      <c r="AT48" s="54">
        <v>0</v>
      </c>
      <c r="AU48" s="54">
        <v>0</v>
      </c>
      <c r="AV48" s="54">
        <v>0</v>
      </c>
      <c r="AW48" s="54">
        <v>0</v>
      </c>
      <c r="AX48" s="54">
        <v>0</v>
      </c>
      <c r="AY48" s="54">
        <v>0</v>
      </c>
      <c r="AZ48" s="54">
        <v>0</v>
      </c>
      <c r="BA48" s="54">
        <v>0</v>
      </c>
      <c r="BB48" s="54">
        <v>0</v>
      </c>
      <c r="BC48" s="54">
        <v>0</v>
      </c>
      <c r="BD48" s="54">
        <v>0</v>
      </c>
      <c r="BE48" s="54">
        <v>0</v>
      </c>
    </row>
    <row r="49" spans="1:57" x14ac:dyDescent="0.2">
      <c r="A49" s="40">
        <v>40</v>
      </c>
      <c r="B49" s="45" t="s">
        <v>241</v>
      </c>
      <c r="C49" s="45" t="s">
        <v>245</v>
      </c>
      <c r="D49" s="38"/>
      <c r="E49" s="38" t="s">
        <v>194</v>
      </c>
      <c r="F49" s="38"/>
      <c r="H49" s="54">
        <v>-0.05</v>
      </c>
      <c r="I49" s="54">
        <v>-0.05</v>
      </c>
      <c r="J49" s="54">
        <v>-0.05</v>
      </c>
      <c r="K49" s="54">
        <v>-0.05</v>
      </c>
      <c r="L49" s="54">
        <v>-0.05</v>
      </c>
      <c r="M49" s="54">
        <v>-0.05</v>
      </c>
      <c r="N49" s="54">
        <v>-0.02</v>
      </c>
      <c r="O49" s="54">
        <v>-0.02</v>
      </c>
      <c r="P49" s="54">
        <v>-0.02</v>
      </c>
      <c r="Q49" s="54">
        <v>-0.02</v>
      </c>
      <c r="R49" s="54">
        <v>-0.02</v>
      </c>
      <c r="S49" s="54">
        <v>-0.02</v>
      </c>
      <c r="T49" s="54">
        <v>-0.02</v>
      </c>
      <c r="U49" s="54">
        <v>-0.02</v>
      </c>
      <c r="V49" s="54">
        <v>-0.02</v>
      </c>
      <c r="W49" s="54">
        <v>-0.02</v>
      </c>
      <c r="X49" s="54">
        <v>-0.02</v>
      </c>
      <c r="Y49" s="54">
        <v>-0.02</v>
      </c>
      <c r="Z49" s="54">
        <v>-0.02</v>
      </c>
      <c r="AA49" s="54">
        <v>-0.02</v>
      </c>
      <c r="AB49" s="54">
        <v>-0.05</v>
      </c>
      <c r="AC49" s="54">
        <v>-0.05</v>
      </c>
      <c r="AD49" s="54">
        <v>-0.05</v>
      </c>
      <c r="AE49" s="54">
        <v>-0.05</v>
      </c>
      <c r="AF49" s="54">
        <v>-2.5000000000000001E-2</v>
      </c>
      <c r="AG49" s="54">
        <v>-2.5000000000000001E-2</v>
      </c>
      <c r="AH49" s="54">
        <v>-2.5000000000000001E-2</v>
      </c>
      <c r="AI49" s="54">
        <v>-2.5000000000000001E-2</v>
      </c>
      <c r="AJ49" s="54">
        <v>-2.5000000000000001E-2</v>
      </c>
      <c r="AK49" s="54">
        <v>-2.5000000000000001E-2</v>
      </c>
      <c r="AL49" s="54">
        <v>-0.01</v>
      </c>
      <c r="AM49" s="54">
        <v>-0.01</v>
      </c>
      <c r="AN49" s="54">
        <v>-0.01</v>
      </c>
      <c r="AO49" s="54">
        <v>-0.01</v>
      </c>
      <c r="AP49" s="54">
        <v>-0.01</v>
      </c>
      <c r="AQ49" s="54">
        <v>-0.01</v>
      </c>
      <c r="AR49" s="54">
        <v>-0.01</v>
      </c>
      <c r="AS49" s="54">
        <v>0</v>
      </c>
      <c r="AT49" s="54">
        <v>0</v>
      </c>
      <c r="AU49" s="54">
        <v>0</v>
      </c>
      <c r="AV49" s="54">
        <v>0</v>
      </c>
      <c r="AW49" s="54">
        <v>0</v>
      </c>
      <c r="AX49" s="54">
        <v>0</v>
      </c>
      <c r="AY49" s="54">
        <v>0</v>
      </c>
      <c r="AZ49" s="54">
        <v>0</v>
      </c>
      <c r="BA49" s="54">
        <v>0</v>
      </c>
      <c r="BB49" s="54">
        <v>0</v>
      </c>
      <c r="BC49" s="54">
        <v>0</v>
      </c>
      <c r="BD49" s="54">
        <v>0</v>
      </c>
      <c r="BE49" s="54">
        <v>0</v>
      </c>
    </row>
    <row r="50" spans="1:57" x14ac:dyDescent="0.2">
      <c r="A50" s="40">
        <v>41</v>
      </c>
      <c r="B50" s="45" t="s">
        <v>193</v>
      </c>
      <c r="C50" s="45" t="s">
        <v>193</v>
      </c>
      <c r="D50" s="38"/>
      <c r="E50" s="38" t="s">
        <v>194</v>
      </c>
      <c r="F50" s="38"/>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row>
    <row r="51" spans="1:57" x14ac:dyDescent="0.2">
      <c r="A51" s="40">
        <v>42</v>
      </c>
      <c r="B51" s="45" t="s">
        <v>246</v>
      </c>
      <c r="C51" s="45" t="s">
        <v>247</v>
      </c>
      <c r="D51" s="38"/>
      <c r="E51" s="38" t="s">
        <v>194</v>
      </c>
      <c r="F51" s="38"/>
      <c r="H51" s="64">
        <v>-0.05</v>
      </c>
      <c r="I51" s="64">
        <v>-0.05</v>
      </c>
      <c r="J51" s="64">
        <v>-0.05</v>
      </c>
      <c r="K51" s="64">
        <v>-0.05</v>
      </c>
      <c r="L51" s="64">
        <v>-0.05</v>
      </c>
      <c r="M51" s="64">
        <v>-0.05</v>
      </c>
      <c r="N51" s="64">
        <v>-0.05</v>
      </c>
      <c r="O51" s="64">
        <v>-0.05</v>
      </c>
      <c r="P51" s="64">
        <v>-0.05</v>
      </c>
      <c r="Q51" s="64">
        <v>-0.05</v>
      </c>
      <c r="R51" s="64">
        <v>-0.05</v>
      </c>
      <c r="S51" s="64">
        <v>-0.05</v>
      </c>
      <c r="T51" s="64">
        <v>-0.05</v>
      </c>
      <c r="U51" s="64">
        <v>-0.05</v>
      </c>
      <c r="V51" s="64">
        <v>-0.05</v>
      </c>
      <c r="W51" s="46">
        <v>-0.25</v>
      </c>
      <c r="X51" s="46">
        <v>-0.2</v>
      </c>
      <c r="Y51" s="46">
        <v>-0.2</v>
      </c>
      <c r="Z51" s="46">
        <v>-0.15</v>
      </c>
      <c r="AA51" s="49">
        <v>-0.38819999999999999</v>
      </c>
      <c r="AB51" s="49">
        <v>-0.38819999999999999</v>
      </c>
      <c r="AC51" s="49">
        <v>-0.38819999999999999</v>
      </c>
      <c r="AD51" s="50">
        <v>-6.9000000000000006E-2</v>
      </c>
      <c r="AE51" s="50">
        <v>-6.9000000000000006E-2</v>
      </c>
      <c r="AF51" s="64">
        <v>-2.5000000000000001E-2</v>
      </c>
      <c r="AG51" s="64">
        <v>-2.5000000000000001E-2</v>
      </c>
      <c r="AH51" s="64">
        <v>-2.5000000000000001E-2</v>
      </c>
      <c r="AI51" s="64">
        <v>-2.5000000000000001E-2</v>
      </c>
      <c r="AJ51" s="64">
        <v>-2.5000000000000001E-2</v>
      </c>
      <c r="AK51" s="64">
        <v>-2.5000000000000001E-2</v>
      </c>
      <c r="AL51" s="62">
        <v>-0.01</v>
      </c>
      <c r="AM51" s="62">
        <v>-0.01</v>
      </c>
      <c r="AN51" s="62">
        <v>-0.01</v>
      </c>
      <c r="AO51" s="62">
        <v>-0.01</v>
      </c>
      <c r="AP51" s="62">
        <v>-0.01</v>
      </c>
      <c r="AQ51" s="62">
        <v>-0.01</v>
      </c>
      <c r="AR51" s="62">
        <v>-0.01</v>
      </c>
      <c r="AS51" s="51">
        <v>0</v>
      </c>
      <c r="AT51" s="51">
        <v>0</v>
      </c>
      <c r="AU51" s="51">
        <v>0</v>
      </c>
      <c r="AV51" s="51">
        <v>0</v>
      </c>
      <c r="AW51" s="51">
        <v>0</v>
      </c>
      <c r="AX51" s="51">
        <v>0</v>
      </c>
      <c r="AY51" s="51">
        <v>0</v>
      </c>
      <c r="AZ51" s="51">
        <v>0</v>
      </c>
      <c r="BA51" s="51">
        <v>0</v>
      </c>
      <c r="BB51" s="51">
        <v>0</v>
      </c>
      <c r="BC51" s="51">
        <v>0</v>
      </c>
      <c r="BD51" s="51">
        <v>0</v>
      </c>
      <c r="BE51" s="51">
        <v>0</v>
      </c>
    </row>
    <row r="52" spans="1:57" x14ac:dyDescent="0.2">
      <c r="A52" s="40">
        <v>43</v>
      </c>
      <c r="B52" s="45" t="s">
        <v>246</v>
      </c>
      <c r="C52" s="45" t="s">
        <v>248</v>
      </c>
      <c r="D52" s="38"/>
      <c r="E52" s="38" t="s">
        <v>194</v>
      </c>
      <c r="F52" s="38"/>
      <c r="H52" s="58">
        <v>-0.05</v>
      </c>
      <c r="I52" s="58">
        <v>-0.05</v>
      </c>
      <c r="J52" s="58">
        <v>-0.05</v>
      </c>
      <c r="K52" s="58">
        <v>-0.05</v>
      </c>
      <c r="L52" s="58">
        <v>-0.05</v>
      </c>
      <c r="M52" s="58">
        <v>-0.05</v>
      </c>
      <c r="N52" s="58">
        <v>-0.05</v>
      </c>
      <c r="O52" s="58">
        <v>-0.05</v>
      </c>
      <c r="P52" s="58">
        <v>-0.05</v>
      </c>
      <c r="Q52" s="58">
        <v>-0.05</v>
      </c>
      <c r="R52" s="58">
        <v>-0.05</v>
      </c>
      <c r="S52" s="58">
        <v>-0.05</v>
      </c>
      <c r="T52" s="58">
        <v>-0.05</v>
      </c>
      <c r="U52" s="58">
        <v>-0.05</v>
      </c>
      <c r="V52" s="58">
        <v>-0.05</v>
      </c>
      <c r="W52" s="58">
        <v>-0.25</v>
      </c>
      <c r="X52" s="58">
        <v>-0.2</v>
      </c>
      <c r="Y52" s="58">
        <v>-0.2</v>
      </c>
      <c r="Z52" s="58">
        <v>-0.15</v>
      </c>
      <c r="AA52" s="58">
        <v>-0.38819999999999999</v>
      </c>
      <c r="AB52" s="58">
        <v>-0.38819999999999999</v>
      </c>
      <c r="AC52" s="58">
        <v>-0.38819999999999999</v>
      </c>
      <c r="AD52" s="58">
        <v>-6.9000000000000006E-2</v>
      </c>
      <c r="AE52" s="58">
        <v>-6.9000000000000006E-2</v>
      </c>
      <c r="AF52" s="58">
        <v>-2.5000000000000001E-2</v>
      </c>
      <c r="AG52" s="58">
        <v>-2.5000000000000001E-2</v>
      </c>
      <c r="AH52" s="58">
        <v>-2.5000000000000001E-2</v>
      </c>
      <c r="AI52" s="58">
        <v>-2.5000000000000001E-2</v>
      </c>
      <c r="AJ52" s="58">
        <v>-2.5000000000000001E-2</v>
      </c>
      <c r="AK52" s="58">
        <v>-2.5000000000000001E-2</v>
      </c>
      <c r="AL52" s="58">
        <v>-0.01</v>
      </c>
      <c r="AM52" s="58">
        <v>-0.01</v>
      </c>
      <c r="AN52" s="58">
        <v>-0.01</v>
      </c>
      <c r="AO52" s="58">
        <v>-0.01</v>
      </c>
      <c r="AP52" s="58">
        <v>-0.01</v>
      </c>
      <c r="AQ52" s="58">
        <v>-0.01</v>
      </c>
      <c r="AR52" s="58">
        <v>-0.01</v>
      </c>
      <c r="AS52" s="58">
        <v>0</v>
      </c>
      <c r="AT52" s="58">
        <v>0</v>
      </c>
      <c r="AU52" s="58">
        <v>0</v>
      </c>
      <c r="AV52" s="58">
        <v>0</v>
      </c>
      <c r="AW52" s="58">
        <v>0</v>
      </c>
      <c r="AX52" s="58">
        <v>0</v>
      </c>
      <c r="AY52" s="58">
        <v>0</v>
      </c>
      <c r="AZ52" s="58">
        <v>0</v>
      </c>
      <c r="BA52" s="58">
        <v>0</v>
      </c>
      <c r="BB52" s="58">
        <v>0</v>
      </c>
      <c r="BC52" s="58">
        <v>0</v>
      </c>
      <c r="BD52" s="58">
        <v>0</v>
      </c>
      <c r="BE52" s="58">
        <v>0</v>
      </c>
    </row>
    <row r="53" spans="1:57" x14ac:dyDescent="0.2">
      <c r="A53" s="40">
        <v>44</v>
      </c>
      <c r="B53" s="45" t="s">
        <v>246</v>
      </c>
      <c r="C53" s="45" t="s">
        <v>249</v>
      </c>
      <c r="D53" s="38"/>
      <c r="E53" s="38" t="s">
        <v>194</v>
      </c>
      <c r="F53" s="38"/>
      <c r="H53" s="58">
        <v>-0.05</v>
      </c>
      <c r="I53" s="58">
        <v>-0.05</v>
      </c>
      <c r="J53" s="58">
        <v>-0.05</v>
      </c>
      <c r="K53" s="58">
        <v>-0.05</v>
      </c>
      <c r="L53" s="58">
        <v>-0.05</v>
      </c>
      <c r="M53" s="58">
        <v>-0.05</v>
      </c>
      <c r="N53" s="58">
        <v>-0.05</v>
      </c>
      <c r="O53" s="58">
        <v>-0.05</v>
      </c>
      <c r="P53" s="58">
        <v>-0.05</v>
      </c>
      <c r="Q53" s="58">
        <v>-0.05</v>
      </c>
      <c r="R53" s="58">
        <v>-0.05</v>
      </c>
      <c r="S53" s="58">
        <v>-0.05</v>
      </c>
      <c r="T53" s="58">
        <v>-0.05</v>
      </c>
      <c r="U53" s="58">
        <v>-0.05</v>
      </c>
      <c r="V53" s="58">
        <v>-0.05</v>
      </c>
      <c r="W53" s="58">
        <v>-0.25</v>
      </c>
      <c r="X53" s="58">
        <v>-0.2</v>
      </c>
      <c r="Y53" s="58">
        <v>-0.2</v>
      </c>
      <c r="Z53" s="58">
        <v>-0.15</v>
      </c>
      <c r="AA53" s="58">
        <v>-0.38819999999999999</v>
      </c>
      <c r="AB53" s="58">
        <v>-0.38819999999999999</v>
      </c>
      <c r="AC53" s="58">
        <v>-0.38819999999999999</v>
      </c>
      <c r="AD53" s="58">
        <v>-6.9000000000000006E-2</v>
      </c>
      <c r="AE53" s="58">
        <v>-6.9000000000000006E-2</v>
      </c>
      <c r="AF53" s="58">
        <v>-2.5000000000000001E-2</v>
      </c>
      <c r="AG53" s="58">
        <v>-2.5000000000000001E-2</v>
      </c>
      <c r="AH53" s="58">
        <v>-2.5000000000000001E-2</v>
      </c>
      <c r="AI53" s="58">
        <v>-2.5000000000000001E-2</v>
      </c>
      <c r="AJ53" s="58">
        <v>-2.5000000000000001E-2</v>
      </c>
      <c r="AK53" s="58">
        <v>-2.5000000000000001E-2</v>
      </c>
      <c r="AL53" s="58">
        <v>-0.01</v>
      </c>
      <c r="AM53" s="58">
        <v>-0.01</v>
      </c>
      <c r="AN53" s="58">
        <v>-0.01</v>
      </c>
      <c r="AO53" s="58">
        <v>-0.01</v>
      </c>
      <c r="AP53" s="58">
        <v>-0.01</v>
      </c>
      <c r="AQ53" s="58">
        <v>-0.01</v>
      </c>
      <c r="AR53" s="58">
        <v>-0.01</v>
      </c>
      <c r="AS53" s="58">
        <v>0</v>
      </c>
      <c r="AT53" s="58">
        <v>0</v>
      </c>
      <c r="AU53" s="58">
        <v>0</v>
      </c>
      <c r="AV53" s="58">
        <v>0</v>
      </c>
      <c r="AW53" s="58">
        <v>0</v>
      </c>
      <c r="AX53" s="58">
        <v>0</v>
      </c>
      <c r="AY53" s="58">
        <v>0</v>
      </c>
      <c r="AZ53" s="58">
        <v>0</v>
      </c>
      <c r="BA53" s="58">
        <v>0</v>
      </c>
      <c r="BB53" s="58">
        <v>0</v>
      </c>
      <c r="BC53" s="58">
        <v>0</v>
      </c>
      <c r="BD53" s="58">
        <v>0</v>
      </c>
      <c r="BE53" s="58">
        <v>0</v>
      </c>
    </row>
    <row r="54" spans="1:57" x14ac:dyDescent="0.2">
      <c r="A54" s="40">
        <v>45</v>
      </c>
      <c r="B54" s="45" t="s">
        <v>250</v>
      </c>
      <c r="C54" s="45" t="s">
        <v>251</v>
      </c>
      <c r="D54" s="38"/>
      <c r="E54" s="38" t="s">
        <v>194</v>
      </c>
      <c r="F54" s="38"/>
      <c r="H54" s="65">
        <v>0</v>
      </c>
      <c r="I54" s="65">
        <v>0</v>
      </c>
      <c r="J54" s="65">
        <v>0</v>
      </c>
      <c r="K54" s="65">
        <v>0</v>
      </c>
      <c r="L54" s="65">
        <v>0</v>
      </c>
      <c r="M54" s="65">
        <v>0</v>
      </c>
      <c r="N54" s="65">
        <v>0</v>
      </c>
      <c r="O54" s="65">
        <v>0</v>
      </c>
      <c r="P54" s="65">
        <v>0</v>
      </c>
      <c r="Q54" s="65">
        <v>0</v>
      </c>
      <c r="R54" s="65">
        <v>0</v>
      </c>
      <c r="S54" s="65">
        <v>0</v>
      </c>
      <c r="T54" s="65">
        <v>0</v>
      </c>
      <c r="U54" s="65">
        <v>0</v>
      </c>
      <c r="V54" s="65">
        <v>0</v>
      </c>
      <c r="W54" s="65">
        <v>0</v>
      </c>
      <c r="X54" s="65">
        <v>0</v>
      </c>
      <c r="Y54" s="65">
        <v>0</v>
      </c>
      <c r="Z54" s="65">
        <v>0.01</v>
      </c>
      <c r="AA54" s="49">
        <v>-9.8199999999999996E-2</v>
      </c>
      <c r="AB54" s="49">
        <v>-9.8199999999999996E-2</v>
      </c>
      <c r="AC54" s="49">
        <v>-9.8199999999999996E-2</v>
      </c>
      <c r="AD54" s="50">
        <v>-3.3000000000000002E-2</v>
      </c>
      <c r="AE54" s="50">
        <v>-3.3000000000000002E-2</v>
      </c>
      <c r="AF54" s="65">
        <v>0.02</v>
      </c>
      <c r="AG54" s="65">
        <v>5.0000000000000001E-3</v>
      </c>
      <c r="AH54" s="65">
        <v>5.0000000000000001E-3</v>
      </c>
      <c r="AI54" s="65">
        <v>5.0000000000000001E-3</v>
      </c>
      <c r="AJ54" s="65">
        <v>0</v>
      </c>
      <c r="AK54" s="65">
        <v>0</v>
      </c>
      <c r="AL54" s="65">
        <v>0</v>
      </c>
      <c r="AM54" s="65">
        <v>0</v>
      </c>
      <c r="AN54" s="65">
        <v>0</v>
      </c>
      <c r="AO54" s="65">
        <v>0</v>
      </c>
      <c r="AP54" s="65">
        <v>0</v>
      </c>
      <c r="AQ54" s="65">
        <v>0</v>
      </c>
      <c r="AR54" s="65">
        <v>0</v>
      </c>
      <c r="AS54" s="65">
        <v>0</v>
      </c>
      <c r="AT54" s="65">
        <v>0</v>
      </c>
      <c r="AU54" s="65">
        <v>0</v>
      </c>
      <c r="AV54" s="65">
        <v>0</v>
      </c>
      <c r="AW54" s="65">
        <v>0</v>
      </c>
      <c r="AX54" s="65">
        <v>0</v>
      </c>
      <c r="AY54" s="65">
        <v>0</v>
      </c>
      <c r="AZ54" s="65">
        <v>0</v>
      </c>
      <c r="BA54" s="65">
        <v>0</v>
      </c>
      <c r="BB54" s="65">
        <v>0</v>
      </c>
      <c r="BC54" s="65">
        <v>0</v>
      </c>
      <c r="BD54" s="65">
        <v>0</v>
      </c>
      <c r="BE54" s="65">
        <v>0</v>
      </c>
    </row>
    <row r="55" spans="1:57" x14ac:dyDescent="0.2">
      <c r="A55" s="40">
        <v>46</v>
      </c>
      <c r="B55" s="45" t="s">
        <v>250</v>
      </c>
      <c r="C55" s="45" t="s">
        <v>252</v>
      </c>
      <c r="D55" s="38"/>
      <c r="E55" s="38" t="s">
        <v>194</v>
      </c>
      <c r="F55" s="38"/>
      <c r="H55" s="66">
        <v>0</v>
      </c>
      <c r="I55" s="66">
        <v>0</v>
      </c>
      <c r="J55" s="66">
        <v>0</v>
      </c>
      <c r="K55" s="66">
        <v>0</v>
      </c>
      <c r="L55" s="66">
        <v>0</v>
      </c>
      <c r="M55" s="66">
        <v>0</v>
      </c>
      <c r="N55" s="66">
        <v>0</v>
      </c>
      <c r="O55" s="66">
        <v>0</v>
      </c>
      <c r="P55" s="66">
        <v>0</v>
      </c>
      <c r="Q55" s="66">
        <v>0</v>
      </c>
      <c r="R55" s="66">
        <v>0</v>
      </c>
      <c r="S55" s="66">
        <v>0</v>
      </c>
      <c r="T55" s="66">
        <v>0</v>
      </c>
      <c r="U55" s="66">
        <v>0</v>
      </c>
      <c r="V55" s="66">
        <v>0</v>
      </c>
      <c r="W55" s="66">
        <v>0</v>
      </c>
      <c r="X55" s="66">
        <v>0</v>
      </c>
      <c r="Y55" s="66">
        <v>0</v>
      </c>
      <c r="Z55" s="66">
        <v>0.01</v>
      </c>
      <c r="AA55" s="49">
        <v>-0.26800000000000002</v>
      </c>
      <c r="AB55" s="49">
        <v>-0.26800000000000002</v>
      </c>
      <c r="AC55" s="49">
        <v>-0.26800000000000002</v>
      </c>
      <c r="AD55" s="50">
        <v>-7.0000000000000001E-3</v>
      </c>
      <c r="AE55" s="50">
        <v>-7.0000000000000001E-3</v>
      </c>
      <c r="AF55" s="66">
        <v>0.02</v>
      </c>
      <c r="AG55" s="66">
        <v>5.0000000000000001E-3</v>
      </c>
      <c r="AH55" s="66">
        <v>5.0000000000000001E-3</v>
      </c>
      <c r="AI55" s="66">
        <v>5.0000000000000001E-3</v>
      </c>
      <c r="AJ55" s="66">
        <v>0</v>
      </c>
      <c r="AK55" s="66">
        <v>0</v>
      </c>
      <c r="AL55" s="66">
        <v>0</v>
      </c>
      <c r="AM55" s="66">
        <v>0</v>
      </c>
      <c r="AN55" s="66">
        <v>0</v>
      </c>
      <c r="AO55" s="66">
        <v>0</v>
      </c>
      <c r="AP55" s="66">
        <v>0</v>
      </c>
      <c r="AQ55" s="66">
        <v>0</v>
      </c>
      <c r="AR55" s="66">
        <v>0</v>
      </c>
      <c r="AS55" s="66">
        <v>0</v>
      </c>
      <c r="AT55" s="66">
        <v>0</v>
      </c>
      <c r="AU55" s="66">
        <v>0</v>
      </c>
      <c r="AV55" s="66">
        <v>0</v>
      </c>
      <c r="AW55" s="66">
        <v>0</v>
      </c>
      <c r="AX55" s="66">
        <v>0</v>
      </c>
      <c r="AY55" s="66">
        <v>0</v>
      </c>
      <c r="AZ55" s="66">
        <v>0</v>
      </c>
      <c r="BA55" s="66">
        <v>0</v>
      </c>
      <c r="BB55" s="66">
        <v>0</v>
      </c>
      <c r="BC55" s="66">
        <v>0</v>
      </c>
      <c r="BD55" s="66">
        <v>0</v>
      </c>
      <c r="BE55" s="66">
        <v>0</v>
      </c>
    </row>
    <row r="56" spans="1:57" x14ac:dyDescent="0.2">
      <c r="A56" s="40">
        <v>47</v>
      </c>
      <c r="B56" s="45" t="s">
        <v>250</v>
      </c>
      <c r="C56" s="45" t="s">
        <v>253</v>
      </c>
      <c r="D56" s="38"/>
      <c r="E56" s="38" t="s">
        <v>194</v>
      </c>
      <c r="F56" s="38"/>
      <c r="H56" s="66">
        <v>0</v>
      </c>
      <c r="I56" s="66">
        <v>0</v>
      </c>
      <c r="J56" s="66">
        <v>0</v>
      </c>
      <c r="K56" s="66">
        <v>0</v>
      </c>
      <c r="L56" s="66">
        <v>0</v>
      </c>
      <c r="M56" s="66">
        <v>0</v>
      </c>
      <c r="N56" s="66">
        <v>0</v>
      </c>
      <c r="O56" s="66">
        <v>0</v>
      </c>
      <c r="P56" s="66">
        <v>0</v>
      </c>
      <c r="Q56" s="66">
        <v>0</v>
      </c>
      <c r="R56" s="66">
        <v>0</v>
      </c>
      <c r="S56" s="66">
        <v>0</v>
      </c>
      <c r="T56" s="66">
        <v>0</v>
      </c>
      <c r="U56" s="66">
        <v>0</v>
      </c>
      <c r="V56" s="66">
        <v>0</v>
      </c>
      <c r="W56" s="66">
        <v>0</v>
      </c>
      <c r="X56" s="66">
        <v>0</v>
      </c>
      <c r="Y56" s="66">
        <v>0</v>
      </c>
      <c r="Z56" s="66">
        <v>0.01</v>
      </c>
      <c r="AA56" s="66">
        <v>-0.15</v>
      </c>
      <c r="AB56" s="66">
        <v>-0.15</v>
      </c>
      <c r="AC56" s="66">
        <v>-0.15</v>
      </c>
      <c r="AD56" s="66">
        <v>7.0000000000000001E-3</v>
      </c>
      <c r="AE56" s="66">
        <v>7.0000000000000001E-3</v>
      </c>
      <c r="AF56" s="66">
        <v>0.02</v>
      </c>
      <c r="AG56" s="66">
        <v>5.0000000000000001E-3</v>
      </c>
      <c r="AH56" s="66">
        <v>5.0000000000000001E-3</v>
      </c>
      <c r="AI56" s="66">
        <v>5.0000000000000001E-3</v>
      </c>
      <c r="AJ56" s="66">
        <v>0</v>
      </c>
      <c r="AK56" s="66">
        <v>0</v>
      </c>
      <c r="AL56" s="66">
        <v>0</v>
      </c>
      <c r="AM56" s="66">
        <v>0</v>
      </c>
      <c r="AN56" s="66">
        <v>0</v>
      </c>
      <c r="AO56" s="66">
        <v>0</v>
      </c>
      <c r="AP56" s="66">
        <v>0</v>
      </c>
      <c r="AQ56" s="66">
        <v>0</v>
      </c>
      <c r="AR56" s="66">
        <v>0</v>
      </c>
      <c r="AS56" s="66">
        <v>0</v>
      </c>
      <c r="AT56" s="66">
        <v>0</v>
      </c>
      <c r="AU56" s="66">
        <v>0</v>
      </c>
      <c r="AV56" s="66">
        <v>0</v>
      </c>
      <c r="AW56" s="66">
        <v>0</v>
      </c>
      <c r="AX56" s="66">
        <v>0</v>
      </c>
      <c r="AY56" s="66">
        <v>0</v>
      </c>
      <c r="AZ56" s="66">
        <v>0</v>
      </c>
      <c r="BA56" s="66">
        <v>0</v>
      </c>
      <c r="BB56" s="66">
        <v>0</v>
      </c>
      <c r="BC56" s="66">
        <v>0</v>
      </c>
      <c r="BD56" s="66">
        <v>0</v>
      </c>
      <c r="BE56" s="66">
        <v>0</v>
      </c>
    </row>
    <row r="57" spans="1:57" x14ac:dyDescent="0.2">
      <c r="A57" s="40">
        <v>48</v>
      </c>
      <c r="B57" s="45" t="s">
        <v>246</v>
      </c>
      <c r="C57" s="45" t="s">
        <v>254</v>
      </c>
      <c r="D57" s="38"/>
      <c r="E57" s="38" t="s">
        <v>194</v>
      </c>
      <c r="F57" s="38"/>
      <c r="H57" s="64">
        <v>0</v>
      </c>
      <c r="I57" s="64">
        <v>0</v>
      </c>
      <c r="J57" s="64">
        <v>0</v>
      </c>
      <c r="K57" s="64">
        <v>0</v>
      </c>
      <c r="L57" s="64">
        <v>0</v>
      </c>
      <c r="M57" s="64">
        <v>0</v>
      </c>
      <c r="N57" s="64">
        <v>0</v>
      </c>
      <c r="O57" s="64">
        <v>0</v>
      </c>
      <c r="P57" s="64">
        <v>0</v>
      </c>
      <c r="Q57" s="64">
        <v>0</v>
      </c>
      <c r="R57" s="64">
        <v>0</v>
      </c>
      <c r="S57" s="64">
        <v>0</v>
      </c>
      <c r="T57" s="64">
        <v>-0.05</v>
      </c>
      <c r="U57" s="64">
        <v>-0.05</v>
      </c>
      <c r="V57" s="64">
        <v>-0.05</v>
      </c>
      <c r="W57" s="64">
        <v>-0.05</v>
      </c>
      <c r="X57" s="64">
        <v>-0.05</v>
      </c>
      <c r="Y57" s="64">
        <v>-0.05</v>
      </c>
      <c r="Z57" s="64">
        <v>-0.05</v>
      </c>
      <c r="AA57" s="49">
        <v>0.1158</v>
      </c>
      <c r="AB57" s="49">
        <v>0.1158</v>
      </c>
      <c r="AC57" s="49">
        <v>0.1158</v>
      </c>
      <c r="AD57" s="50">
        <v>-5.8999999999999997E-2</v>
      </c>
      <c r="AE57" s="50">
        <v>-5.8999999999999997E-2</v>
      </c>
      <c r="AF57" s="64">
        <v>-2.5000000000000001E-2</v>
      </c>
      <c r="AG57" s="64">
        <v>-2.5000000000000001E-2</v>
      </c>
      <c r="AH57" s="64">
        <v>-2.5000000000000001E-2</v>
      </c>
      <c r="AI57" s="64">
        <v>-2.5000000000000001E-2</v>
      </c>
      <c r="AJ57" s="64">
        <v>-2.5000000000000001E-2</v>
      </c>
      <c r="AK57" s="64">
        <v>-2.5000000000000001E-2</v>
      </c>
      <c r="AL57" s="62">
        <v>-0.01</v>
      </c>
      <c r="AM57" s="62">
        <v>-0.01</v>
      </c>
      <c r="AN57" s="62">
        <v>-0.01</v>
      </c>
      <c r="AO57" s="62">
        <v>-0.01</v>
      </c>
      <c r="AP57" s="62">
        <v>-0.01</v>
      </c>
      <c r="AQ57" s="62">
        <v>-0.01</v>
      </c>
      <c r="AR57" s="62">
        <v>-0.01</v>
      </c>
      <c r="AS57" s="51">
        <v>0</v>
      </c>
      <c r="AT57" s="51">
        <v>0</v>
      </c>
      <c r="AU57" s="51">
        <v>0</v>
      </c>
      <c r="AV57" s="51">
        <v>0</v>
      </c>
      <c r="AW57" s="51">
        <v>0</v>
      </c>
      <c r="AX57" s="51">
        <v>0</v>
      </c>
      <c r="AY57" s="51">
        <v>0</v>
      </c>
      <c r="AZ57" s="51">
        <v>0</v>
      </c>
      <c r="BA57" s="51">
        <v>0</v>
      </c>
      <c r="BB57" s="51">
        <v>0</v>
      </c>
      <c r="BC57" s="51">
        <v>0</v>
      </c>
      <c r="BD57" s="51">
        <v>0</v>
      </c>
      <c r="BE57" s="51">
        <v>0</v>
      </c>
    </row>
    <row r="58" spans="1:57" x14ac:dyDescent="0.2">
      <c r="A58" s="40">
        <v>49</v>
      </c>
      <c r="B58" s="45" t="s">
        <v>246</v>
      </c>
      <c r="C58" s="45" t="s">
        <v>255</v>
      </c>
      <c r="D58" s="38"/>
      <c r="E58" s="38" t="s">
        <v>194</v>
      </c>
      <c r="F58" s="38"/>
      <c r="H58" s="58">
        <v>0</v>
      </c>
      <c r="I58" s="58">
        <v>0</v>
      </c>
      <c r="J58" s="58">
        <v>0</v>
      </c>
      <c r="K58" s="58">
        <v>0</v>
      </c>
      <c r="L58" s="58">
        <v>0</v>
      </c>
      <c r="M58" s="58">
        <v>0</v>
      </c>
      <c r="N58" s="58">
        <v>0</v>
      </c>
      <c r="O58" s="58">
        <v>0</v>
      </c>
      <c r="P58" s="58">
        <v>0</v>
      </c>
      <c r="Q58" s="58">
        <v>0</v>
      </c>
      <c r="R58" s="58">
        <v>0</v>
      </c>
      <c r="S58" s="58">
        <v>0</v>
      </c>
      <c r="T58" s="58">
        <v>-0.05</v>
      </c>
      <c r="U58" s="58">
        <v>-0.05</v>
      </c>
      <c r="V58" s="58">
        <v>-0.05</v>
      </c>
      <c r="W58" s="58">
        <v>-0.05</v>
      </c>
      <c r="X58" s="58">
        <v>-0.05</v>
      </c>
      <c r="Y58" s="58">
        <v>-0.05</v>
      </c>
      <c r="Z58" s="58">
        <v>-0.05</v>
      </c>
      <c r="AA58" s="58">
        <v>0.1158</v>
      </c>
      <c r="AB58" s="58">
        <v>0.1158</v>
      </c>
      <c r="AC58" s="58">
        <v>0.1158</v>
      </c>
      <c r="AD58" s="58">
        <v>-5.8999999999999997E-2</v>
      </c>
      <c r="AE58" s="58">
        <v>-5.8999999999999997E-2</v>
      </c>
      <c r="AF58" s="58">
        <v>-2.5000000000000001E-2</v>
      </c>
      <c r="AG58" s="58">
        <v>-2.5000000000000001E-2</v>
      </c>
      <c r="AH58" s="58">
        <v>-2.5000000000000001E-2</v>
      </c>
      <c r="AI58" s="58">
        <v>-2.5000000000000001E-2</v>
      </c>
      <c r="AJ58" s="58">
        <v>-2.5000000000000001E-2</v>
      </c>
      <c r="AK58" s="58">
        <v>-2.5000000000000001E-2</v>
      </c>
      <c r="AL58" s="58">
        <v>-0.01</v>
      </c>
      <c r="AM58" s="58">
        <v>-0.01</v>
      </c>
      <c r="AN58" s="58">
        <v>-0.01</v>
      </c>
      <c r="AO58" s="58">
        <v>-0.01</v>
      </c>
      <c r="AP58" s="58">
        <v>-0.01</v>
      </c>
      <c r="AQ58" s="58">
        <v>-0.01</v>
      </c>
      <c r="AR58" s="58">
        <v>-0.01</v>
      </c>
      <c r="AS58" s="58">
        <v>0</v>
      </c>
      <c r="AT58" s="58">
        <v>0</v>
      </c>
      <c r="AU58" s="58">
        <v>0</v>
      </c>
      <c r="AV58" s="58">
        <v>0</v>
      </c>
      <c r="AW58" s="58">
        <v>0</v>
      </c>
      <c r="AX58" s="58">
        <v>0</v>
      </c>
      <c r="AY58" s="58">
        <v>0</v>
      </c>
      <c r="AZ58" s="58">
        <v>0</v>
      </c>
      <c r="BA58" s="58">
        <v>0</v>
      </c>
      <c r="BB58" s="58">
        <v>0</v>
      </c>
      <c r="BC58" s="58">
        <v>0</v>
      </c>
      <c r="BD58" s="58">
        <v>0</v>
      </c>
      <c r="BE58" s="58">
        <v>0</v>
      </c>
    </row>
    <row r="59" spans="1:57" x14ac:dyDescent="0.2">
      <c r="A59" s="40">
        <v>50</v>
      </c>
      <c r="B59" s="45" t="s">
        <v>246</v>
      </c>
      <c r="C59" s="45" t="s">
        <v>256</v>
      </c>
      <c r="D59" s="38"/>
      <c r="E59" s="38" t="s">
        <v>194</v>
      </c>
      <c r="F59" s="38"/>
      <c r="H59" s="58">
        <v>0</v>
      </c>
      <c r="I59" s="58">
        <v>0</v>
      </c>
      <c r="J59" s="58">
        <v>0</v>
      </c>
      <c r="K59" s="58">
        <v>0</v>
      </c>
      <c r="L59" s="58">
        <v>0</v>
      </c>
      <c r="M59" s="58">
        <v>0</v>
      </c>
      <c r="N59" s="58">
        <v>0</v>
      </c>
      <c r="O59" s="58">
        <v>0</v>
      </c>
      <c r="P59" s="58">
        <v>0</v>
      </c>
      <c r="Q59" s="58">
        <v>0</v>
      </c>
      <c r="R59" s="58">
        <v>0</v>
      </c>
      <c r="S59" s="58">
        <v>0</v>
      </c>
      <c r="T59" s="58">
        <v>-0.05</v>
      </c>
      <c r="U59" s="58">
        <v>-0.05</v>
      </c>
      <c r="V59" s="58">
        <v>-0.05</v>
      </c>
      <c r="W59" s="58">
        <v>-0.05</v>
      </c>
      <c r="X59" s="58">
        <v>-0.05</v>
      </c>
      <c r="Y59" s="58">
        <v>-0.05</v>
      </c>
      <c r="Z59" s="58">
        <v>-0.05</v>
      </c>
      <c r="AA59" s="58">
        <v>0.1158</v>
      </c>
      <c r="AB59" s="58">
        <v>0.1158</v>
      </c>
      <c r="AC59" s="58">
        <v>0.1158</v>
      </c>
      <c r="AD59" s="58">
        <v>-5.8999999999999997E-2</v>
      </c>
      <c r="AE59" s="58">
        <v>-5.8999999999999997E-2</v>
      </c>
      <c r="AF59" s="58">
        <v>-2.5000000000000001E-2</v>
      </c>
      <c r="AG59" s="58">
        <v>-2.5000000000000001E-2</v>
      </c>
      <c r="AH59" s="58">
        <v>-2.5000000000000001E-2</v>
      </c>
      <c r="AI59" s="58">
        <v>-2.5000000000000001E-2</v>
      </c>
      <c r="AJ59" s="58">
        <v>-2.5000000000000001E-2</v>
      </c>
      <c r="AK59" s="58">
        <v>-2.5000000000000001E-2</v>
      </c>
      <c r="AL59" s="58">
        <v>-0.01</v>
      </c>
      <c r="AM59" s="58">
        <v>-0.01</v>
      </c>
      <c r="AN59" s="58">
        <v>-0.01</v>
      </c>
      <c r="AO59" s="58">
        <v>-0.01</v>
      </c>
      <c r="AP59" s="58">
        <v>-0.01</v>
      </c>
      <c r="AQ59" s="58">
        <v>-0.01</v>
      </c>
      <c r="AR59" s="58">
        <v>-0.01</v>
      </c>
      <c r="AS59" s="58">
        <v>0</v>
      </c>
      <c r="AT59" s="58">
        <v>0</v>
      </c>
      <c r="AU59" s="58">
        <v>0</v>
      </c>
      <c r="AV59" s="58">
        <v>0</v>
      </c>
      <c r="AW59" s="58">
        <v>0</v>
      </c>
      <c r="AX59" s="58">
        <v>0</v>
      </c>
      <c r="AY59" s="58">
        <v>0</v>
      </c>
      <c r="AZ59" s="58">
        <v>0</v>
      </c>
      <c r="BA59" s="58">
        <v>0</v>
      </c>
      <c r="BB59" s="58">
        <v>0</v>
      </c>
      <c r="BC59" s="58">
        <v>0</v>
      </c>
      <c r="BD59" s="58">
        <v>0</v>
      </c>
      <c r="BE59" s="58">
        <v>0</v>
      </c>
    </row>
    <row r="60" spans="1:57" x14ac:dyDescent="0.2">
      <c r="A60" s="40">
        <v>51</v>
      </c>
      <c r="B60" s="45" t="s">
        <v>246</v>
      </c>
      <c r="C60" s="45" t="s">
        <v>257</v>
      </c>
      <c r="D60" s="38"/>
      <c r="E60" s="38" t="s">
        <v>194</v>
      </c>
      <c r="F60" s="38"/>
      <c r="H60" s="58">
        <v>0</v>
      </c>
      <c r="I60" s="58">
        <v>0</v>
      </c>
      <c r="J60" s="58">
        <v>0</v>
      </c>
      <c r="K60" s="58">
        <v>0</v>
      </c>
      <c r="L60" s="58">
        <v>0</v>
      </c>
      <c r="M60" s="58">
        <v>0</v>
      </c>
      <c r="N60" s="58">
        <v>0</v>
      </c>
      <c r="O60" s="58">
        <v>0</v>
      </c>
      <c r="P60" s="58">
        <v>0</v>
      </c>
      <c r="Q60" s="58">
        <v>0</v>
      </c>
      <c r="R60" s="58">
        <v>0</v>
      </c>
      <c r="S60" s="58">
        <v>0</v>
      </c>
      <c r="T60" s="58">
        <v>-0.05</v>
      </c>
      <c r="U60" s="58">
        <v>-0.05</v>
      </c>
      <c r="V60" s="58">
        <v>-0.05</v>
      </c>
      <c r="W60" s="58">
        <v>-0.05</v>
      </c>
      <c r="X60" s="58">
        <v>-0.05</v>
      </c>
      <c r="Y60" s="58">
        <v>-0.05</v>
      </c>
      <c r="Z60" s="58">
        <v>-0.05</v>
      </c>
      <c r="AA60" s="49">
        <v>-0.13139999999999999</v>
      </c>
      <c r="AB60" s="49">
        <v>-0.13139999999999999</v>
      </c>
      <c r="AC60" s="49">
        <v>-0.13139999999999999</v>
      </c>
      <c r="AD60" s="50">
        <v>-5.8999999999999997E-2</v>
      </c>
      <c r="AE60" s="50">
        <v>-5.8999999999999997E-2</v>
      </c>
      <c r="AF60" s="58">
        <v>-2.5000000000000001E-2</v>
      </c>
      <c r="AG60" s="58">
        <v>-2.5000000000000001E-2</v>
      </c>
      <c r="AH60" s="58">
        <v>-2.5000000000000001E-2</v>
      </c>
      <c r="AI60" s="58">
        <v>-2.5000000000000001E-2</v>
      </c>
      <c r="AJ60" s="58">
        <v>-2.5000000000000001E-2</v>
      </c>
      <c r="AK60" s="58">
        <v>-2.5000000000000001E-2</v>
      </c>
      <c r="AL60" s="58">
        <v>-0.01</v>
      </c>
      <c r="AM60" s="58">
        <v>-0.01</v>
      </c>
      <c r="AN60" s="58">
        <v>-0.01</v>
      </c>
      <c r="AO60" s="58">
        <v>-0.01</v>
      </c>
      <c r="AP60" s="58">
        <v>-0.01</v>
      </c>
      <c r="AQ60" s="58">
        <v>-0.01</v>
      </c>
      <c r="AR60" s="58">
        <v>-0.01</v>
      </c>
      <c r="AS60" s="58">
        <v>0</v>
      </c>
      <c r="AT60" s="58">
        <v>0</v>
      </c>
      <c r="AU60" s="58">
        <v>0</v>
      </c>
      <c r="AV60" s="58">
        <v>0</v>
      </c>
      <c r="AW60" s="58">
        <v>0</v>
      </c>
      <c r="AX60" s="58">
        <v>0</v>
      </c>
      <c r="AY60" s="58">
        <v>0</v>
      </c>
      <c r="AZ60" s="58">
        <v>0</v>
      </c>
      <c r="BA60" s="58">
        <v>0</v>
      </c>
      <c r="BB60" s="58">
        <v>0</v>
      </c>
      <c r="BC60" s="58">
        <v>0</v>
      </c>
      <c r="BD60" s="58">
        <v>0</v>
      </c>
      <c r="BE60" s="58">
        <v>0</v>
      </c>
    </row>
    <row r="61" spans="1:57" x14ac:dyDescent="0.2">
      <c r="A61" s="40">
        <v>52</v>
      </c>
      <c r="B61" s="45" t="s">
        <v>246</v>
      </c>
      <c r="C61" s="45" t="s">
        <v>258</v>
      </c>
      <c r="D61" s="38"/>
      <c r="E61" s="38" t="s">
        <v>194</v>
      </c>
      <c r="F61" s="38"/>
      <c r="H61" s="58">
        <v>0</v>
      </c>
      <c r="I61" s="58">
        <v>0</v>
      </c>
      <c r="J61" s="58">
        <v>0</v>
      </c>
      <c r="K61" s="58">
        <v>0</v>
      </c>
      <c r="L61" s="58">
        <v>0</v>
      </c>
      <c r="M61" s="58">
        <v>0</v>
      </c>
      <c r="N61" s="58">
        <v>0</v>
      </c>
      <c r="O61" s="58">
        <v>0</v>
      </c>
      <c r="P61" s="58">
        <v>0</v>
      </c>
      <c r="Q61" s="58">
        <v>0</v>
      </c>
      <c r="R61" s="58">
        <v>0</v>
      </c>
      <c r="S61" s="58">
        <v>0</v>
      </c>
      <c r="T61" s="58">
        <v>-0.05</v>
      </c>
      <c r="U61" s="58">
        <v>-0.05</v>
      </c>
      <c r="V61" s="58">
        <v>-0.05</v>
      </c>
      <c r="W61" s="58">
        <v>-0.05</v>
      </c>
      <c r="X61" s="58">
        <v>-0.05</v>
      </c>
      <c r="Y61" s="58">
        <v>-0.05</v>
      </c>
      <c r="Z61" s="58">
        <v>-0.05</v>
      </c>
      <c r="AA61" s="58">
        <v>-0.13139999999999999</v>
      </c>
      <c r="AB61" s="58">
        <v>-0.13139999999999999</v>
      </c>
      <c r="AC61" s="58">
        <v>-0.13139999999999999</v>
      </c>
      <c r="AD61" s="58">
        <v>-5.8999999999999997E-2</v>
      </c>
      <c r="AE61" s="58">
        <v>-5.8999999999999997E-2</v>
      </c>
      <c r="AF61" s="58">
        <v>-2.5000000000000001E-2</v>
      </c>
      <c r="AG61" s="58">
        <v>-2.5000000000000001E-2</v>
      </c>
      <c r="AH61" s="58">
        <v>-2.5000000000000001E-2</v>
      </c>
      <c r="AI61" s="58">
        <v>-2.5000000000000001E-2</v>
      </c>
      <c r="AJ61" s="58">
        <v>-2.5000000000000001E-2</v>
      </c>
      <c r="AK61" s="58">
        <v>-2.5000000000000001E-2</v>
      </c>
      <c r="AL61" s="58">
        <v>-0.01</v>
      </c>
      <c r="AM61" s="58">
        <v>-0.01</v>
      </c>
      <c r="AN61" s="58">
        <v>-0.01</v>
      </c>
      <c r="AO61" s="58">
        <v>-0.01</v>
      </c>
      <c r="AP61" s="58">
        <v>-0.01</v>
      </c>
      <c r="AQ61" s="58">
        <v>-0.01</v>
      </c>
      <c r="AR61" s="58">
        <v>-0.01</v>
      </c>
      <c r="AS61" s="58">
        <v>0</v>
      </c>
      <c r="AT61" s="58">
        <v>0</v>
      </c>
      <c r="AU61" s="58">
        <v>0</v>
      </c>
      <c r="AV61" s="58">
        <v>0</v>
      </c>
      <c r="AW61" s="58">
        <v>0</v>
      </c>
      <c r="AX61" s="58">
        <v>0</v>
      </c>
      <c r="AY61" s="58">
        <v>0</v>
      </c>
      <c r="AZ61" s="58">
        <v>0</v>
      </c>
      <c r="BA61" s="58">
        <v>0</v>
      </c>
      <c r="BB61" s="58">
        <v>0</v>
      </c>
      <c r="BC61" s="58">
        <v>0</v>
      </c>
      <c r="BD61" s="58">
        <v>0</v>
      </c>
      <c r="BE61" s="58">
        <v>0</v>
      </c>
    </row>
    <row r="62" spans="1:57" x14ac:dyDescent="0.2">
      <c r="A62" s="40">
        <v>53</v>
      </c>
      <c r="B62" s="45" t="s">
        <v>246</v>
      </c>
      <c r="C62" s="45" t="s">
        <v>259</v>
      </c>
      <c r="D62" s="38"/>
      <c r="E62" s="38" t="s">
        <v>194</v>
      </c>
      <c r="F62" s="38"/>
      <c r="H62" s="58">
        <v>0</v>
      </c>
      <c r="I62" s="58">
        <v>0</v>
      </c>
      <c r="J62" s="58">
        <v>0</v>
      </c>
      <c r="K62" s="58">
        <v>0</v>
      </c>
      <c r="L62" s="58">
        <v>0</v>
      </c>
      <c r="M62" s="58">
        <v>0</v>
      </c>
      <c r="N62" s="58">
        <v>0</v>
      </c>
      <c r="O62" s="58">
        <v>0</v>
      </c>
      <c r="P62" s="58">
        <v>0</v>
      </c>
      <c r="Q62" s="58">
        <v>0</v>
      </c>
      <c r="R62" s="58">
        <v>0</v>
      </c>
      <c r="S62" s="58">
        <v>0</v>
      </c>
      <c r="T62" s="58">
        <v>-0.05</v>
      </c>
      <c r="U62" s="58">
        <v>-0.05</v>
      </c>
      <c r="V62" s="58">
        <v>-0.05</v>
      </c>
      <c r="W62" s="58">
        <v>-0.05</v>
      </c>
      <c r="X62" s="58">
        <v>-0.05</v>
      </c>
      <c r="Y62" s="58">
        <v>-0.05</v>
      </c>
      <c r="Z62" s="58">
        <v>-0.05</v>
      </c>
      <c r="AA62" s="58">
        <v>-0.13139999999999999</v>
      </c>
      <c r="AB62" s="58">
        <v>-0.13139999999999999</v>
      </c>
      <c r="AC62" s="58">
        <v>-0.13139999999999999</v>
      </c>
      <c r="AD62" s="58">
        <v>-5.8999999999999997E-2</v>
      </c>
      <c r="AE62" s="58">
        <v>-5.8999999999999997E-2</v>
      </c>
      <c r="AF62" s="58">
        <v>-2.5000000000000001E-2</v>
      </c>
      <c r="AG62" s="58">
        <v>-2.5000000000000001E-2</v>
      </c>
      <c r="AH62" s="58">
        <v>-2.5000000000000001E-2</v>
      </c>
      <c r="AI62" s="58">
        <v>-2.5000000000000001E-2</v>
      </c>
      <c r="AJ62" s="58">
        <v>-2.5000000000000001E-2</v>
      </c>
      <c r="AK62" s="58">
        <v>-2.5000000000000001E-2</v>
      </c>
      <c r="AL62" s="58">
        <v>-0.01</v>
      </c>
      <c r="AM62" s="58">
        <v>-0.01</v>
      </c>
      <c r="AN62" s="58">
        <v>-0.01</v>
      </c>
      <c r="AO62" s="58">
        <v>-0.01</v>
      </c>
      <c r="AP62" s="58">
        <v>-0.01</v>
      </c>
      <c r="AQ62" s="58">
        <v>-0.01</v>
      </c>
      <c r="AR62" s="58">
        <v>-0.01</v>
      </c>
      <c r="AS62" s="58">
        <v>0</v>
      </c>
      <c r="AT62" s="58">
        <v>0</v>
      </c>
      <c r="AU62" s="58">
        <v>0</v>
      </c>
      <c r="AV62" s="58">
        <v>0</v>
      </c>
      <c r="AW62" s="58">
        <v>0</v>
      </c>
      <c r="AX62" s="58">
        <v>0</v>
      </c>
      <c r="AY62" s="58">
        <v>0</v>
      </c>
      <c r="AZ62" s="58">
        <v>0</v>
      </c>
      <c r="BA62" s="58">
        <v>0</v>
      </c>
      <c r="BB62" s="58">
        <v>0</v>
      </c>
      <c r="BC62" s="58">
        <v>0</v>
      </c>
      <c r="BD62" s="58">
        <v>0</v>
      </c>
      <c r="BE62" s="58">
        <v>0</v>
      </c>
    </row>
    <row r="63" spans="1:57" x14ac:dyDescent="0.2">
      <c r="A63" s="40">
        <v>54</v>
      </c>
      <c r="B63" s="45" t="s">
        <v>260</v>
      </c>
      <c r="C63" s="45" t="s">
        <v>261</v>
      </c>
      <c r="D63" s="38"/>
      <c r="E63" s="38" t="s">
        <v>194</v>
      </c>
      <c r="F63" s="38"/>
      <c r="H63" s="64">
        <v>0</v>
      </c>
      <c r="I63" s="64">
        <v>0</v>
      </c>
      <c r="J63" s="64">
        <v>0</v>
      </c>
      <c r="K63" s="64">
        <v>0</v>
      </c>
      <c r="L63" s="64">
        <v>0</v>
      </c>
      <c r="M63" s="64">
        <v>0</v>
      </c>
      <c r="N63" s="64">
        <v>0</v>
      </c>
      <c r="O63" s="64">
        <v>0</v>
      </c>
      <c r="P63" s="64">
        <v>0</v>
      </c>
      <c r="Q63" s="64">
        <v>0</v>
      </c>
      <c r="R63" s="64">
        <v>0</v>
      </c>
      <c r="S63" s="64">
        <v>0</v>
      </c>
      <c r="T63" s="64">
        <v>-0.05</v>
      </c>
      <c r="U63" s="64">
        <v>-0.05</v>
      </c>
      <c r="V63" s="67">
        <v>-0.05</v>
      </c>
      <c r="W63" s="46">
        <v>-0.35</v>
      </c>
      <c r="X63" s="46">
        <v>-0.35</v>
      </c>
      <c r="Y63" s="46">
        <v>-0.4</v>
      </c>
      <c r="Z63" s="46">
        <v>-0.4</v>
      </c>
      <c r="AA63" s="49">
        <v>-5.5E-2</v>
      </c>
      <c r="AB63" s="49">
        <v>-5.5E-2</v>
      </c>
      <c r="AC63" s="49">
        <v>-5.5E-2</v>
      </c>
      <c r="AD63" s="50">
        <v>-5.5E-2</v>
      </c>
      <c r="AE63" s="50">
        <v>-5.5E-2</v>
      </c>
      <c r="AF63" s="64">
        <v>-2.5000000000000001E-2</v>
      </c>
      <c r="AG63" s="64">
        <v>-2.5000000000000001E-2</v>
      </c>
      <c r="AH63" s="64">
        <v>-2.5000000000000001E-2</v>
      </c>
      <c r="AI63" s="64">
        <v>-2.5000000000000001E-2</v>
      </c>
      <c r="AJ63" s="64">
        <v>-2.5000000000000001E-2</v>
      </c>
      <c r="AK63" s="64">
        <v>-2.5000000000000001E-2</v>
      </c>
      <c r="AL63" s="62">
        <v>-0.01</v>
      </c>
      <c r="AM63" s="62">
        <v>-0.01</v>
      </c>
      <c r="AN63" s="62">
        <v>-0.01</v>
      </c>
      <c r="AO63" s="62">
        <v>-0.01</v>
      </c>
      <c r="AP63" s="62">
        <v>-0.01</v>
      </c>
      <c r="AQ63" s="62">
        <v>-0.01</v>
      </c>
      <c r="AR63" s="62">
        <v>-0.01</v>
      </c>
      <c r="AS63" s="51">
        <v>0</v>
      </c>
      <c r="AT63" s="51">
        <v>0</v>
      </c>
      <c r="AU63" s="51">
        <v>0</v>
      </c>
      <c r="AV63" s="51">
        <v>0</v>
      </c>
      <c r="AW63" s="51">
        <v>0</v>
      </c>
      <c r="AX63" s="51">
        <v>0</v>
      </c>
      <c r="AY63" s="51">
        <v>0</v>
      </c>
      <c r="AZ63" s="51">
        <v>0</v>
      </c>
      <c r="BA63" s="51">
        <v>0</v>
      </c>
      <c r="BB63" s="51">
        <v>0</v>
      </c>
      <c r="BC63" s="51">
        <v>0</v>
      </c>
      <c r="BD63" s="51">
        <v>0</v>
      </c>
      <c r="BE63" s="51">
        <v>0</v>
      </c>
    </row>
    <row r="64" spans="1:57" x14ac:dyDescent="0.2">
      <c r="A64" s="40">
        <v>55</v>
      </c>
      <c r="B64" s="45" t="s">
        <v>260</v>
      </c>
      <c r="C64" s="45" t="s">
        <v>262</v>
      </c>
      <c r="D64" s="38"/>
      <c r="E64" s="38" t="s">
        <v>194</v>
      </c>
      <c r="F64" s="38"/>
      <c r="H64" s="58">
        <v>0</v>
      </c>
      <c r="I64" s="58">
        <v>0</v>
      </c>
      <c r="J64" s="58">
        <v>0</v>
      </c>
      <c r="K64" s="58">
        <v>0</v>
      </c>
      <c r="L64" s="58">
        <v>0</v>
      </c>
      <c r="M64" s="58">
        <v>0</v>
      </c>
      <c r="N64" s="58">
        <v>0</v>
      </c>
      <c r="O64" s="58">
        <v>0</v>
      </c>
      <c r="P64" s="58">
        <v>0</v>
      </c>
      <c r="Q64" s="58">
        <v>0</v>
      </c>
      <c r="R64" s="58">
        <v>0</v>
      </c>
      <c r="S64" s="58">
        <v>0</v>
      </c>
      <c r="T64" s="58">
        <v>-0.05</v>
      </c>
      <c r="U64" s="58">
        <v>-0.05</v>
      </c>
      <c r="V64" s="58">
        <v>-0.05</v>
      </c>
      <c r="W64" s="58">
        <v>-0.35</v>
      </c>
      <c r="X64" s="58">
        <v>-0.35</v>
      </c>
      <c r="Y64" s="58">
        <v>-0.4</v>
      </c>
      <c r="Z64" s="58">
        <v>-0.4</v>
      </c>
      <c r="AA64" s="58">
        <v>-5.5E-2</v>
      </c>
      <c r="AB64" s="58">
        <v>-5.5E-2</v>
      </c>
      <c r="AC64" s="58">
        <v>-5.5E-2</v>
      </c>
      <c r="AD64" s="58">
        <v>-5.5E-2</v>
      </c>
      <c r="AE64" s="58">
        <v>-5.5E-2</v>
      </c>
      <c r="AF64" s="58">
        <v>-2.5000000000000001E-2</v>
      </c>
      <c r="AG64" s="58">
        <v>-2.5000000000000001E-2</v>
      </c>
      <c r="AH64" s="58">
        <v>-2.5000000000000001E-2</v>
      </c>
      <c r="AI64" s="58">
        <v>-2.5000000000000001E-2</v>
      </c>
      <c r="AJ64" s="58">
        <v>-2.5000000000000001E-2</v>
      </c>
      <c r="AK64" s="58">
        <v>-2.5000000000000001E-2</v>
      </c>
      <c r="AL64" s="58">
        <v>-0.01</v>
      </c>
      <c r="AM64" s="58">
        <v>-0.01</v>
      </c>
      <c r="AN64" s="58">
        <v>-0.01</v>
      </c>
      <c r="AO64" s="58">
        <v>-0.01</v>
      </c>
      <c r="AP64" s="58">
        <v>-0.01</v>
      </c>
      <c r="AQ64" s="58">
        <v>-0.01</v>
      </c>
      <c r="AR64" s="58">
        <v>-0.01</v>
      </c>
      <c r="AS64" s="58">
        <v>0</v>
      </c>
      <c r="AT64" s="58">
        <v>0</v>
      </c>
      <c r="AU64" s="58">
        <v>0</v>
      </c>
      <c r="AV64" s="58">
        <v>0</v>
      </c>
      <c r="AW64" s="58">
        <v>0</v>
      </c>
      <c r="AX64" s="58">
        <v>0</v>
      </c>
      <c r="AY64" s="58">
        <v>0</v>
      </c>
      <c r="AZ64" s="58">
        <v>0</v>
      </c>
      <c r="BA64" s="58">
        <v>0</v>
      </c>
      <c r="BB64" s="58">
        <v>0</v>
      </c>
      <c r="BC64" s="58">
        <v>0</v>
      </c>
      <c r="BD64" s="58">
        <v>0</v>
      </c>
      <c r="BE64" s="58">
        <v>0</v>
      </c>
    </row>
    <row r="65" spans="1:57" x14ac:dyDescent="0.2">
      <c r="A65" s="40">
        <v>56</v>
      </c>
      <c r="B65" s="45" t="s">
        <v>260</v>
      </c>
      <c r="C65" s="45" t="s">
        <v>263</v>
      </c>
      <c r="D65" s="38"/>
      <c r="E65" s="38" t="s">
        <v>194</v>
      </c>
      <c r="F65" s="38"/>
      <c r="H65" s="58">
        <v>0</v>
      </c>
      <c r="I65" s="58">
        <v>0</v>
      </c>
      <c r="J65" s="58">
        <v>0</v>
      </c>
      <c r="K65" s="58">
        <v>0</v>
      </c>
      <c r="L65" s="58">
        <v>0</v>
      </c>
      <c r="M65" s="58">
        <v>0</v>
      </c>
      <c r="N65" s="58">
        <v>0</v>
      </c>
      <c r="O65" s="58">
        <v>0</v>
      </c>
      <c r="P65" s="58">
        <v>0</v>
      </c>
      <c r="Q65" s="58">
        <v>0</v>
      </c>
      <c r="R65" s="58">
        <v>0</v>
      </c>
      <c r="S65" s="58">
        <v>0</v>
      </c>
      <c r="T65" s="58">
        <v>-0.05</v>
      </c>
      <c r="U65" s="58">
        <v>-0.05</v>
      </c>
      <c r="V65" s="58">
        <v>-0.05</v>
      </c>
      <c r="W65" s="58">
        <v>-0.35</v>
      </c>
      <c r="X65" s="58">
        <v>-0.35</v>
      </c>
      <c r="Y65" s="58">
        <v>-0.4</v>
      </c>
      <c r="Z65" s="58">
        <v>-0.4</v>
      </c>
      <c r="AA65" s="58">
        <v>-5.5E-2</v>
      </c>
      <c r="AB65" s="58">
        <v>-5.5E-2</v>
      </c>
      <c r="AC65" s="58">
        <v>-5.5E-2</v>
      </c>
      <c r="AD65" s="58">
        <v>-5.5E-2</v>
      </c>
      <c r="AE65" s="58">
        <v>-5.5E-2</v>
      </c>
      <c r="AF65" s="58">
        <v>-2.5000000000000001E-2</v>
      </c>
      <c r="AG65" s="58">
        <v>-2.5000000000000001E-2</v>
      </c>
      <c r="AH65" s="58">
        <v>-2.5000000000000001E-2</v>
      </c>
      <c r="AI65" s="58">
        <v>-2.5000000000000001E-2</v>
      </c>
      <c r="AJ65" s="58">
        <v>-2.5000000000000001E-2</v>
      </c>
      <c r="AK65" s="58">
        <v>-2.5000000000000001E-2</v>
      </c>
      <c r="AL65" s="58">
        <v>-0.01</v>
      </c>
      <c r="AM65" s="58">
        <v>-0.01</v>
      </c>
      <c r="AN65" s="58">
        <v>-0.01</v>
      </c>
      <c r="AO65" s="58">
        <v>-0.01</v>
      </c>
      <c r="AP65" s="58">
        <v>-0.01</v>
      </c>
      <c r="AQ65" s="58">
        <v>-0.01</v>
      </c>
      <c r="AR65" s="58">
        <v>-0.01</v>
      </c>
      <c r="AS65" s="58">
        <v>0</v>
      </c>
      <c r="AT65" s="58">
        <v>0</v>
      </c>
      <c r="AU65" s="58">
        <v>0</v>
      </c>
      <c r="AV65" s="58">
        <v>0</v>
      </c>
      <c r="AW65" s="58">
        <v>0</v>
      </c>
      <c r="AX65" s="58">
        <v>0</v>
      </c>
      <c r="AY65" s="58">
        <v>0</v>
      </c>
      <c r="AZ65" s="58">
        <v>0</v>
      </c>
      <c r="BA65" s="58">
        <v>0</v>
      </c>
      <c r="BB65" s="58">
        <v>0</v>
      </c>
      <c r="BC65" s="58">
        <v>0</v>
      </c>
      <c r="BD65" s="58">
        <v>0</v>
      </c>
      <c r="BE65" s="58">
        <v>0</v>
      </c>
    </row>
    <row r="66" spans="1:57" x14ac:dyDescent="0.2">
      <c r="A66" s="40">
        <v>57</v>
      </c>
      <c r="B66" s="45" t="s">
        <v>264</v>
      </c>
      <c r="C66" s="45" t="s">
        <v>265</v>
      </c>
      <c r="D66" s="38"/>
      <c r="E66" s="38" t="s">
        <v>194</v>
      </c>
      <c r="F66" s="38"/>
      <c r="H66" s="64">
        <v>0</v>
      </c>
      <c r="I66" s="64">
        <v>0</v>
      </c>
      <c r="J66" s="64">
        <v>0</v>
      </c>
      <c r="K66" s="64">
        <v>0</v>
      </c>
      <c r="L66" s="64">
        <v>0</v>
      </c>
      <c r="M66" s="64">
        <v>0</v>
      </c>
      <c r="N66" s="64">
        <v>0</v>
      </c>
      <c r="O66" s="64">
        <v>0</v>
      </c>
      <c r="P66" s="64">
        <v>0</v>
      </c>
      <c r="Q66" s="64">
        <v>0</v>
      </c>
      <c r="R66" s="64">
        <v>0</v>
      </c>
      <c r="S66" s="64">
        <v>0</v>
      </c>
      <c r="T66" s="64">
        <v>-0.05</v>
      </c>
      <c r="U66" s="64">
        <v>-0.05</v>
      </c>
      <c r="V66" s="67">
        <v>-0.05</v>
      </c>
      <c r="W66" s="67">
        <v>-0.05</v>
      </c>
      <c r="X66" s="67">
        <v>-0.05</v>
      </c>
      <c r="Y66" s="67">
        <v>-0.05</v>
      </c>
      <c r="Z66" s="46">
        <v>-0.05</v>
      </c>
      <c r="AA66" s="46">
        <v>-0.05</v>
      </c>
      <c r="AB66" s="46">
        <v>-0.05</v>
      </c>
      <c r="AC66" s="64">
        <v>-0.05</v>
      </c>
      <c r="AD66" s="64">
        <v>-0.05</v>
      </c>
      <c r="AE66" s="64">
        <v>-0.05</v>
      </c>
      <c r="AF66" s="64">
        <v>-2.5000000000000001E-2</v>
      </c>
      <c r="AG66" s="64">
        <v>-2.5000000000000001E-2</v>
      </c>
      <c r="AH66" s="64">
        <v>-2.5000000000000001E-2</v>
      </c>
      <c r="AI66" s="64">
        <v>-2.5000000000000001E-2</v>
      </c>
      <c r="AJ66" s="64">
        <v>-2.5000000000000001E-2</v>
      </c>
      <c r="AK66" s="64">
        <v>-2.5000000000000001E-2</v>
      </c>
      <c r="AL66" s="62">
        <v>-0.01</v>
      </c>
      <c r="AM66" s="62">
        <v>-0.01</v>
      </c>
      <c r="AN66" s="62">
        <v>-0.01</v>
      </c>
      <c r="AO66" s="62">
        <v>-0.01</v>
      </c>
      <c r="AP66" s="62">
        <v>-0.01</v>
      </c>
      <c r="AQ66" s="62">
        <v>-0.01</v>
      </c>
      <c r="AR66" s="62">
        <v>-0.01</v>
      </c>
      <c r="AS66" s="51">
        <v>0</v>
      </c>
      <c r="AT66" s="51">
        <v>0</v>
      </c>
      <c r="AU66" s="51">
        <v>0</v>
      </c>
      <c r="AV66" s="51">
        <v>0</v>
      </c>
      <c r="AW66" s="51">
        <v>0</v>
      </c>
      <c r="AX66" s="51">
        <v>0</v>
      </c>
      <c r="AY66" s="51">
        <v>0</v>
      </c>
      <c r="AZ66" s="51">
        <v>0</v>
      </c>
      <c r="BA66" s="51">
        <v>0</v>
      </c>
      <c r="BB66" s="51">
        <v>0</v>
      </c>
      <c r="BC66" s="51">
        <v>0</v>
      </c>
      <c r="BD66" s="51">
        <v>0</v>
      </c>
      <c r="BE66" s="51">
        <v>0</v>
      </c>
    </row>
    <row r="67" spans="1:57" x14ac:dyDescent="0.2">
      <c r="A67" s="40">
        <v>58</v>
      </c>
      <c r="B67" s="45" t="s">
        <v>264</v>
      </c>
      <c r="C67" s="45" t="s">
        <v>266</v>
      </c>
      <c r="D67" s="38"/>
      <c r="E67" s="38" t="s">
        <v>194</v>
      </c>
      <c r="F67" s="38"/>
      <c r="H67" s="58">
        <v>0</v>
      </c>
      <c r="I67" s="58">
        <v>0</v>
      </c>
      <c r="J67" s="58">
        <v>0</v>
      </c>
      <c r="K67" s="58">
        <v>0</v>
      </c>
      <c r="L67" s="58">
        <v>0</v>
      </c>
      <c r="M67" s="58">
        <v>0</v>
      </c>
      <c r="N67" s="58">
        <v>0</v>
      </c>
      <c r="O67" s="58">
        <v>0</v>
      </c>
      <c r="P67" s="58">
        <v>0</v>
      </c>
      <c r="Q67" s="58">
        <v>0</v>
      </c>
      <c r="R67" s="58">
        <v>0</v>
      </c>
      <c r="S67" s="58">
        <v>0</v>
      </c>
      <c r="T67" s="58">
        <v>-0.05</v>
      </c>
      <c r="U67" s="58">
        <v>-0.05</v>
      </c>
      <c r="V67" s="58">
        <v>-0.05</v>
      </c>
      <c r="W67" s="58">
        <v>-0.05</v>
      </c>
      <c r="X67" s="58">
        <v>-0.05</v>
      </c>
      <c r="Y67" s="58">
        <v>-0.05</v>
      </c>
      <c r="Z67" s="58">
        <v>-0.05</v>
      </c>
      <c r="AA67" s="58">
        <v>-0.05</v>
      </c>
      <c r="AB67" s="58">
        <v>-0.05</v>
      </c>
      <c r="AC67" s="58">
        <v>-0.05</v>
      </c>
      <c r="AD67" s="58">
        <v>-0.05</v>
      </c>
      <c r="AE67" s="58">
        <v>-0.05</v>
      </c>
      <c r="AF67" s="58">
        <v>-2.5000000000000001E-2</v>
      </c>
      <c r="AG67" s="58">
        <v>-2.5000000000000001E-2</v>
      </c>
      <c r="AH67" s="58">
        <v>-2.5000000000000001E-2</v>
      </c>
      <c r="AI67" s="58">
        <v>-2.5000000000000001E-2</v>
      </c>
      <c r="AJ67" s="58">
        <v>-2.5000000000000001E-2</v>
      </c>
      <c r="AK67" s="58">
        <v>-2.5000000000000001E-2</v>
      </c>
      <c r="AL67" s="58">
        <v>-0.01</v>
      </c>
      <c r="AM67" s="58">
        <v>-0.01</v>
      </c>
      <c r="AN67" s="58">
        <v>-0.01</v>
      </c>
      <c r="AO67" s="58">
        <v>-0.01</v>
      </c>
      <c r="AP67" s="58">
        <v>-0.01</v>
      </c>
      <c r="AQ67" s="58">
        <v>-0.01</v>
      </c>
      <c r="AR67" s="58">
        <v>-0.01</v>
      </c>
      <c r="AS67" s="58">
        <v>0</v>
      </c>
      <c r="AT67" s="58">
        <v>0</v>
      </c>
      <c r="AU67" s="58">
        <v>0</v>
      </c>
      <c r="AV67" s="58">
        <v>0</v>
      </c>
      <c r="AW67" s="58">
        <v>0</v>
      </c>
      <c r="AX67" s="58">
        <v>0</v>
      </c>
      <c r="AY67" s="58">
        <v>0</v>
      </c>
      <c r="AZ67" s="58">
        <v>0</v>
      </c>
      <c r="BA67" s="58">
        <v>0</v>
      </c>
      <c r="BB67" s="58">
        <v>0</v>
      </c>
      <c r="BC67" s="58">
        <v>0</v>
      </c>
      <c r="BD67" s="58">
        <v>0</v>
      </c>
      <c r="BE67" s="58">
        <v>0</v>
      </c>
    </row>
    <row r="68" spans="1:57" x14ac:dyDescent="0.2">
      <c r="A68" s="40">
        <v>59</v>
      </c>
      <c r="B68" s="45" t="s">
        <v>267</v>
      </c>
      <c r="C68" s="45" t="s">
        <v>217</v>
      </c>
      <c r="D68" s="38"/>
      <c r="E68" s="38" t="s">
        <v>194</v>
      </c>
      <c r="F68" s="38"/>
      <c r="H68" s="58">
        <v>0</v>
      </c>
      <c r="I68" s="58">
        <v>0</v>
      </c>
      <c r="J68" s="58">
        <v>0</v>
      </c>
      <c r="K68" s="58">
        <v>0</v>
      </c>
      <c r="L68" s="58">
        <v>0</v>
      </c>
      <c r="M68" s="58">
        <v>0</v>
      </c>
      <c r="N68" s="58">
        <v>0</v>
      </c>
      <c r="O68" s="58">
        <v>0</v>
      </c>
      <c r="P68" s="58">
        <v>0</v>
      </c>
      <c r="Q68" s="58">
        <v>0</v>
      </c>
      <c r="R68" s="58">
        <v>0</v>
      </c>
      <c r="S68" s="58">
        <v>0</v>
      </c>
      <c r="T68" s="58">
        <v>-0.05</v>
      </c>
      <c r="U68" s="58">
        <v>-0.05</v>
      </c>
      <c r="V68" s="58">
        <v>-0.05</v>
      </c>
      <c r="W68" s="58">
        <v>-0.05</v>
      </c>
      <c r="X68" s="58">
        <v>-0.05</v>
      </c>
      <c r="Y68" s="58">
        <v>-0.05</v>
      </c>
      <c r="Z68" s="58">
        <v>-0.05</v>
      </c>
      <c r="AA68" s="58">
        <v>-0.05</v>
      </c>
      <c r="AB68" s="58">
        <v>-0.05</v>
      </c>
      <c r="AC68" s="58">
        <v>-0.05</v>
      </c>
      <c r="AD68" s="58">
        <v>-0.05</v>
      </c>
      <c r="AE68" s="58">
        <v>-0.05</v>
      </c>
      <c r="AF68" s="58">
        <v>-2.5000000000000001E-2</v>
      </c>
      <c r="AG68" s="58">
        <v>-2.5000000000000001E-2</v>
      </c>
      <c r="AH68" s="58">
        <v>-2.5000000000000001E-2</v>
      </c>
      <c r="AI68" s="58">
        <v>-2.5000000000000001E-2</v>
      </c>
      <c r="AJ68" s="58">
        <v>-2.5000000000000001E-2</v>
      </c>
      <c r="AK68" s="58">
        <v>-2.5000000000000001E-2</v>
      </c>
      <c r="AL68" s="58">
        <v>-0.01</v>
      </c>
      <c r="AM68" s="58">
        <v>-0.01</v>
      </c>
      <c r="AN68" s="58">
        <v>-0.01</v>
      </c>
      <c r="AO68" s="58">
        <v>-0.01</v>
      </c>
      <c r="AP68" s="58">
        <v>-0.01</v>
      </c>
      <c r="AQ68" s="58">
        <v>-0.01</v>
      </c>
      <c r="AR68" s="58">
        <v>-0.01</v>
      </c>
      <c r="AS68" s="58">
        <v>0</v>
      </c>
      <c r="AT68" s="58">
        <v>0</v>
      </c>
      <c r="AU68" s="58">
        <v>0</v>
      </c>
      <c r="AV68" s="58">
        <v>0</v>
      </c>
      <c r="AW68" s="58">
        <v>0</v>
      </c>
      <c r="AX68" s="58">
        <v>0</v>
      </c>
      <c r="AY68" s="58">
        <v>0</v>
      </c>
      <c r="AZ68" s="58">
        <v>0</v>
      </c>
      <c r="BA68" s="58">
        <v>0</v>
      </c>
      <c r="BB68" s="58">
        <v>0</v>
      </c>
      <c r="BC68" s="58">
        <v>0</v>
      </c>
      <c r="BD68" s="58">
        <v>0</v>
      </c>
      <c r="BE68" s="58">
        <v>0</v>
      </c>
    </row>
    <row r="69" spans="1:57" x14ac:dyDescent="0.2">
      <c r="A69" s="40">
        <v>60</v>
      </c>
      <c r="B69" s="45" t="s">
        <v>267</v>
      </c>
      <c r="C69" s="45" t="s">
        <v>218</v>
      </c>
      <c r="D69" s="38"/>
      <c r="E69" s="38" t="s">
        <v>194</v>
      </c>
      <c r="F69" s="38"/>
      <c r="H69" s="58">
        <v>0</v>
      </c>
      <c r="I69" s="58">
        <v>0</v>
      </c>
      <c r="J69" s="58">
        <v>0</v>
      </c>
      <c r="K69" s="58">
        <v>0</v>
      </c>
      <c r="L69" s="58">
        <v>0</v>
      </c>
      <c r="M69" s="58">
        <v>0</v>
      </c>
      <c r="N69" s="58">
        <v>0</v>
      </c>
      <c r="O69" s="58">
        <v>0</v>
      </c>
      <c r="P69" s="58">
        <v>0</v>
      </c>
      <c r="Q69" s="58">
        <v>0</v>
      </c>
      <c r="R69" s="58">
        <v>0</v>
      </c>
      <c r="S69" s="58">
        <v>0</v>
      </c>
      <c r="T69" s="58">
        <v>-0.05</v>
      </c>
      <c r="U69" s="58">
        <v>-0.05</v>
      </c>
      <c r="V69" s="58">
        <v>-0.05</v>
      </c>
      <c r="W69" s="58">
        <v>-0.05</v>
      </c>
      <c r="X69" s="58">
        <v>-0.05</v>
      </c>
      <c r="Y69" s="58">
        <v>-0.05</v>
      </c>
      <c r="Z69" s="58">
        <v>-0.05</v>
      </c>
      <c r="AA69" s="58">
        <v>-0.05</v>
      </c>
      <c r="AB69" s="58">
        <v>-0.05</v>
      </c>
      <c r="AC69" s="58">
        <v>-0.05</v>
      </c>
      <c r="AD69" s="58">
        <v>-0.05</v>
      </c>
      <c r="AE69" s="58">
        <v>-0.05</v>
      </c>
      <c r="AF69" s="58">
        <v>-2.5000000000000001E-2</v>
      </c>
      <c r="AG69" s="58">
        <v>-2.5000000000000001E-2</v>
      </c>
      <c r="AH69" s="58">
        <v>-2.5000000000000001E-2</v>
      </c>
      <c r="AI69" s="58">
        <v>-2.5000000000000001E-2</v>
      </c>
      <c r="AJ69" s="58">
        <v>-2.5000000000000001E-2</v>
      </c>
      <c r="AK69" s="58">
        <v>-2.5000000000000001E-2</v>
      </c>
      <c r="AL69" s="58">
        <v>-0.01</v>
      </c>
      <c r="AM69" s="58">
        <v>-0.01</v>
      </c>
      <c r="AN69" s="58">
        <v>-0.01</v>
      </c>
      <c r="AO69" s="58">
        <v>-0.01</v>
      </c>
      <c r="AP69" s="58">
        <v>-0.01</v>
      </c>
      <c r="AQ69" s="58">
        <v>-0.01</v>
      </c>
      <c r="AR69" s="58">
        <v>-0.01</v>
      </c>
      <c r="AS69" s="58">
        <v>0</v>
      </c>
      <c r="AT69" s="58">
        <v>0</v>
      </c>
      <c r="AU69" s="58">
        <v>0</v>
      </c>
      <c r="AV69" s="58">
        <v>0</v>
      </c>
      <c r="AW69" s="58">
        <v>0</v>
      </c>
      <c r="AX69" s="58">
        <v>0</v>
      </c>
      <c r="AY69" s="58">
        <v>0</v>
      </c>
      <c r="AZ69" s="58">
        <v>0</v>
      </c>
      <c r="BA69" s="58">
        <v>0</v>
      </c>
      <c r="BB69" s="58">
        <v>0</v>
      </c>
      <c r="BC69" s="58">
        <v>0</v>
      </c>
      <c r="BD69" s="58">
        <v>0</v>
      </c>
      <c r="BE69" s="58">
        <v>0</v>
      </c>
    </row>
    <row r="70" spans="1:57" x14ac:dyDescent="0.2">
      <c r="A70" s="40">
        <v>61</v>
      </c>
      <c r="B70" s="45" t="s">
        <v>268</v>
      </c>
      <c r="C70" s="45" t="s">
        <v>223</v>
      </c>
      <c r="D70" s="38"/>
      <c r="E70" s="38" t="s">
        <v>194</v>
      </c>
      <c r="F70" s="38"/>
      <c r="H70" s="58">
        <v>0</v>
      </c>
      <c r="I70" s="58">
        <v>0</v>
      </c>
      <c r="J70" s="58">
        <v>0</v>
      </c>
      <c r="K70" s="58">
        <v>0</v>
      </c>
      <c r="L70" s="58">
        <v>0</v>
      </c>
      <c r="M70" s="58">
        <v>0</v>
      </c>
      <c r="N70" s="58">
        <v>0</v>
      </c>
      <c r="O70" s="58">
        <v>0</v>
      </c>
      <c r="P70" s="58">
        <v>0</v>
      </c>
      <c r="Q70" s="58">
        <v>0</v>
      </c>
      <c r="R70" s="58">
        <v>0</v>
      </c>
      <c r="S70" s="58">
        <v>0</v>
      </c>
      <c r="T70" s="58">
        <v>-0.05</v>
      </c>
      <c r="U70" s="58">
        <v>-0.05</v>
      </c>
      <c r="V70" s="58">
        <v>-0.05</v>
      </c>
      <c r="W70" s="58">
        <v>-0.05</v>
      </c>
      <c r="X70" s="58">
        <v>-0.05</v>
      </c>
      <c r="Y70" s="58">
        <v>-0.05</v>
      </c>
      <c r="Z70" s="58">
        <v>-0.05</v>
      </c>
      <c r="AA70" s="58">
        <v>-0.05</v>
      </c>
      <c r="AB70" s="58">
        <v>-0.05</v>
      </c>
      <c r="AC70" s="58">
        <v>-0.05</v>
      </c>
      <c r="AD70" s="58">
        <v>-0.05</v>
      </c>
      <c r="AE70" s="58">
        <v>-0.05</v>
      </c>
      <c r="AF70" s="58">
        <v>-2.5000000000000001E-2</v>
      </c>
      <c r="AG70" s="58">
        <v>-2.5000000000000001E-2</v>
      </c>
      <c r="AH70" s="58">
        <v>-2.5000000000000001E-2</v>
      </c>
      <c r="AI70" s="58">
        <v>-2.5000000000000001E-2</v>
      </c>
      <c r="AJ70" s="58">
        <v>-2.5000000000000001E-2</v>
      </c>
      <c r="AK70" s="58">
        <v>-2.5000000000000001E-2</v>
      </c>
      <c r="AL70" s="58">
        <v>-0.01</v>
      </c>
      <c r="AM70" s="58">
        <v>-0.01</v>
      </c>
      <c r="AN70" s="58">
        <v>-0.01</v>
      </c>
      <c r="AO70" s="58">
        <v>-0.01</v>
      </c>
      <c r="AP70" s="58">
        <v>-0.01</v>
      </c>
      <c r="AQ70" s="58">
        <v>-0.01</v>
      </c>
      <c r="AR70" s="58">
        <v>-0.01</v>
      </c>
      <c r="AS70" s="58">
        <v>0</v>
      </c>
      <c r="AT70" s="58">
        <v>0</v>
      </c>
      <c r="AU70" s="58">
        <v>0</v>
      </c>
      <c r="AV70" s="58">
        <v>0</v>
      </c>
      <c r="AW70" s="58">
        <v>0</v>
      </c>
      <c r="AX70" s="58">
        <v>0</v>
      </c>
      <c r="AY70" s="58">
        <v>0</v>
      </c>
      <c r="AZ70" s="58">
        <v>0</v>
      </c>
      <c r="BA70" s="58">
        <v>0</v>
      </c>
      <c r="BB70" s="58">
        <v>0</v>
      </c>
      <c r="BC70" s="58">
        <v>0</v>
      </c>
      <c r="BD70" s="58">
        <v>0</v>
      </c>
      <c r="BE70" s="58">
        <v>0</v>
      </c>
    </row>
    <row r="71" spans="1:57" x14ac:dyDescent="0.2">
      <c r="A71" s="40">
        <v>62</v>
      </c>
      <c r="B71" s="45" t="s">
        <v>269</v>
      </c>
      <c r="C71" s="45" t="s">
        <v>225</v>
      </c>
      <c r="D71" s="38"/>
      <c r="E71" s="38" t="s">
        <v>194</v>
      </c>
      <c r="F71" s="38"/>
      <c r="H71" s="58">
        <v>0</v>
      </c>
      <c r="I71" s="58">
        <v>0</v>
      </c>
      <c r="J71" s="58">
        <v>0</v>
      </c>
      <c r="K71" s="58">
        <v>0</v>
      </c>
      <c r="L71" s="58">
        <v>0</v>
      </c>
      <c r="M71" s="58">
        <v>0</v>
      </c>
      <c r="N71" s="58">
        <v>0</v>
      </c>
      <c r="O71" s="58">
        <v>0</v>
      </c>
      <c r="P71" s="58">
        <v>0</v>
      </c>
      <c r="Q71" s="58">
        <v>0</v>
      </c>
      <c r="R71" s="58">
        <v>0</v>
      </c>
      <c r="S71" s="58">
        <v>0</v>
      </c>
      <c r="T71" s="58">
        <v>-0.05</v>
      </c>
      <c r="U71" s="58">
        <v>-0.05</v>
      </c>
      <c r="V71" s="58">
        <v>-0.05</v>
      </c>
      <c r="W71" s="58">
        <v>-0.05</v>
      </c>
      <c r="X71" s="58">
        <v>-0.05</v>
      </c>
      <c r="Y71" s="58">
        <v>-0.05</v>
      </c>
      <c r="Z71" s="58">
        <v>-0.05</v>
      </c>
      <c r="AA71" s="58">
        <v>-0.05</v>
      </c>
      <c r="AB71" s="58">
        <v>-0.05</v>
      </c>
      <c r="AC71" s="58">
        <v>-0.05</v>
      </c>
      <c r="AD71" s="58">
        <v>-0.05</v>
      </c>
      <c r="AE71" s="58">
        <v>-0.05</v>
      </c>
      <c r="AF71" s="58">
        <v>-2.5000000000000001E-2</v>
      </c>
      <c r="AG71" s="58">
        <v>-2.5000000000000001E-2</v>
      </c>
      <c r="AH71" s="58">
        <v>-2.5000000000000001E-2</v>
      </c>
      <c r="AI71" s="58">
        <v>-2.5000000000000001E-2</v>
      </c>
      <c r="AJ71" s="58">
        <v>-2.5000000000000001E-2</v>
      </c>
      <c r="AK71" s="58">
        <v>-2.5000000000000001E-2</v>
      </c>
      <c r="AL71" s="58">
        <v>-0.01</v>
      </c>
      <c r="AM71" s="58">
        <v>-0.01</v>
      </c>
      <c r="AN71" s="58">
        <v>-0.01</v>
      </c>
      <c r="AO71" s="58">
        <v>-0.01</v>
      </c>
      <c r="AP71" s="58">
        <v>-0.01</v>
      </c>
      <c r="AQ71" s="58">
        <v>-0.01</v>
      </c>
      <c r="AR71" s="58">
        <v>-0.01</v>
      </c>
      <c r="AS71" s="58">
        <v>0</v>
      </c>
      <c r="AT71" s="58">
        <v>0</v>
      </c>
      <c r="AU71" s="58">
        <v>0</v>
      </c>
      <c r="AV71" s="58">
        <v>0</v>
      </c>
      <c r="AW71" s="58">
        <v>0</v>
      </c>
      <c r="AX71" s="58">
        <v>0</v>
      </c>
      <c r="AY71" s="58">
        <v>0</v>
      </c>
      <c r="AZ71" s="58">
        <v>0</v>
      </c>
      <c r="BA71" s="58">
        <v>0</v>
      </c>
      <c r="BB71" s="58">
        <v>0</v>
      </c>
      <c r="BC71" s="58">
        <v>0</v>
      </c>
      <c r="BD71" s="58">
        <v>0</v>
      </c>
      <c r="BE71" s="58">
        <v>0</v>
      </c>
    </row>
    <row r="72" spans="1:57" x14ac:dyDescent="0.2">
      <c r="A72" s="40">
        <v>63</v>
      </c>
      <c r="B72" s="45" t="s">
        <v>270</v>
      </c>
      <c r="C72" s="45" t="s">
        <v>227</v>
      </c>
      <c r="D72" s="38"/>
      <c r="E72" s="38" t="s">
        <v>194</v>
      </c>
      <c r="F72" s="38"/>
      <c r="H72" s="58">
        <v>0</v>
      </c>
      <c r="I72" s="58">
        <v>0</v>
      </c>
      <c r="J72" s="58">
        <v>0</v>
      </c>
      <c r="K72" s="58">
        <v>0</v>
      </c>
      <c r="L72" s="58">
        <v>0</v>
      </c>
      <c r="M72" s="58">
        <v>0</v>
      </c>
      <c r="N72" s="58">
        <v>0</v>
      </c>
      <c r="O72" s="58">
        <v>0</v>
      </c>
      <c r="P72" s="58">
        <v>0</v>
      </c>
      <c r="Q72" s="58">
        <v>0</v>
      </c>
      <c r="R72" s="58">
        <v>0</v>
      </c>
      <c r="S72" s="58">
        <v>0</v>
      </c>
      <c r="T72" s="58">
        <v>-0.05</v>
      </c>
      <c r="U72" s="58">
        <v>-0.05</v>
      </c>
      <c r="V72" s="58">
        <v>-0.05</v>
      </c>
      <c r="W72" s="58">
        <v>-0.05</v>
      </c>
      <c r="X72" s="58">
        <v>-0.05</v>
      </c>
      <c r="Y72" s="58">
        <v>-0.05</v>
      </c>
      <c r="Z72" s="58">
        <v>-0.05</v>
      </c>
      <c r="AA72" s="58">
        <v>-0.05</v>
      </c>
      <c r="AB72" s="58">
        <v>-0.05</v>
      </c>
      <c r="AC72" s="58">
        <v>-0.05</v>
      </c>
      <c r="AD72" s="58">
        <v>-0.05</v>
      </c>
      <c r="AE72" s="58">
        <v>-0.05</v>
      </c>
      <c r="AF72" s="58">
        <v>-2.5000000000000001E-2</v>
      </c>
      <c r="AG72" s="58">
        <v>-2.5000000000000001E-2</v>
      </c>
      <c r="AH72" s="58">
        <v>-2.5000000000000001E-2</v>
      </c>
      <c r="AI72" s="58">
        <v>-2.5000000000000001E-2</v>
      </c>
      <c r="AJ72" s="58">
        <v>-2.5000000000000001E-2</v>
      </c>
      <c r="AK72" s="58">
        <v>-2.5000000000000001E-2</v>
      </c>
      <c r="AL72" s="58">
        <v>-0.01</v>
      </c>
      <c r="AM72" s="58">
        <v>-0.01</v>
      </c>
      <c r="AN72" s="58">
        <v>-0.01</v>
      </c>
      <c r="AO72" s="58">
        <v>-0.01</v>
      </c>
      <c r="AP72" s="58">
        <v>-0.01</v>
      </c>
      <c r="AQ72" s="58">
        <v>-0.01</v>
      </c>
      <c r="AR72" s="58">
        <v>-0.01</v>
      </c>
      <c r="AS72" s="58">
        <v>0</v>
      </c>
      <c r="AT72" s="58">
        <v>0</v>
      </c>
      <c r="AU72" s="58">
        <v>0</v>
      </c>
      <c r="AV72" s="58">
        <v>0</v>
      </c>
      <c r="AW72" s="58">
        <v>0</v>
      </c>
      <c r="AX72" s="58">
        <v>0</v>
      </c>
      <c r="AY72" s="58">
        <v>0</v>
      </c>
      <c r="AZ72" s="58">
        <v>0</v>
      </c>
      <c r="BA72" s="58">
        <v>0</v>
      </c>
      <c r="BB72" s="58">
        <v>0</v>
      </c>
      <c r="BC72" s="58">
        <v>0</v>
      </c>
      <c r="BD72" s="58">
        <v>0</v>
      </c>
      <c r="BE72" s="58">
        <v>0</v>
      </c>
    </row>
    <row r="73" spans="1:57" x14ac:dyDescent="0.2">
      <c r="A73" s="40">
        <v>64</v>
      </c>
      <c r="B73" s="45" t="s">
        <v>271</v>
      </c>
      <c r="C73" s="45" t="s">
        <v>236</v>
      </c>
      <c r="D73" s="38"/>
      <c r="E73" s="38" t="s">
        <v>194</v>
      </c>
      <c r="F73" s="38"/>
      <c r="H73" s="64">
        <v>0</v>
      </c>
      <c r="I73" s="64">
        <v>0</v>
      </c>
      <c r="J73" s="64">
        <v>0</v>
      </c>
      <c r="K73" s="64">
        <v>0</v>
      </c>
      <c r="L73" s="64">
        <v>0</v>
      </c>
      <c r="M73" s="64">
        <v>0</v>
      </c>
      <c r="N73" s="64">
        <v>0</v>
      </c>
      <c r="O73" s="64">
        <v>0</v>
      </c>
      <c r="P73" s="64">
        <v>0</v>
      </c>
      <c r="Q73" s="64">
        <v>0</v>
      </c>
      <c r="R73" s="64">
        <v>0</v>
      </c>
      <c r="S73" s="64">
        <v>0</v>
      </c>
      <c r="T73" s="64">
        <v>-0.05</v>
      </c>
      <c r="U73" s="64">
        <v>-0.05</v>
      </c>
      <c r="V73" s="64">
        <v>-0.05</v>
      </c>
      <c r="W73" s="64">
        <v>-0.05</v>
      </c>
      <c r="X73" s="64">
        <v>-0.05</v>
      </c>
      <c r="Y73" s="64">
        <v>-0.05</v>
      </c>
      <c r="Z73" s="64">
        <v>-0.05</v>
      </c>
      <c r="AA73" s="46">
        <v>-0.05</v>
      </c>
      <c r="AB73" s="46">
        <v>-0.05</v>
      </c>
      <c r="AC73" s="64">
        <v>-0.05</v>
      </c>
      <c r="AD73" s="64">
        <v>-0.05</v>
      </c>
      <c r="AE73" s="64">
        <v>-0.05</v>
      </c>
      <c r="AF73" s="64">
        <v>-2.5000000000000001E-2</v>
      </c>
      <c r="AG73" s="64">
        <v>-2.5000000000000001E-2</v>
      </c>
      <c r="AH73" s="64">
        <v>-2.5000000000000001E-2</v>
      </c>
      <c r="AI73" s="64">
        <v>-2.5000000000000001E-2</v>
      </c>
      <c r="AJ73" s="64">
        <v>-2.5000000000000001E-2</v>
      </c>
      <c r="AK73" s="64">
        <v>-2.5000000000000001E-2</v>
      </c>
      <c r="AL73" s="62">
        <v>-0.01</v>
      </c>
      <c r="AM73" s="62">
        <v>-0.01</v>
      </c>
      <c r="AN73" s="62">
        <v>-0.01</v>
      </c>
      <c r="AO73" s="62">
        <v>-0.01</v>
      </c>
      <c r="AP73" s="62">
        <v>-0.01</v>
      </c>
      <c r="AQ73" s="62">
        <v>-0.01</v>
      </c>
      <c r="AR73" s="62">
        <v>-0.01</v>
      </c>
      <c r="AS73" s="51">
        <v>0</v>
      </c>
      <c r="AT73" s="51">
        <v>0</v>
      </c>
      <c r="AU73" s="51">
        <v>0</v>
      </c>
      <c r="AV73" s="51">
        <v>0</v>
      </c>
      <c r="AW73" s="51">
        <v>0</v>
      </c>
      <c r="AX73" s="51">
        <v>0</v>
      </c>
      <c r="AY73" s="51">
        <v>0</v>
      </c>
      <c r="AZ73" s="51">
        <v>0</v>
      </c>
      <c r="BA73" s="51">
        <v>0</v>
      </c>
      <c r="BB73" s="51">
        <v>0</v>
      </c>
      <c r="BC73" s="51">
        <v>0</v>
      </c>
      <c r="BD73" s="51">
        <v>0</v>
      </c>
      <c r="BE73" s="51">
        <v>0</v>
      </c>
    </row>
    <row r="74" spans="1:57" x14ac:dyDescent="0.2">
      <c r="A74" s="40">
        <v>65</v>
      </c>
      <c r="B74" s="45" t="s">
        <v>272</v>
      </c>
      <c r="C74" s="45" t="s">
        <v>273</v>
      </c>
      <c r="D74" s="38"/>
      <c r="E74" s="38" t="s">
        <v>194</v>
      </c>
      <c r="F74" s="38"/>
      <c r="H74" s="58">
        <v>-0.05</v>
      </c>
      <c r="I74" s="58">
        <v>-0.05</v>
      </c>
      <c r="J74" s="58">
        <v>-0.05</v>
      </c>
      <c r="K74" s="58">
        <v>-0.05</v>
      </c>
      <c r="L74" s="58">
        <v>-0.05</v>
      </c>
      <c r="M74" s="58">
        <v>-0.05</v>
      </c>
      <c r="N74" s="58">
        <v>-0.1</v>
      </c>
      <c r="O74" s="58">
        <v>-0.1</v>
      </c>
      <c r="P74" s="58">
        <v>-0.16</v>
      </c>
      <c r="Q74" s="58">
        <v>-0.12</v>
      </c>
      <c r="R74" s="58">
        <v>-0.1</v>
      </c>
      <c r="S74" s="58">
        <v>-0.09</v>
      </c>
      <c r="T74" s="58">
        <v>-7.0000000000000007E-2</v>
      </c>
      <c r="U74" s="58">
        <v>-0.06</v>
      </c>
      <c r="V74" s="58">
        <v>-0.04</v>
      </c>
      <c r="W74" s="58">
        <v>-0.04</v>
      </c>
      <c r="X74" s="58">
        <v>-0.04</v>
      </c>
      <c r="Y74" s="58">
        <v>-0.04</v>
      </c>
      <c r="Z74" s="58">
        <v>-0.04</v>
      </c>
      <c r="AA74" s="58">
        <v>-3.3333333333333333E-2</v>
      </c>
      <c r="AB74" s="58">
        <v>-2.6666666666666665E-2</v>
      </c>
      <c r="AC74" s="58">
        <v>-0.02</v>
      </c>
      <c r="AD74" s="58">
        <v>-0.02</v>
      </c>
      <c r="AE74" s="58">
        <v>-0.02</v>
      </c>
      <c r="AF74" s="58">
        <v>-0.02</v>
      </c>
      <c r="AG74" s="58">
        <v>-0.02</v>
      </c>
      <c r="AH74" s="58">
        <v>-0.02</v>
      </c>
      <c r="AI74" s="58">
        <v>-0.02</v>
      </c>
      <c r="AJ74" s="58">
        <v>-0.02</v>
      </c>
      <c r="AK74" s="58">
        <v>-0.02</v>
      </c>
      <c r="AL74" s="58">
        <v>-0.01</v>
      </c>
      <c r="AM74" s="58">
        <v>-0.01</v>
      </c>
      <c r="AN74" s="58">
        <v>-0.01</v>
      </c>
      <c r="AO74" s="58">
        <v>-0.01</v>
      </c>
      <c r="AP74" s="58">
        <v>-0.01</v>
      </c>
      <c r="AQ74" s="58">
        <v>-0.01</v>
      </c>
      <c r="AR74" s="58">
        <v>-0.01</v>
      </c>
      <c r="AS74" s="58">
        <v>0</v>
      </c>
      <c r="AT74" s="58">
        <v>0</v>
      </c>
      <c r="AU74" s="58">
        <v>0</v>
      </c>
      <c r="AV74" s="58">
        <v>0</v>
      </c>
      <c r="AW74" s="58">
        <v>0</v>
      </c>
      <c r="AX74" s="58">
        <v>0</v>
      </c>
      <c r="AY74" s="58">
        <v>0</v>
      </c>
      <c r="AZ74" s="58">
        <v>0</v>
      </c>
      <c r="BA74" s="58">
        <v>0</v>
      </c>
      <c r="BB74" s="58">
        <v>0</v>
      </c>
      <c r="BC74" s="58">
        <v>0</v>
      </c>
      <c r="BD74" s="58">
        <v>0</v>
      </c>
      <c r="BE74" s="58">
        <v>0</v>
      </c>
    </row>
    <row r="75" spans="1:57" x14ac:dyDescent="0.2">
      <c r="A75" s="40">
        <v>66</v>
      </c>
      <c r="B75" s="45" t="s">
        <v>272</v>
      </c>
      <c r="C75" s="45" t="s">
        <v>274</v>
      </c>
      <c r="D75" s="38"/>
      <c r="E75" s="38" t="s">
        <v>194</v>
      </c>
      <c r="F75" s="38"/>
      <c r="H75" s="66">
        <v>-0.05</v>
      </c>
      <c r="I75" s="66">
        <v>-0.05</v>
      </c>
      <c r="J75" s="66">
        <v>-0.05</v>
      </c>
      <c r="K75" s="66">
        <v>-0.05</v>
      </c>
      <c r="L75" s="66">
        <v>-0.05</v>
      </c>
      <c r="M75" s="66">
        <v>-0.05</v>
      </c>
      <c r="N75" s="66">
        <v>-0.1</v>
      </c>
      <c r="O75" s="66">
        <v>-0.1</v>
      </c>
      <c r="P75" s="66">
        <v>-0.16</v>
      </c>
      <c r="Q75" s="66">
        <v>-0.12</v>
      </c>
      <c r="R75" s="66">
        <v>-0.1</v>
      </c>
      <c r="S75" s="66">
        <v>-0.09</v>
      </c>
      <c r="T75" s="66">
        <v>-7.0000000000000007E-2</v>
      </c>
      <c r="U75" s="66">
        <v>-0.06</v>
      </c>
      <c r="V75" s="66">
        <v>-0.04</v>
      </c>
      <c r="W75" s="66">
        <v>-0.04</v>
      </c>
      <c r="X75" s="66">
        <v>-0.04</v>
      </c>
      <c r="Y75" s="66">
        <v>-0.04</v>
      </c>
      <c r="Z75" s="66">
        <v>-0.04</v>
      </c>
      <c r="AA75" s="66">
        <v>-3.3333333333333333E-2</v>
      </c>
      <c r="AB75" s="66">
        <v>-2.6666666666666665E-2</v>
      </c>
      <c r="AC75" s="66">
        <v>-0.02</v>
      </c>
      <c r="AD75" s="66">
        <v>-0.02</v>
      </c>
      <c r="AE75" s="66">
        <v>-0.02</v>
      </c>
      <c r="AF75" s="66">
        <v>-0.02</v>
      </c>
      <c r="AG75" s="66">
        <v>-0.02</v>
      </c>
      <c r="AH75" s="66">
        <v>-0.02</v>
      </c>
      <c r="AI75" s="66">
        <v>-0.02</v>
      </c>
      <c r="AJ75" s="66">
        <v>-0.02</v>
      </c>
      <c r="AK75" s="66">
        <v>-0.02</v>
      </c>
      <c r="AL75" s="66">
        <v>-0.01</v>
      </c>
      <c r="AM75" s="66">
        <v>-0.01</v>
      </c>
      <c r="AN75" s="66">
        <v>-0.01</v>
      </c>
      <c r="AO75" s="66">
        <v>-0.01</v>
      </c>
      <c r="AP75" s="66">
        <v>-0.01</v>
      </c>
      <c r="AQ75" s="66">
        <v>-0.01</v>
      </c>
      <c r="AR75" s="66">
        <v>-0.01</v>
      </c>
      <c r="AS75" s="66">
        <v>0</v>
      </c>
      <c r="AT75" s="66">
        <v>0</v>
      </c>
      <c r="AU75" s="66">
        <v>0</v>
      </c>
      <c r="AV75" s="66">
        <v>0</v>
      </c>
      <c r="AW75" s="66">
        <v>0</v>
      </c>
      <c r="AX75" s="66">
        <v>0</v>
      </c>
      <c r="AY75" s="66">
        <v>0</v>
      </c>
      <c r="AZ75" s="66">
        <v>0</v>
      </c>
      <c r="BA75" s="66">
        <v>0</v>
      </c>
      <c r="BB75" s="66">
        <v>0</v>
      </c>
      <c r="BC75" s="66">
        <v>0</v>
      </c>
      <c r="BD75" s="66">
        <v>0</v>
      </c>
      <c r="BE75" s="66">
        <v>0</v>
      </c>
    </row>
    <row r="76" spans="1:57" x14ac:dyDescent="0.2">
      <c r="A76" s="40">
        <v>67</v>
      </c>
      <c r="B76" s="45" t="s">
        <v>193</v>
      </c>
      <c r="C76" s="45" t="s">
        <v>193</v>
      </c>
      <c r="D76" s="38"/>
      <c r="E76" s="38" t="s">
        <v>194</v>
      </c>
      <c r="F76" s="38"/>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row>
    <row r="77" spans="1:57" x14ac:dyDescent="0.2">
      <c r="A77" s="40">
        <v>68</v>
      </c>
      <c r="B77" s="45" t="s">
        <v>241</v>
      </c>
      <c r="C77" s="45" t="s">
        <v>275</v>
      </c>
      <c r="D77" s="38"/>
      <c r="E77" s="38" t="s">
        <v>194</v>
      </c>
      <c r="F77" s="38"/>
      <c r="H77" s="51">
        <v>-0.05</v>
      </c>
      <c r="I77" s="51">
        <v>-0.05</v>
      </c>
      <c r="J77" s="51">
        <v>-0.05</v>
      </c>
      <c r="K77" s="51">
        <v>-0.05</v>
      </c>
      <c r="L77" s="51">
        <v>-0.05</v>
      </c>
      <c r="M77" s="51">
        <v>-0.05</v>
      </c>
      <c r="N77" s="51">
        <v>-0.1</v>
      </c>
      <c r="O77" s="51">
        <v>-0.1</v>
      </c>
      <c r="P77" s="51">
        <v>-0.1</v>
      </c>
      <c r="Q77" s="51">
        <v>-0.1</v>
      </c>
      <c r="R77" s="51">
        <v>-0.1</v>
      </c>
      <c r="S77" s="51">
        <v>-0.1</v>
      </c>
      <c r="T77" s="51">
        <v>-0.1</v>
      </c>
      <c r="U77" s="51">
        <v>-0.1</v>
      </c>
      <c r="V77" s="51">
        <v>-0.1</v>
      </c>
      <c r="W77" s="51">
        <v>-0.1</v>
      </c>
      <c r="X77" s="51">
        <v>-0.1</v>
      </c>
      <c r="Y77" s="51">
        <v>-0.05</v>
      </c>
      <c r="Z77" s="51">
        <v>-0.05</v>
      </c>
      <c r="AA77" s="46">
        <v>-0.05</v>
      </c>
      <c r="AB77" s="46">
        <v>-0.05</v>
      </c>
      <c r="AC77" s="46">
        <v>-0.05</v>
      </c>
      <c r="AD77" s="46">
        <v>-0.05</v>
      </c>
      <c r="AE77" s="46">
        <v>-0.05</v>
      </c>
      <c r="AF77" s="64">
        <v>-2.5000000000000001E-2</v>
      </c>
      <c r="AG77" s="46">
        <v>-0.05</v>
      </c>
      <c r="AH77" s="46">
        <v>-0.05</v>
      </c>
      <c r="AI77" s="46">
        <v>-0.05</v>
      </c>
      <c r="AJ77" s="46">
        <v>-0.05</v>
      </c>
      <c r="AK77" s="46">
        <v>-0.03</v>
      </c>
      <c r="AL77" s="62">
        <v>-0.01</v>
      </c>
      <c r="AM77" s="62">
        <v>-0.01</v>
      </c>
      <c r="AN77" s="62">
        <v>-0.01</v>
      </c>
      <c r="AO77" s="62">
        <v>-0.01</v>
      </c>
      <c r="AP77" s="62">
        <v>-0.01</v>
      </c>
      <c r="AQ77" s="62">
        <v>-0.01</v>
      </c>
      <c r="AR77" s="62">
        <v>-0.01</v>
      </c>
      <c r="AS77" s="51">
        <v>0</v>
      </c>
      <c r="AT77" s="51">
        <v>0</v>
      </c>
      <c r="AU77" s="51">
        <v>0</v>
      </c>
      <c r="AV77" s="51">
        <v>0</v>
      </c>
      <c r="AW77" s="51">
        <v>0</v>
      </c>
      <c r="AX77" s="51">
        <v>0</v>
      </c>
      <c r="AY77" s="51">
        <v>0</v>
      </c>
      <c r="AZ77" s="51">
        <v>0</v>
      </c>
      <c r="BA77" s="51">
        <v>0</v>
      </c>
      <c r="BB77" s="51">
        <v>0</v>
      </c>
      <c r="BC77" s="51">
        <v>0</v>
      </c>
      <c r="BD77" s="51">
        <v>0</v>
      </c>
      <c r="BE77" s="51">
        <v>0</v>
      </c>
    </row>
    <row r="78" spans="1:57" x14ac:dyDescent="0.2">
      <c r="A78" s="40">
        <v>69</v>
      </c>
      <c r="B78" s="45" t="s">
        <v>276</v>
      </c>
      <c r="C78" s="45" t="s">
        <v>277</v>
      </c>
      <c r="D78" s="38"/>
      <c r="E78" s="38" t="s">
        <v>194</v>
      </c>
      <c r="F78" s="38"/>
      <c r="H78" s="51">
        <v>0</v>
      </c>
      <c r="I78" s="51">
        <v>0</v>
      </c>
      <c r="J78" s="51">
        <v>0</v>
      </c>
      <c r="K78" s="51">
        <v>0</v>
      </c>
      <c r="L78" s="51">
        <v>0</v>
      </c>
      <c r="M78" s="51">
        <v>0</v>
      </c>
      <c r="N78" s="51">
        <v>0</v>
      </c>
      <c r="O78" s="51">
        <v>0</v>
      </c>
      <c r="P78" s="51">
        <v>0</v>
      </c>
      <c r="Q78" s="51">
        <v>0</v>
      </c>
      <c r="R78" s="51">
        <v>0.01</v>
      </c>
      <c r="S78" s="51">
        <v>0.01</v>
      </c>
      <c r="T78" s="51">
        <v>0.01</v>
      </c>
      <c r="U78" s="51">
        <v>0.01</v>
      </c>
      <c r="V78" s="51">
        <v>0.01</v>
      </c>
      <c r="W78" s="51">
        <v>0.01</v>
      </c>
      <c r="X78" s="51">
        <v>0.01</v>
      </c>
      <c r="Y78" s="51">
        <v>0.01</v>
      </c>
      <c r="Z78" s="51">
        <v>0.01</v>
      </c>
      <c r="AA78" s="51">
        <v>0.01</v>
      </c>
      <c r="AB78" s="51">
        <v>0.01</v>
      </c>
      <c r="AC78" s="51">
        <v>0.01</v>
      </c>
      <c r="AD78" s="51">
        <v>0.01</v>
      </c>
      <c r="AE78" s="51">
        <v>0.01</v>
      </c>
      <c r="AF78" s="51">
        <v>0.01</v>
      </c>
      <c r="AG78" s="51">
        <v>0.01</v>
      </c>
      <c r="AH78" s="51">
        <v>0.01</v>
      </c>
      <c r="AI78" s="51">
        <v>0.01</v>
      </c>
      <c r="AJ78" s="51">
        <v>0.01</v>
      </c>
      <c r="AK78" s="51">
        <v>0.01</v>
      </c>
      <c r="AL78" s="51">
        <v>0.01</v>
      </c>
      <c r="AM78" s="51">
        <v>0.01</v>
      </c>
      <c r="AN78" s="51">
        <v>0.01</v>
      </c>
      <c r="AO78" s="51">
        <v>0.01</v>
      </c>
      <c r="AP78" s="51">
        <v>0.01</v>
      </c>
      <c r="AQ78" s="51">
        <v>0.01</v>
      </c>
      <c r="AR78" s="51">
        <v>0.01</v>
      </c>
      <c r="AS78" s="51">
        <v>0</v>
      </c>
      <c r="AT78" s="51">
        <v>0</v>
      </c>
      <c r="AU78" s="51">
        <v>0</v>
      </c>
      <c r="AV78" s="51">
        <v>0</v>
      </c>
      <c r="AW78" s="51">
        <v>0</v>
      </c>
      <c r="AX78" s="51">
        <v>0</v>
      </c>
      <c r="AY78" s="51">
        <v>0</v>
      </c>
      <c r="AZ78" s="51">
        <v>0</v>
      </c>
      <c r="BA78" s="51">
        <v>0</v>
      </c>
      <c r="BB78" s="51">
        <v>0</v>
      </c>
      <c r="BC78" s="51">
        <v>0</v>
      </c>
      <c r="BD78" s="51">
        <v>0</v>
      </c>
      <c r="BE78" s="51">
        <v>0</v>
      </c>
    </row>
    <row r="79" spans="1:57" x14ac:dyDescent="0.2">
      <c r="A79" s="40">
        <v>70</v>
      </c>
      <c r="B79" s="45" t="s">
        <v>278</v>
      </c>
      <c r="C79" s="45" t="s">
        <v>279</v>
      </c>
      <c r="D79" s="38"/>
      <c r="E79" s="38" t="s">
        <v>194</v>
      </c>
      <c r="F79" s="38"/>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row>
    <row r="80" spans="1:57" x14ac:dyDescent="0.2">
      <c r="A80" s="40">
        <v>71</v>
      </c>
      <c r="B80" s="45" t="s">
        <v>278</v>
      </c>
      <c r="C80" s="45" t="s">
        <v>280</v>
      </c>
      <c r="D80" s="38"/>
      <c r="E80" s="38" t="s">
        <v>194</v>
      </c>
      <c r="F80" s="38"/>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row>
    <row r="81" spans="1:57" x14ac:dyDescent="0.2">
      <c r="A81" s="40">
        <v>72</v>
      </c>
      <c r="B81" s="45" t="s">
        <v>193</v>
      </c>
      <c r="C81" s="45" t="s">
        <v>193</v>
      </c>
      <c r="D81" s="38"/>
      <c r="E81" s="38" t="s">
        <v>194</v>
      </c>
      <c r="F81" s="38"/>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row>
    <row r="82" spans="1:57" x14ac:dyDescent="0.2">
      <c r="A82" s="40">
        <v>73</v>
      </c>
      <c r="B82" s="45" t="s">
        <v>193</v>
      </c>
      <c r="C82" s="45" t="s">
        <v>193</v>
      </c>
      <c r="D82" s="38"/>
      <c r="E82" s="38" t="s">
        <v>194</v>
      </c>
      <c r="F82" s="38"/>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row>
    <row r="83" spans="1:57" x14ac:dyDescent="0.2">
      <c r="A83" s="40">
        <v>74</v>
      </c>
      <c r="B83" s="45" t="s">
        <v>195</v>
      </c>
      <c r="C83" s="45" t="s">
        <v>281</v>
      </c>
      <c r="D83" s="38"/>
      <c r="E83" s="38" t="s">
        <v>194</v>
      </c>
      <c r="F83" s="38"/>
      <c r="H83" s="66">
        <v>0</v>
      </c>
      <c r="I83" s="66">
        <v>0</v>
      </c>
      <c r="J83" s="66">
        <v>0</v>
      </c>
      <c r="K83" s="66">
        <v>0</v>
      </c>
      <c r="L83" s="66">
        <v>0</v>
      </c>
      <c r="M83" s="66">
        <v>0</v>
      </c>
      <c r="N83" s="66">
        <v>0</v>
      </c>
      <c r="O83" s="66">
        <v>0</v>
      </c>
      <c r="P83" s="66">
        <v>0</v>
      </c>
      <c r="Q83" s="66">
        <v>0</v>
      </c>
      <c r="R83" s="66">
        <v>0</v>
      </c>
      <c r="S83" s="66">
        <v>0</v>
      </c>
      <c r="T83" s="66">
        <v>0</v>
      </c>
      <c r="U83" s="66">
        <v>0</v>
      </c>
      <c r="V83" s="66">
        <v>0</v>
      </c>
      <c r="W83" s="66">
        <v>0</v>
      </c>
      <c r="X83" s="66">
        <v>0</v>
      </c>
      <c r="Y83" s="66">
        <v>0</v>
      </c>
      <c r="Z83" s="66">
        <v>0.01</v>
      </c>
      <c r="AA83" s="66">
        <v>-0.15</v>
      </c>
      <c r="AB83" s="66">
        <v>-0.15</v>
      </c>
      <c r="AC83" s="66">
        <v>-0.15</v>
      </c>
      <c r="AD83" s="66">
        <v>7.0000000000000001E-3</v>
      </c>
      <c r="AE83" s="66">
        <v>7.0000000000000001E-3</v>
      </c>
      <c r="AF83" s="66">
        <v>0.02</v>
      </c>
      <c r="AG83" s="66">
        <v>5.0000000000000001E-3</v>
      </c>
      <c r="AH83" s="66">
        <v>5.0000000000000001E-3</v>
      </c>
      <c r="AI83" s="66">
        <v>5.0000000000000001E-3</v>
      </c>
      <c r="AJ83" s="66">
        <v>0</v>
      </c>
      <c r="AK83" s="66">
        <v>0</v>
      </c>
      <c r="AL83" s="66">
        <v>0</v>
      </c>
      <c r="AM83" s="66">
        <v>0</v>
      </c>
      <c r="AN83" s="66">
        <v>0</v>
      </c>
      <c r="AO83" s="66">
        <v>0</v>
      </c>
      <c r="AP83" s="66">
        <v>0</v>
      </c>
      <c r="AQ83" s="66">
        <v>0</v>
      </c>
      <c r="AR83" s="66">
        <v>0</v>
      </c>
      <c r="AS83" s="66">
        <v>0</v>
      </c>
      <c r="AT83" s="66">
        <v>0</v>
      </c>
      <c r="AU83" s="66">
        <v>0</v>
      </c>
      <c r="AV83" s="66">
        <v>0</v>
      </c>
      <c r="AW83" s="66">
        <v>0</v>
      </c>
      <c r="AX83" s="66">
        <v>0</v>
      </c>
      <c r="AY83" s="66">
        <v>0</v>
      </c>
      <c r="AZ83" s="66">
        <v>0</v>
      </c>
      <c r="BA83" s="66">
        <v>0</v>
      </c>
      <c r="BB83" s="66">
        <v>0</v>
      </c>
      <c r="BC83" s="66">
        <v>0</v>
      </c>
      <c r="BD83" s="66">
        <v>0</v>
      </c>
      <c r="BE83" s="66">
        <v>0</v>
      </c>
    </row>
    <row r="84" spans="1:57" x14ac:dyDescent="0.2">
      <c r="A84" s="40">
        <v>75</v>
      </c>
      <c r="B84" s="45" t="s">
        <v>193</v>
      </c>
      <c r="C84" s="45" t="s">
        <v>193</v>
      </c>
      <c r="D84" s="38"/>
      <c r="E84" s="38" t="s">
        <v>194</v>
      </c>
      <c r="F84" s="38"/>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row>
    <row r="85" spans="1:57" x14ac:dyDescent="0.2">
      <c r="A85" s="40">
        <v>76</v>
      </c>
      <c r="B85" s="45" t="s">
        <v>282</v>
      </c>
      <c r="C85" s="45" t="s">
        <v>283</v>
      </c>
      <c r="D85" s="38"/>
      <c r="E85" s="38" t="s">
        <v>194</v>
      </c>
      <c r="F85" s="38"/>
      <c r="H85" s="64">
        <v>0</v>
      </c>
      <c r="I85" s="64">
        <v>0</v>
      </c>
      <c r="J85" s="64">
        <v>0</v>
      </c>
      <c r="K85" s="64">
        <v>0</v>
      </c>
      <c r="L85" s="64">
        <v>0</v>
      </c>
      <c r="M85" s="64">
        <v>0</v>
      </c>
      <c r="N85" s="64">
        <v>0</v>
      </c>
      <c r="O85" s="64">
        <v>0</v>
      </c>
      <c r="P85" s="64">
        <v>0</v>
      </c>
      <c r="Q85" s="64">
        <v>0</v>
      </c>
      <c r="R85" s="64">
        <v>0</v>
      </c>
      <c r="S85" s="64">
        <v>0</v>
      </c>
      <c r="T85" s="64">
        <v>0</v>
      </c>
      <c r="U85" s="64">
        <v>0</v>
      </c>
      <c r="V85" s="64">
        <v>0</v>
      </c>
      <c r="W85" s="64">
        <v>0</v>
      </c>
      <c r="X85" s="64">
        <v>0</v>
      </c>
      <c r="Y85" s="64">
        <v>-0.05</v>
      </c>
      <c r="Z85" s="64">
        <v>-0.05</v>
      </c>
      <c r="AA85" s="46">
        <v>-0.05</v>
      </c>
      <c r="AB85" s="46">
        <v>-0.05</v>
      </c>
      <c r="AC85" s="64">
        <v>-0.05</v>
      </c>
      <c r="AD85" s="64">
        <v>-0.05</v>
      </c>
      <c r="AE85" s="64">
        <v>-0.05</v>
      </c>
      <c r="AF85" s="64">
        <v>-0.05</v>
      </c>
      <c r="AG85" s="64">
        <v>-0.05</v>
      </c>
      <c r="AH85" s="64">
        <v>-0.05</v>
      </c>
      <c r="AI85" s="64">
        <v>-0.05</v>
      </c>
      <c r="AJ85" s="64">
        <v>-0.05</v>
      </c>
      <c r="AK85" s="46">
        <v>-0.03</v>
      </c>
      <c r="AL85" s="62">
        <v>-0.01</v>
      </c>
      <c r="AM85" s="62">
        <v>-0.01</v>
      </c>
      <c r="AN85" s="62">
        <v>-0.01</v>
      </c>
      <c r="AO85" s="62">
        <v>-0.01</v>
      </c>
      <c r="AP85" s="62">
        <v>-0.01</v>
      </c>
      <c r="AQ85" s="62">
        <v>-0.01</v>
      </c>
      <c r="AR85" s="62">
        <v>-0.01</v>
      </c>
      <c r="AS85" s="51">
        <v>0</v>
      </c>
      <c r="AT85" s="51">
        <v>0</v>
      </c>
      <c r="AU85" s="51">
        <v>0</v>
      </c>
      <c r="AV85" s="51">
        <v>0</v>
      </c>
      <c r="AW85" s="51">
        <v>0</v>
      </c>
      <c r="AX85" s="51">
        <v>0</v>
      </c>
      <c r="AY85" s="51">
        <v>0</v>
      </c>
      <c r="AZ85" s="51">
        <v>0</v>
      </c>
      <c r="BA85" s="51">
        <v>0</v>
      </c>
      <c r="BB85" s="51">
        <v>0</v>
      </c>
      <c r="BC85" s="51">
        <v>0</v>
      </c>
      <c r="BD85" s="51">
        <v>0</v>
      </c>
      <c r="BE85" s="51">
        <v>0</v>
      </c>
    </row>
    <row r="86" spans="1:57" x14ac:dyDescent="0.2">
      <c r="A86" s="40">
        <v>77</v>
      </c>
      <c r="B86" s="45" t="s">
        <v>284</v>
      </c>
      <c r="C86" s="45" t="s">
        <v>285</v>
      </c>
      <c r="D86" s="38"/>
      <c r="E86" s="38" t="s">
        <v>194</v>
      </c>
      <c r="F86" s="38"/>
      <c r="H86" s="58">
        <v>0</v>
      </c>
      <c r="I86" s="58">
        <v>0</v>
      </c>
      <c r="J86" s="58">
        <v>0</v>
      </c>
      <c r="K86" s="58">
        <v>0</v>
      </c>
      <c r="L86" s="58">
        <v>0</v>
      </c>
      <c r="M86" s="58">
        <v>0</v>
      </c>
      <c r="N86" s="58">
        <v>0</v>
      </c>
      <c r="O86" s="58">
        <v>0</v>
      </c>
      <c r="P86" s="58">
        <v>0</v>
      </c>
      <c r="Q86" s="58">
        <v>0</v>
      </c>
      <c r="R86" s="58">
        <v>0</v>
      </c>
      <c r="S86" s="58">
        <v>0</v>
      </c>
      <c r="T86" s="58">
        <v>0</v>
      </c>
      <c r="U86" s="58">
        <v>0</v>
      </c>
      <c r="V86" s="58">
        <v>0</v>
      </c>
      <c r="W86" s="58">
        <v>0</v>
      </c>
      <c r="X86" s="58">
        <v>0</v>
      </c>
      <c r="Y86" s="58">
        <v>-0.05</v>
      </c>
      <c r="Z86" s="58">
        <v>-0.05</v>
      </c>
      <c r="AA86" s="58">
        <v>-0.05</v>
      </c>
      <c r="AB86" s="58">
        <v>-0.05</v>
      </c>
      <c r="AC86" s="58">
        <v>-0.05</v>
      </c>
      <c r="AD86" s="58">
        <v>-0.05</v>
      </c>
      <c r="AE86" s="58">
        <v>-0.05</v>
      </c>
      <c r="AF86" s="58">
        <v>-0.05</v>
      </c>
      <c r="AG86" s="58">
        <v>-0.05</v>
      </c>
      <c r="AH86" s="58">
        <v>-0.05</v>
      </c>
      <c r="AI86" s="58">
        <v>-0.05</v>
      </c>
      <c r="AJ86" s="58">
        <v>-0.05</v>
      </c>
      <c r="AK86" s="58">
        <v>-0.03</v>
      </c>
      <c r="AL86" s="58">
        <v>-0.01</v>
      </c>
      <c r="AM86" s="58">
        <v>-0.01</v>
      </c>
      <c r="AN86" s="58">
        <v>-0.01</v>
      </c>
      <c r="AO86" s="58">
        <v>-0.01</v>
      </c>
      <c r="AP86" s="58">
        <v>-0.01</v>
      </c>
      <c r="AQ86" s="58">
        <v>-0.01</v>
      </c>
      <c r="AR86" s="58">
        <v>-0.01</v>
      </c>
      <c r="AS86" s="58">
        <v>0</v>
      </c>
      <c r="AT86" s="58">
        <v>0</v>
      </c>
      <c r="AU86" s="58">
        <v>0</v>
      </c>
      <c r="AV86" s="58">
        <v>0</v>
      </c>
      <c r="AW86" s="58">
        <v>0</v>
      </c>
      <c r="AX86" s="58">
        <v>0</v>
      </c>
      <c r="AY86" s="58">
        <v>0</v>
      </c>
      <c r="AZ86" s="58">
        <v>0</v>
      </c>
      <c r="BA86" s="58">
        <v>0</v>
      </c>
      <c r="BB86" s="58">
        <v>0</v>
      </c>
      <c r="BC86" s="58">
        <v>0</v>
      </c>
      <c r="BD86" s="58">
        <v>0</v>
      </c>
      <c r="BE86" s="58">
        <v>0</v>
      </c>
    </row>
    <row r="87" spans="1:57" x14ac:dyDescent="0.2">
      <c r="A87" s="40">
        <v>78</v>
      </c>
      <c r="B87" s="45" t="s">
        <v>286</v>
      </c>
      <c r="C87" s="45" t="s">
        <v>287</v>
      </c>
      <c r="D87" s="38"/>
      <c r="E87" s="38" t="s">
        <v>194</v>
      </c>
      <c r="F87" s="38"/>
      <c r="H87" s="58">
        <v>0</v>
      </c>
      <c r="I87" s="58">
        <v>0</v>
      </c>
      <c r="J87" s="58">
        <v>0</v>
      </c>
      <c r="K87" s="58">
        <v>0</v>
      </c>
      <c r="L87" s="58">
        <v>0</v>
      </c>
      <c r="M87" s="58">
        <v>0</v>
      </c>
      <c r="N87" s="58">
        <v>0</v>
      </c>
      <c r="O87" s="58">
        <v>0</v>
      </c>
      <c r="P87" s="58">
        <v>0</v>
      </c>
      <c r="Q87" s="58">
        <v>0</v>
      </c>
      <c r="R87" s="58">
        <v>0</v>
      </c>
      <c r="S87" s="58">
        <v>0</v>
      </c>
      <c r="T87" s="58">
        <v>0</v>
      </c>
      <c r="U87" s="58">
        <v>0</v>
      </c>
      <c r="V87" s="58">
        <v>0</v>
      </c>
      <c r="W87" s="58">
        <v>0</v>
      </c>
      <c r="X87" s="58">
        <v>0</v>
      </c>
      <c r="Y87" s="58">
        <v>-0.05</v>
      </c>
      <c r="Z87" s="58">
        <v>-0.05</v>
      </c>
      <c r="AA87" s="58">
        <v>-0.05</v>
      </c>
      <c r="AB87" s="58">
        <v>-0.05</v>
      </c>
      <c r="AC87" s="58">
        <v>-0.05</v>
      </c>
      <c r="AD87" s="58">
        <v>-0.05</v>
      </c>
      <c r="AE87" s="58">
        <v>-0.05</v>
      </c>
      <c r="AF87" s="58">
        <v>-0.05</v>
      </c>
      <c r="AG87" s="58">
        <v>-0.05</v>
      </c>
      <c r="AH87" s="58">
        <v>-0.05</v>
      </c>
      <c r="AI87" s="58">
        <v>-0.05</v>
      </c>
      <c r="AJ87" s="58">
        <v>-0.05</v>
      </c>
      <c r="AK87" s="58">
        <v>-0.03</v>
      </c>
      <c r="AL87" s="58">
        <v>-0.01</v>
      </c>
      <c r="AM87" s="58">
        <v>-0.01</v>
      </c>
      <c r="AN87" s="58">
        <v>-0.01</v>
      </c>
      <c r="AO87" s="58">
        <v>-0.01</v>
      </c>
      <c r="AP87" s="58">
        <v>-0.01</v>
      </c>
      <c r="AQ87" s="58">
        <v>-0.01</v>
      </c>
      <c r="AR87" s="58">
        <v>-0.01</v>
      </c>
      <c r="AS87" s="58">
        <v>0</v>
      </c>
      <c r="AT87" s="58">
        <v>0</v>
      </c>
      <c r="AU87" s="58">
        <v>0</v>
      </c>
      <c r="AV87" s="58">
        <v>0</v>
      </c>
      <c r="AW87" s="58">
        <v>0</v>
      </c>
      <c r="AX87" s="58">
        <v>0</v>
      </c>
      <c r="AY87" s="58">
        <v>0</v>
      </c>
      <c r="AZ87" s="58">
        <v>0</v>
      </c>
      <c r="BA87" s="58">
        <v>0</v>
      </c>
      <c r="BB87" s="58">
        <v>0</v>
      </c>
      <c r="BC87" s="58">
        <v>0</v>
      </c>
      <c r="BD87" s="58">
        <v>0</v>
      </c>
      <c r="BE87" s="58">
        <v>0</v>
      </c>
    </row>
    <row r="88" spans="1:57" x14ac:dyDescent="0.2">
      <c r="A88" s="40">
        <v>79</v>
      </c>
      <c r="B88" s="45" t="s">
        <v>288</v>
      </c>
      <c r="C88" s="45" t="s">
        <v>289</v>
      </c>
      <c r="D88" s="38"/>
      <c r="E88" s="38" t="s">
        <v>194</v>
      </c>
      <c r="F88" s="38"/>
      <c r="H88" s="51"/>
      <c r="I88" s="51"/>
      <c r="J88" s="51"/>
      <c r="K88" s="51"/>
      <c r="L88" s="51"/>
      <c r="M88" s="51"/>
      <c r="N88" s="51"/>
      <c r="O88" s="51"/>
      <c r="P88" s="51"/>
      <c r="Q88" s="51"/>
      <c r="R88" s="51"/>
      <c r="S88" s="51"/>
      <c r="T88" s="51"/>
      <c r="U88" s="51"/>
      <c r="V88" s="51"/>
      <c r="W88" s="51"/>
      <c r="X88" s="51"/>
      <c r="Y88" s="51"/>
      <c r="Z88" s="51"/>
      <c r="AA88" s="51"/>
      <c r="AB88" s="51"/>
      <c r="AC88" s="51"/>
      <c r="AD88" s="58">
        <v>-0.05</v>
      </c>
      <c r="AE88" s="58">
        <v>-0.05</v>
      </c>
      <c r="AF88" s="58">
        <v>-0.05</v>
      </c>
      <c r="AG88" s="58">
        <v>-0.05</v>
      </c>
      <c r="AH88" s="58">
        <v>-0.05</v>
      </c>
      <c r="AI88" s="58">
        <v>-0.05</v>
      </c>
      <c r="AJ88" s="58">
        <v>-0.05</v>
      </c>
      <c r="AK88" s="58">
        <v>-0.03</v>
      </c>
      <c r="AL88" s="58">
        <v>-0.01</v>
      </c>
      <c r="AM88" s="58">
        <v>-0.01</v>
      </c>
      <c r="AN88" s="58">
        <v>-0.01</v>
      </c>
      <c r="AO88" s="58">
        <v>-0.01</v>
      </c>
      <c r="AP88" s="58">
        <v>-0.01</v>
      </c>
      <c r="AQ88" s="58">
        <v>-0.01</v>
      </c>
      <c r="AR88" s="58">
        <v>-0.01</v>
      </c>
      <c r="AS88" s="58">
        <v>0</v>
      </c>
      <c r="AT88" s="58">
        <v>0</v>
      </c>
      <c r="AU88" s="58">
        <v>0</v>
      </c>
      <c r="AV88" s="58">
        <v>0</v>
      </c>
      <c r="AW88" s="58">
        <v>0</v>
      </c>
      <c r="AX88" s="58">
        <v>0</v>
      </c>
      <c r="AY88" s="58">
        <v>0</v>
      </c>
      <c r="AZ88" s="58">
        <v>0</v>
      </c>
      <c r="BA88" s="58">
        <v>0</v>
      </c>
      <c r="BB88" s="58">
        <v>0</v>
      </c>
      <c r="BC88" s="58">
        <v>0</v>
      </c>
      <c r="BD88" s="58">
        <v>0</v>
      </c>
      <c r="BE88" s="58">
        <v>0</v>
      </c>
    </row>
    <row r="89" spans="1:57" x14ac:dyDescent="0.2">
      <c r="A89" s="40">
        <v>80</v>
      </c>
      <c r="B89" s="45" t="s">
        <v>290</v>
      </c>
      <c r="C89" s="45" t="s">
        <v>291</v>
      </c>
      <c r="D89" s="38"/>
      <c r="E89" s="38" t="s">
        <v>194</v>
      </c>
      <c r="F89" s="38"/>
      <c r="H89" s="51"/>
      <c r="I89" s="51"/>
      <c r="J89" s="51"/>
      <c r="K89" s="51"/>
      <c r="L89" s="51"/>
      <c r="M89" s="51"/>
      <c r="N89" s="51"/>
      <c r="O89" s="51"/>
      <c r="P89" s="51"/>
      <c r="Q89" s="51"/>
      <c r="R89" s="51"/>
      <c r="S89" s="51"/>
      <c r="T89" s="51"/>
      <c r="U89" s="51"/>
      <c r="V89" s="51"/>
      <c r="W89" s="51"/>
      <c r="X89" s="51"/>
      <c r="Y89" s="51"/>
      <c r="Z89" s="51"/>
      <c r="AA89" s="51"/>
      <c r="AB89" s="51"/>
      <c r="AC89" s="51"/>
      <c r="AD89" s="58">
        <v>-0.05</v>
      </c>
      <c r="AE89" s="58">
        <v>-0.05</v>
      </c>
      <c r="AF89" s="58">
        <v>-0.05</v>
      </c>
      <c r="AG89" s="58">
        <v>-0.05</v>
      </c>
      <c r="AH89" s="58">
        <v>-0.05</v>
      </c>
      <c r="AI89" s="58">
        <v>-0.05</v>
      </c>
      <c r="AJ89" s="58">
        <v>-0.05</v>
      </c>
      <c r="AK89" s="58">
        <v>-0.03</v>
      </c>
      <c r="AL89" s="58">
        <v>-0.01</v>
      </c>
      <c r="AM89" s="58">
        <v>-0.01</v>
      </c>
      <c r="AN89" s="58">
        <v>-0.01</v>
      </c>
      <c r="AO89" s="58">
        <v>-0.01</v>
      </c>
      <c r="AP89" s="58">
        <v>-0.01</v>
      </c>
      <c r="AQ89" s="58">
        <v>-0.01</v>
      </c>
      <c r="AR89" s="58">
        <v>-0.01</v>
      </c>
      <c r="AS89" s="58">
        <v>0</v>
      </c>
      <c r="AT89" s="58">
        <v>0</v>
      </c>
      <c r="AU89" s="58">
        <v>0</v>
      </c>
      <c r="AV89" s="58">
        <v>0</v>
      </c>
      <c r="AW89" s="58">
        <v>0</v>
      </c>
      <c r="AX89" s="58">
        <v>0</v>
      </c>
      <c r="AY89" s="58">
        <v>0</v>
      </c>
      <c r="AZ89" s="58">
        <v>0</v>
      </c>
      <c r="BA89" s="58">
        <v>0</v>
      </c>
      <c r="BB89" s="58">
        <v>0</v>
      </c>
      <c r="BC89" s="58">
        <v>0</v>
      </c>
      <c r="BD89" s="58">
        <v>0</v>
      </c>
      <c r="BE89" s="58">
        <v>0</v>
      </c>
    </row>
    <row r="90" spans="1:57" x14ac:dyDescent="0.2">
      <c r="A90" s="40">
        <v>81</v>
      </c>
      <c r="B90" s="45" t="s">
        <v>292</v>
      </c>
      <c r="C90" s="45" t="s">
        <v>293</v>
      </c>
      <c r="D90" s="38"/>
      <c r="E90" s="38" t="s">
        <v>194</v>
      </c>
      <c r="F90" s="38"/>
      <c r="H90" s="58">
        <v>0</v>
      </c>
      <c r="I90" s="58">
        <v>0</v>
      </c>
      <c r="J90" s="58">
        <v>0</v>
      </c>
      <c r="K90" s="58">
        <v>0</v>
      </c>
      <c r="L90" s="58">
        <v>0</v>
      </c>
      <c r="M90" s="58">
        <v>0</v>
      </c>
      <c r="N90" s="58">
        <v>0</v>
      </c>
      <c r="O90" s="58">
        <v>0</v>
      </c>
      <c r="P90" s="58">
        <v>0</v>
      </c>
      <c r="Q90" s="58">
        <v>0</v>
      </c>
      <c r="R90" s="58">
        <v>0</v>
      </c>
      <c r="S90" s="58">
        <v>0</v>
      </c>
      <c r="T90" s="58">
        <v>0</v>
      </c>
      <c r="U90" s="58">
        <v>0</v>
      </c>
      <c r="V90" s="58">
        <v>0</v>
      </c>
      <c r="W90" s="58">
        <v>0</v>
      </c>
      <c r="X90" s="58">
        <v>0</v>
      </c>
      <c r="Y90" s="58">
        <v>-0.05</v>
      </c>
      <c r="Z90" s="58">
        <v>-0.05</v>
      </c>
      <c r="AA90" s="58">
        <v>-0.05</v>
      </c>
      <c r="AB90" s="58">
        <v>-0.05</v>
      </c>
      <c r="AC90" s="58">
        <v>-0.05</v>
      </c>
      <c r="AD90" s="58">
        <v>-0.05</v>
      </c>
      <c r="AE90" s="58">
        <v>-0.05</v>
      </c>
      <c r="AF90" s="58">
        <v>-0.05</v>
      </c>
      <c r="AG90" s="58">
        <v>-0.05</v>
      </c>
      <c r="AH90" s="58">
        <v>-0.05</v>
      </c>
      <c r="AI90" s="58">
        <v>-0.05</v>
      </c>
      <c r="AJ90" s="58">
        <v>-0.05</v>
      </c>
      <c r="AK90" s="58">
        <v>-0.03</v>
      </c>
      <c r="AL90" s="58">
        <v>-0.01</v>
      </c>
      <c r="AM90" s="58">
        <v>-0.01</v>
      </c>
      <c r="AN90" s="58">
        <v>-0.01</v>
      </c>
      <c r="AO90" s="58">
        <v>-0.01</v>
      </c>
      <c r="AP90" s="58">
        <v>-0.01</v>
      </c>
      <c r="AQ90" s="58">
        <v>-0.01</v>
      </c>
      <c r="AR90" s="58">
        <v>-0.01</v>
      </c>
      <c r="AS90" s="58">
        <v>0</v>
      </c>
      <c r="AT90" s="58">
        <v>0</v>
      </c>
      <c r="AU90" s="58">
        <v>0</v>
      </c>
      <c r="AV90" s="58">
        <v>0</v>
      </c>
      <c r="AW90" s="58">
        <v>0</v>
      </c>
      <c r="AX90" s="58">
        <v>0</v>
      </c>
      <c r="AY90" s="58">
        <v>0</v>
      </c>
      <c r="AZ90" s="58">
        <v>0</v>
      </c>
      <c r="BA90" s="58">
        <v>0</v>
      </c>
      <c r="BB90" s="58">
        <v>0</v>
      </c>
      <c r="BC90" s="58">
        <v>0</v>
      </c>
      <c r="BD90" s="58">
        <v>0</v>
      </c>
      <c r="BE90" s="58">
        <v>0</v>
      </c>
    </row>
    <row r="91" spans="1:57" x14ac:dyDescent="0.2">
      <c r="A91" s="40">
        <v>82</v>
      </c>
      <c r="B91" s="45" t="s">
        <v>246</v>
      </c>
      <c r="C91" s="45" t="s">
        <v>294</v>
      </c>
      <c r="D91" s="38"/>
      <c r="E91" s="38" t="s">
        <v>194</v>
      </c>
      <c r="F91" s="38"/>
      <c r="H91" s="58">
        <v>0</v>
      </c>
      <c r="I91" s="58">
        <v>0</v>
      </c>
      <c r="J91" s="58">
        <v>0</v>
      </c>
      <c r="K91" s="58">
        <v>0</v>
      </c>
      <c r="L91" s="58">
        <v>0</v>
      </c>
      <c r="M91" s="58">
        <v>0</v>
      </c>
      <c r="N91" s="58">
        <v>0</v>
      </c>
      <c r="O91" s="58">
        <v>0</v>
      </c>
      <c r="P91" s="58">
        <v>0</v>
      </c>
      <c r="Q91" s="58">
        <v>0</v>
      </c>
      <c r="R91" s="58">
        <v>0</v>
      </c>
      <c r="S91" s="58">
        <v>0</v>
      </c>
      <c r="T91" s="58">
        <v>0</v>
      </c>
      <c r="U91" s="58">
        <v>0</v>
      </c>
      <c r="V91" s="58">
        <v>0</v>
      </c>
      <c r="W91" s="58">
        <v>0</v>
      </c>
      <c r="X91" s="58">
        <v>0</v>
      </c>
      <c r="Y91" s="58">
        <v>-0.05</v>
      </c>
      <c r="Z91" s="58">
        <v>-0.05</v>
      </c>
      <c r="AA91" s="58">
        <v>-0.05</v>
      </c>
      <c r="AB91" s="58">
        <v>-0.05</v>
      </c>
      <c r="AC91" s="58">
        <v>-0.05</v>
      </c>
      <c r="AD91" s="58">
        <v>-0.05</v>
      </c>
      <c r="AE91" s="58">
        <v>-0.05</v>
      </c>
      <c r="AF91" s="58">
        <v>-0.05</v>
      </c>
      <c r="AG91" s="58">
        <v>-0.05</v>
      </c>
      <c r="AH91" s="58">
        <v>-0.05</v>
      </c>
      <c r="AI91" s="58">
        <v>-0.05</v>
      </c>
      <c r="AJ91" s="58">
        <v>-0.05</v>
      </c>
      <c r="AK91" s="58">
        <v>-0.03</v>
      </c>
      <c r="AL91" s="58">
        <v>-0.01</v>
      </c>
      <c r="AM91" s="58">
        <v>-0.01</v>
      </c>
      <c r="AN91" s="58">
        <v>-0.01</v>
      </c>
      <c r="AO91" s="58">
        <v>-0.01</v>
      </c>
      <c r="AP91" s="58">
        <v>-0.01</v>
      </c>
      <c r="AQ91" s="58">
        <v>-0.01</v>
      </c>
      <c r="AR91" s="58">
        <v>-0.01</v>
      </c>
      <c r="AS91" s="58">
        <v>0</v>
      </c>
      <c r="AT91" s="58">
        <v>0</v>
      </c>
      <c r="AU91" s="58">
        <v>0</v>
      </c>
      <c r="AV91" s="58">
        <v>0</v>
      </c>
      <c r="AW91" s="58">
        <v>0</v>
      </c>
      <c r="AX91" s="58">
        <v>0</v>
      </c>
      <c r="AY91" s="58">
        <v>0</v>
      </c>
      <c r="AZ91" s="58">
        <v>0</v>
      </c>
      <c r="BA91" s="58">
        <v>0</v>
      </c>
      <c r="BB91" s="58">
        <v>0</v>
      </c>
      <c r="BC91" s="58">
        <v>0</v>
      </c>
      <c r="BD91" s="58">
        <v>0</v>
      </c>
      <c r="BE91" s="58">
        <v>0</v>
      </c>
    </row>
    <row r="92" spans="1:57" x14ac:dyDescent="0.2">
      <c r="A92" s="40">
        <v>83</v>
      </c>
      <c r="B92" s="45" t="s">
        <v>241</v>
      </c>
      <c r="C92" s="45" t="s">
        <v>295</v>
      </c>
      <c r="D92" s="38"/>
      <c r="E92" s="38" t="s">
        <v>194</v>
      </c>
      <c r="F92" s="38"/>
      <c r="H92" s="51"/>
      <c r="I92" s="51"/>
      <c r="J92" s="51"/>
      <c r="K92" s="51"/>
      <c r="L92" s="51"/>
      <c r="M92" s="51"/>
      <c r="N92" s="51"/>
      <c r="O92" s="51"/>
      <c r="P92" s="51"/>
      <c r="Q92" s="51"/>
      <c r="R92" s="51"/>
      <c r="S92" s="51"/>
      <c r="T92" s="51"/>
      <c r="U92" s="51"/>
      <c r="V92" s="51"/>
      <c r="W92" s="51"/>
      <c r="X92" s="51"/>
      <c r="Y92" s="51"/>
      <c r="Z92" s="51"/>
      <c r="AA92" s="51"/>
      <c r="AB92" s="51"/>
      <c r="AC92" s="55">
        <v>-0.02</v>
      </c>
      <c r="AD92" s="55">
        <v>-0.02</v>
      </c>
      <c r="AE92" s="55">
        <v>-0.02</v>
      </c>
      <c r="AF92" s="55">
        <v>-0.02</v>
      </c>
      <c r="AG92" s="55">
        <v>-0.02</v>
      </c>
      <c r="AH92" s="55">
        <v>-0.02</v>
      </c>
      <c r="AI92" s="55">
        <v>-0.02</v>
      </c>
      <c r="AJ92" s="55">
        <v>-0.02</v>
      </c>
      <c r="AK92" s="55">
        <v>-0.02</v>
      </c>
      <c r="AL92" s="55">
        <v>-0.02</v>
      </c>
      <c r="AM92" s="55">
        <v>-0.02</v>
      </c>
      <c r="AN92" s="55">
        <v>-0.02</v>
      </c>
      <c r="AO92" s="55">
        <v>-0.02</v>
      </c>
      <c r="AP92" s="55">
        <v>-0.02</v>
      </c>
      <c r="AQ92" s="55">
        <v>-0.02</v>
      </c>
      <c r="AR92" s="55">
        <v>-0.02</v>
      </c>
      <c r="AS92" s="55">
        <v>0</v>
      </c>
      <c r="AT92" s="55">
        <v>0</v>
      </c>
      <c r="AU92" s="55">
        <v>0</v>
      </c>
      <c r="AV92" s="55">
        <v>0</v>
      </c>
      <c r="AW92" s="55">
        <v>0</v>
      </c>
      <c r="AX92" s="55">
        <v>0</v>
      </c>
      <c r="AY92" s="55">
        <v>0</v>
      </c>
      <c r="AZ92" s="55">
        <v>0</v>
      </c>
      <c r="BA92" s="55">
        <v>0</v>
      </c>
      <c r="BB92" s="55">
        <v>0</v>
      </c>
      <c r="BC92" s="55">
        <v>0</v>
      </c>
      <c r="BD92" s="55">
        <v>0</v>
      </c>
      <c r="BE92" s="55">
        <v>0</v>
      </c>
    </row>
    <row r="93" spans="1:57" x14ac:dyDescent="0.2">
      <c r="A93" s="40">
        <v>84</v>
      </c>
      <c r="B93" s="45" t="s">
        <v>241</v>
      </c>
      <c r="C93" s="45" t="s">
        <v>296</v>
      </c>
      <c r="D93" s="38"/>
      <c r="E93" s="38" t="s">
        <v>194</v>
      </c>
      <c r="F93" s="38"/>
      <c r="H93" s="51"/>
      <c r="I93" s="51"/>
      <c r="J93" s="51"/>
      <c r="K93" s="51"/>
      <c r="L93" s="51"/>
      <c r="M93" s="51"/>
      <c r="N93" s="51"/>
      <c r="O93" s="51"/>
      <c r="P93" s="51"/>
      <c r="Q93" s="51"/>
      <c r="R93" s="51"/>
      <c r="S93" s="51"/>
      <c r="T93" s="51"/>
      <c r="U93" s="51"/>
      <c r="V93" s="51"/>
      <c r="W93" s="51"/>
      <c r="X93" s="51"/>
      <c r="Y93" s="51"/>
      <c r="Z93" s="51"/>
      <c r="AA93" s="51"/>
      <c r="AB93" s="51"/>
      <c r="AC93" s="46">
        <v>-0.02</v>
      </c>
      <c r="AD93" s="46">
        <v>-0.02</v>
      </c>
      <c r="AE93" s="46">
        <v>-0.02</v>
      </c>
      <c r="AF93" s="46">
        <v>-0.02</v>
      </c>
      <c r="AG93" s="46">
        <v>-0.02</v>
      </c>
      <c r="AH93" s="46">
        <v>-0.02</v>
      </c>
      <c r="AI93" s="46">
        <v>-0.02</v>
      </c>
      <c r="AJ93" s="46">
        <v>-0.02</v>
      </c>
      <c r="AK93" s="46">
        <v>-0.02</v>
      </c>
      <c r="AL93" s="46">
        <v>-0.02</v>
      </c>
      <c r="AM93" s="46">
        <v>-0.02</v>
      </c>
      <c r="AN93" s="46">
        <v>-0.02</v>
      </c>
      <c r="AO93" s="46">
        <v>-0.02</v>
      </c>
      <c r="AP93" s="46">
        <v>-0.02</v>
      </c>
      <c r="AQ93" s="46">
        <v>-0.02</v>
      </c>
      <c r="AR93" s="46">
        <v>-0.02</v>
      </c>
      <c r="AS93" s="46">
        <v>0</v>
      </c>
      <c r="AT93" s="46">
        <v>0</v>
      </c>
      <c r="AU93" s="46">
        <v>0</v>
      </c>
      <c r="AV93" s="46">
        <v>0</v>
      </c>
      <c r="AW93" s="46">
        <v>0</v>
      </c>
      <c r="AX93" s="46">
        <v>0</v>
      </c>
      <c r="AY93" s="46">
        <v>0</v>
      </c>
      <c r="AZ93" s="46">
        <v>0</v>
      </c>
      <c r="BA93" s="46">
        <v>0</v>
      </c>
      <c r="BB93" s="46">
        <v>0</v>
      </c>
      <c r="BC93" s="46">
        <v>0</v>
      </c>
      <c r="BD93" s="46">
        <v>0</v>
      </c>
      <c r="BE93" s="46">
        <v>0</v>
      </c>
    </row>
    <row r="94" spans="1:57" x14ac:dyDescent="0.2">
      <c r="A94" s="40">
        <v>85</v>
      </c>
      <c r="B94" s="45" t="s">
        <v>241</v>
      </c>
      <c r="C94" s="45" t="s">
        <v>297</v>
      </c>
      <c r="D94" s="38"/>
      <c r="E94" s="38" t="s">
        <v>194</v>
      </c>
      <c r="F94" s="38"/>
      <c r="H94" s="51"/>
      <c r="I94" s="51"/>
      <c r="J94" s="51"/>
      <c r="K94" s="51"/>
      <c r="L94" s="51"/>
      <c r="M94" s="51"/>
      <c r="N94" s="51"/>
      <c r="O94" s="51"/>
      <c r="P94" s="51"/>
      <c r="Q94" s="51"/>
      <c r="R94" s="51"/>
      <c r="S94" s="51"/>
      <c r="T94" s="51"/>
      <c r="U94" s="51"/>
      <c r="V94" s="51"/>
      <c r="W94" s="51"/>
      <c r="X94" s="51"/>
      <c r="Y94" s="51"/>
      <c r="Z94" s="51"/>
      <c r="AA94" s="51"/>
      <c r="AB94" s="51"/>
      <c r="AC94" s="54">
        <v>-0.05</v>
      </c>
      <c r="AD94" s="50">
        <v>-7.8E-2</v>
      </c>
      <c r="AE94" s="50">
        <v>-7.8E-2</v>
      </c>
      <c r="AF94" s="54">
        <v>-2.5000000000000001E-2</v>
      </c>
      <c r="AG94" s="54">
        <v>-2.5000000000000001E-2</v>
      </c>
      <c r="AH94" s="54">
        <v>-2.5000000000000001E-2</v>
      </c>
      <c r="AI94" s="54">
        <v>-2.5000000000000001E-2</v>
      </c>
      <c r="AJ94" s="54">
        <v>-2.5000000000000001E-2</v>
      </c>
      <c r="AK94" s="54">
        <v>-2.5000000000000001E-2</v>
      </c>
      <c r="AL94" s="54">
        <v>-0.01</v>
      </c>
      <c r="AM94" s="54">
        <v>-0.01</v>
      </c>
      <c r="AN94" s="54">
        <v>-0.01</v>
      </c>
      <c r="AO94" s="54">
        <v>-0.01</v>
      </c>
      <c r="AP94" s="54">
        <v>-0.01</v>
      </c>
      <c r="AQ94" s="54">
        <v>-0.01</v>
      </c>
      <c r="AR94" s="54">
        <v>-0.01</v>
      </c>
      <c r="AS94" s="54">
        <v>0</v>
      </c>
      <c r="AT94" s="54">
        <v>0</v>
      </c>
      <c r="AU94" s="54">
        <v>0</v>
      </c>
      <c r="AV94" s="54">
        <v>0</v>
      </c>
      <c r="AW94" s="54">
        <v>0</v>
      </c>
      <c r="AX94" s="54">
        <v>0</v>
      </c>
      <c r="AY94" s="54">
        <v>0</v>
      </c>
      <c r="AZ94" s="54">
        <v>0</v>
      </c>
      <c r="BA94" s="54">
        <v>0</v>
      </c>
      <c r="BB94" s="54">
        <v>0</v>
      </c>
      <c r="BC94" s="54">
        <v>0</v>
      </c>
      <c r="BD94" s="54">
        <v>0</v>
      </c>
      <c r="BE94" s="54">
        <v>0</v>
      </c>
    </row>
    <row r="95" spans="1:57" x14ac:dyDescent="0.2">
      <c r="A95" s="40">
        <v>86</v>
      </c>
      <c r="B95" s="45" t="s">
        <v>241</v>
      </c>
      <c r="C95" s="45" t="s">
        <v>298</v>
      </c>
      <c r="D95" s="38"/>
      <c r="E95" s="38" t="s">
        <v>194</v>
      </c>
      <c r="F95" s="38"/>
      <c r="H95" s="51"/>
      <c r="I95" s="51"/>
      <c r="J95" s="51"/>
      <c r="K95" s="51"/>
      <c r="L95" s="51"/>
      <c r="M95" s="51"/>
      <c r="N95" s="51"/>
      <c r="O95" s="51"/>
      <c r="P95" s="51"/>
      <c r="Q95" s="51"/>
      <c r="R95" s="51"/>
      <c r="S95" s="51"/>
      <c r="T95" s="51"/>
      <c r="U95" s="51"/>
      <c r="V95" s="51"/>
      <c r="W95" s="51"/>
      <c r="X95" s="51"/>
      <c r="Y95" s="51"/>
      <c r="Z95" s="51"/>
      <c r="AA95" s="51"/>
      <c r="AB95" s="51"/>
      <c r="AC95" s="55">
        <v>-0.05</v>
      </c>
      <c r="AD95" s="50">
        <v>-7.8E-2</v>
      </c>
      <c r="AE95" s="50">
        <v>-7.8E-2</v>
      </c>
      <c r="AF95" s="55">
        <v>-2.5000000000000001E-2</v>
      </c>
      <c r="AG95" s="55">
        <v>-2.5000000000000001E-2</v>
      </c>
      <c r="AH95" s="55">
        <v>-2.5000000000000001E-2</v>
      </c>
      <c r="AI95" s="55">
        <v>-2.5000000000000001E-2</v>
      </c>
      <c r="AJ95" s="55">
        <v>-2.5000000000000001E-2</v>
      </c>
      <c r="AK95" s="55">
        <v>-2.5000000000000001E-2</v>
      </c>
      <c r="AL95" s="55">
        <v>-0.01</v>
      </c>
      <c r="AM95" s="55">
        <v>-0.01</v>
      </c>
      <c r="AN95" s="55">
        <v>-0.01</v>
      </c>
      <c r="AO95" s="55">
        <v>-0.01</v>
      </c>
      <c r="AP95" s="55">
        <v>-0.01</v>
      </c>
      <c r="AQ95" s="55">
        <v>-0.01</v>
      </c>
      <c r="AR95" s="55">
        <v>-0.01</v>
      </c>
      <c r="AS95" s="55">
        <v>0</v>
      </c>
      <c r="AT95" s="55">
        <v>0</v>
      </c>
      <c r="AU95" s="55">
        <v>0</v>
      </c>
      <c r="AV95" s="55">
        <v>0</v>
      </c>
      <c r="AW95" s="55">
        <v>0</v>
      </c>
      <c r="AX95" s="55">
        <v>0</v>
      </c>
      <c r="AY95" s="55">
        <v>0</v>
      </c>
      <c r="AZ95" s="55">
        <v>0</v>
      </c>
      <c r="BA95" s="55">
        <v>0</v>
      </c>
      <c r="BB95" s="55">
        <v>0</v>
      </c>
      <c r="BC95" s="55">
        <v>0</v>
      </c>
      <c r="BD95" s="55">
        <v>0</v>
      </c>
      <c r="BE95" s="55">
        <v>0</v>
      </c>
    </row>
    <row r="96" spans="1:57" x14ac:dyDescent="0.2">
      <c r="A96" s="40">
        <v>87</v>
      </c>
      <c r="B96" s="45" t="s">
        <v>195</v>
      </c>
      <c r="C96" s="45" t="s">
        <v>75</v>
      </c>
      <c r="D96" s="38"/>
      <c r="E96" s="38" t="s">
        <v>194</v>
      </c>
      <c r="F96" s="38"/>
      <c r="H96" s="66">
        <v>0</v>
      </c>
      <c r="I96" s="66">
        <v>0</v>
      </c>
      <c r="J96" s="66">
        <v>0</v>
      </c>
      <c r="K96" s="66">
        <v>0</v>
      </c>
      <c r="L96" s="66">
        <v>0</v>
      </c>
      <c r="M96" s="66">
        <v>0</v>
      </c>
      <c r="N96" s="66">
        <v>0</v>
      </c>
      <c r="O96" s="66">
        <v>0</v>
      </c>
      <c r="P96" s="66">
        <v>0</v>
      </c>
      <c r="Q96" s="66">
        <v>0</v>
      </c>
      <c r="R96" s="66">
        <v>0</v>
      </c>
      <c r="S96" s="66">
        <v>0</v>
      </c>
      <c r="T96" s="66">
        <v>0</v>
      </c>
      <c r="U96" s="66">
        <v>0</v>
      </c>
      <c r="V96" s="66">
        <v>0</v>
      </c>
      <c r="W96" s="66">
        <v>0</v>
      </c>
      <c r="X96" s="66">
        <v>0</v>
      </c>
      <c r="Y96" s="66">
        <v>0</v>
      </c>
      <c r="Z96" s="66">
        <v>0.01</v>
      </c>
      <c r="AA96" s="66">
        <v>-0.15</v>
      </c>
      <c r="AB96" s="66">
        <v>-0.15</v>
      </c>
      <c r="AC96" s="66">
        <v>-0.15</v>
      </c>
      <c r="AD96" s="66">
        <v>7.0000000000000001E-3</v>
      </c>
      <c r="AE96" s="66">
        <v>7.0000000000000001E-3</v>
      </c>
      <c r="AF96" s="66">
        <v>0.02</v>
      </c>
      <c r="AG96" s="66">
        <v>5.0000000000000001E-3</v>
      </c>
      <c r="AH96" s="66">
        <v>5.0000000000000001E-3</v>
      </c>
      <c r="AI96" s="66">
        <v>5.0000000000000001E-3</v>
      </c>
      <c r="AJ96" s="66">
        <v>0</v>
      </c>
      <c r="AK96" s="66">
        <v>0</v>
      </c>
      <c r="AL96" s="66">
        <v>0</v>
      </c>
      <c r="AM96" s="66">
        <v>0</v>
      </c>
      <c r="AN96" s="66">
        <v>0</v>
      </c>
      <c r="AO96" s="66">
        <v>0</v>
      </c>
      <c r="AP96" s="66">
        <v>0</v>
      </c>
      <c r="AQ96" s="66">
        <v>0</v>
      </c>
      <c r="AR96" s="66">
        <v>0</v>
      </c>
      <c r="AS96" s="66">
        <v>0</v>
      </c>
      <c r="AT96" s="66">
        <v>0</v>
      </c>
      <c r="AU96" s="66">
        <v>0</v>
      </c>
      <c r="AV96" s="66">
        <v>0</v>
      </c>
      <c r="AW96" s="66">
        <v>0</v>
      </c>
      <c r="AX96" s="66">
        <v>0</v>
      </c>
      <c r="AY96" s="66">
        <v>0</v>
      </c>
      <c r="AZ96" s="66">
        <v>0</v>
      </c>
      <c r="BA96" s="66">
        <v>0</v>
      </c>
      <c r="BB96" s="66">
        <v>0</v>
      </c>
      <c r="BC96" s="66">
        <v>0</v>
      </c>
      <c r="BD96" s="66">
        <v>0</v>
      </c>
      <c r="BE96" s="66">
        <v>0</v>
      </c>
    </row>
    <row r="97" spans="1:58" x14ac:dyDescent="0.2">
      <c r="A97" s="40">
        <v>88</v>
      </c>
      <c r="B97" s="45" t="s">
        <v>193</v>
      </c>
      <c r="C97" s="45" t="s">
        <v>193</v>
      </c>
      <c r="D97" s="38"/>
      <c r="E97" s="38" t="s">
        <v>194</v>
      </c>
      <c r="F97" s="38"/>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row>
    <row r="98" spans="1:58" x14ac:dyDescent="0.2">
      <c r="A98" s="40">
        <v>89</v>
      </c>
      <c r="B98" s="45" t="s">
        <v>241</v>
      </c>
      <c r="C98" s="45" t="s">
        <v>299</v>
      </c>
      <c r="D98" s="38"/>
      <c r="E98" s="38" t="s">
        <v>194</v>
      </c>
      <c r="F98" s="38"/>
      <c r="H98" s="51">
        <v>0</v>
      </c>
      <c r="I98" s="51">
        <v>0</v>
      </c>
      <c r="J98" s="51">
        <v>0</v>
      </c>
      <c r="K98" s="51">
        <v>0</v>
      </c>
      <c r="L98" s="51">
        <v>0</v>
      </c>
      <c r="M98" s="51">
        <v>0</v>
      </c>
      <c r="N98" s="51">
        <v>0</v>
      </c>
      <c r="O98" s="51">
        <v>0</v>
      </c>
      <c r="P98" s="51">
        <v>0</v>
      </c>
      <c r="Q98" s="51">
        <v>0</v>
      </c>
      <c r="R98" s="51">
        <v>0</v>
      </c>
      <c r="S98" s="51">
        <v>0</v>
      </c>
      <c r="T98" s="51">
        <v>0</v>
      </c>
      <c r="U98" s="51">
        <v>0</v>
      </c>
      <c r="V98" s="51">
        <v>0</v>
      </c>
      <c r="W98" s="51">
        <v>0</v>
      </c>
      <c r="X98" s="51">
        <v>0</v>
      </c>
      <c r="Y98" s="51">
        <v>0</v>
      </c>
      <c r="Z98" s="51">
        <v>0</v>
      </c>
      <c r="AA98" s="51">
        <v>0</v>
      </c>
      <c r="AB98" s="46">
        <v>-0.02</v>
      </c>
      <c r="AC98" s="46">
        <v>-0.02</v>
      </c>
      <c r="AD98" s="46">
        <v>-0.02</v>
      </c>
      <c r="AE98" s="46">
        <v>-0.02</v>
      </c>
      <c r="AF98" s="46">
        <v>-0.02</v>
      </c>
      <c r="AG98" s="46">
        <v>-0.02</v>
      </c>
      <c r="AH98" s="46">
        <v>-0.02</v>
      </c>
      <c r="AI98" s="46">
        <v>-0.02</v>
      </c>
      <c r="AJ98" s="46">
        <v>-0.02</v>
      </c>
      <c r="AK98" s="46">
        <v>-0.02</v>
      </c>
      <c r="AL98" s="46">
        <v>-0.02</v>
      </c>
      <c r="AM98" s="46">
        <v>-0.02</v>
      </c>
      <c r="AN98" s="46">
        <v>-0.02</v>
      </c>
      <c r="AO98" s="46">
        <v>-0.02</v>
      </c>
      <c r="AP98" s="46">
        <v>-0.02</v>
      </c>
      <c r="AQ98" s="46">
        <v>-0.02</v>
      </c>
      <c r="AR98" s="46">
        <v>-0.02</v>
      </c>
      <c r="AS98" s="46">
        <v>0</v>
      </c>
      <c r="AT98" s="46">
        <v>0</v>
      </c>
      <c r="AU98" s="46">
        <v>0</v>
      </c>
      <c r="AV98" s="46">
        <v>0</v>
      </c>
      <c r="AW98" s="46">
        <v>0</v>
      </c>
      <c r="AX98" s="46">
        <v>0</v>
      </c>
      <c r="AY98" s="46">
        <v>0</v>
      </c>
      <c r="AZ98" s="46">
        <v>0</v>
      </c>
      <c r="BA98" s="46">
        <v>0</v>
      </c>
      <c r="BB98" s="46">
        <v>0</v>
      </c>
      <c r="BC98" s="46">
        <v>0</v>
      </c>
      <c r="BD98" s="46">
        <v>0</v>
      </c>
      <c r="BE98" s="46">
        <v>0</v>
      </c>
    </row>
    <row r="99" spans="1:58" x14ac:dyDescent="0.2">
      <c r="A99" s="40">
        <v>90</v>
      </c>
      <c r="B99" s="45" t="s">
        <v>193</v>
      </c>
      <c r="C99" s="45" t="s">
        <v>193</v>
      </c>
      <c r="D99" s="38"/>
      <c r="E99" s="38" t="s">
        <v>194</v>
      </c>
      <c r="F99" s="38"/>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row>
    <row r="100" spans="1:58" x14ac:dyDescent="0.2">
      <c r="A100" s="40">
        <v>91</v>
      </c>
      <c r="B100" s="45" t="s">
        <v>300</v>
      </c>
      <c r="C100" s="45" t="s">
        <v>301</v>
      </c>
      <c r="D100" s="38"/>
      <c r="E100" s="38" t="s">
        <v>194</v>
      </c>
      <c r="F100" s="38"/>
      <c r="H100" s="51">
        <v>-0.05</v>
      </c>
      <c r="I100" s="51">
        <v>-0.05</v>
      </c>
      <c r="J100" s="51">
        <v>-0.05</v>
      </c>
      <c r="K100" s="51">
        <v>-0.05</v>
      </c>
      <c r="L100" s="51">
        <v>-0.05</v>
      </c>
      <c r="M100" s="51">
        <v>-0.05</v>
      </c>
      <c r="N100" s="51">
        <v>-0.05</v>
      </c>
      <c r="O100" s="51">
        <v>-0.05</v>
      </c>
      <c r="P100" s="51">
        <v>-0.05</v>
      </c>
      <c r="Q100" s="51">
        <v>-0.05</v>
      </c>
      <c r="R100" s="51">
        <v>-0.05</v>
      </c>
      <c r="S100" s="51">
        <v>-0.05</v>
      </c>
      <c r="T100" s="51">
        <v>-0.05</v>
      </c>
      <c r="U100" s="51">
        <v>-0.05</v>
      </c>
      <c r="V100" s="51">
        <v>-0.05</v>
      </c>
      <c r="W100" s="51">
        <v>-0.05</v>
      </c>
      <c r="X100" s="51">
        <v>-0.05</v>
      </c>
      <c r="Y100" s="51">
        <v>-0.05</v>
      </c>
      <c r="Z100" s="51">
        <v>-0.05</v>
      </c>
      <c r="AA100" s="51">
        <v>-0.05</v>
      </c>
      <c r="AB100" s="51">
        <v>-0.05</v>
      </c>
      <c r="AC100" s="51">
        <v>-0.05</v>
      </c>
      <c r="AD100" s="51">
        <v>-0.05</v>
      </c>
      <c r="AE100" s="51">
        <v>-0.05</v>
      </c>
      <c r="AF100" s="51">
        <v>-0.05</v>
      </c>
      <c r="AG100" s="51">
        <v>-0.05</v>
      </c>
      <c r="AH100" s="51">
        <v>-0.05</v>
      </c>
      <c r="AI100" s="51">
        <v>-0.05</v>
      </c>
      <c r="AJ100" s="51">
        <v>-0.05</v>
      </c>
      <c r="AK100" s="51">
        <v>-0.05</v>
      </c>
      <c r="AL100" s="51">
        <v>-0.05</v>
      </c>
      <c r="AM100" s="51">
        <v>-0.05</v>
      </c>
      <c r="AN100" s="51">
        <v>-0.05</v>
      </c>
      <c r="AO100" s="51">
        <v>-0.05</v>
      </c>
      <c r="AP100" s="51">
        <v>-0.05</v>
      </c>
      <c r="AQ100" s="51">
        <v>-0.05</v>
      </c>
      <c r="AR100" s="51">
        <v>-0.05</v>
      </c>
      <c r="AS100" s="46">
        <v>0</v>
      </c>
      <c r="AT100" s="46">
        <v>0</v>
      </c>
      <c r="AU100" s="46">
        <v>0</v>
      </c>
      <c r="AV100" s="46">
        <v>0</v>
      </c>
      <c r="AW100" s="46">
        <v>0</v>
      </c>
      <c r="AX100" s="46">
        <v>0</v>
      </c>
      <c r="AY100" s="46">
        <v>0</v>
      </c>
      <c r="AZ100" s="46">
        <v>0</v>
      </c>
      <c r="BA100" s="46">
        <v>0</v>
      </c>
      <c r="BB100" s="46">
        <v>0</v>
      </c>
      <c r="BC100" s="46">
        <v>0</v>
      </c>
      <c r="BD100" s="46">
        <v>0</v>
      </c>
      <c r="BE100" s="46">
        <v>0</v>
      </c>
    </row>
    <row r="101" spans="1:58" x14ac:dyDescent="0.2">
      <c r="A101" s="40">
        <v>92</v>
      </c>
      <c r="B101" s="45" t="s">
        <v>241</v>
      </c>
      <c r="C101" s="45" t="s">
        <v>302</v>
      </c>
      <c r="D101" s="38"/>
      <c r="E101" s="38" t="s">
        <v>194</v>
      </c>
      <c r="F101" s="38"/>
      <c r="H101" s="46"/>
      <c r="I101" s="46"/>
      <c r="J101" s="46"/>
      <c r="K101" s="46"/>
      <c r="L101" s="46"/>
      <c r="M101" s="46"/>
      <c r="N101" s="46"/>
      <c r="O101" s="46"/>
      <c r="P101" s="46"/>
      <c r="Q101" s="46"/>
      <c r="R101" s="46"/>
      <c r="S101" s="46"/>
      <c r="T101" s="46"/>
      <c r="U101" s="46"/>
      <c r="V101" s="46"/>
      <c r="W101" s="46"/>
      <c r="X101" s="46"/>
      <c r="Y101" s="46"/>
      <c r="Z101" s="46"/>
      <c r="AA101" s="46"/>
      <c r="AB101" s="46"/>
      <c r="AC101" s="54">
        <v>-0.02</v>
      </c>
      <c r="AD101" s="50">
        <v>-4.1000000000000002E-2</v>
      </c>
      <c r="AE101" s="50">
        <v>-4.1000000000000002E-2</v>
      </c>
      <c r="AF101" s="54">
        <v>-0.02</v>
      </c>
      <c r="AG101" s="54">
        <v>-0.02</v>
      </c>
      <c r="AH101" s="54">
        <v>-0.02</v>
      </c>
      <c r="AI101" s="54">
        <v>-0.02</v>
      </c>
      <c r="AJ101" s="54">
        <v>-0.02</v>
      </c>
      <c r="AK101" s="54">
        <v>-0.02</v>
      </c>
      <c r="AL101" s="54">
        <v>-0.02</v>
      </c>
      <c r="AM101" s="54">
        <v>-0.02</v>
      </c>
      <c r="AN101" s="54">
        <v>-0.02</v>
      </c>
      <c r="AO101" s="54">
        <v>-0.02</v>
      </c>
      <c r="AP101" s="54">
        <v>-0.02</v>
      </c>
      <c r="AQ101" s="54">
        <v>-0.02</v>
      </c>
      <c r="AR101" s="54">
        <v>-0.02</v>
      </c>
      <c r="AS101" s="54">
        <v>0</v>
      </c>
      <c r="AT101" s="54">
        <v>0</v>
      </c>
      <c r="AU101" s="54">
        <v>0</v>
      </c>
      <c r="AV101" s="54">
        <v>0</v>
      </c>
      <c r="AW101" s="54">
        <v>0</v>
      </c>
      <c r="AX101" s="54">
        <v>0</v>
      </c>
      <c r="AY101" s="54">
        <v>0</v>
      </c>
      <c r="AZ101" s="54">
        <v>0</v>
      </c>
      <c r="BA101" s="54">
        <v>0</v>
      </c>
      <c r="BB101" s="54">
        <v>0</v>
      </c>
      <c r="BC101" s="54">
        <v>0</v>
      </c>
      <c r="BD101" s="54">
        <v>0</v>
      </c>
      <c r="BE101" s="54">
        <v>0</v>
      </c>
    </row>
    <row r="102" spans="1:58" x14ac:dyDescent="0.2">
      <c r="A102" s="40">
        <v>93</v>
      </c>
      <c r="B102" s="45" t="s">
        <v>241</v>
      </c>
      <c r="C102" s="45" t="s">
        <v>303</v>
      </c>
      <c r="D102" s="38"/>
      <c r="E102" s="38" t="s">
        <v>194</v>
      </c>
      <c r="F102" s="38"/>
      <c r="H102" s="46"/>
      <c r="I102" s="46"/>
      <c r="J102" s="46"/>
      <c r="K102" s="46"/>
      <c r="L102" s="46"/>
      <c r="M102" s="46"/>
      <c r="N102" s="46"/>
      <c r="O102" s="46"/>
      <c r="P102" s="46"/>
      <c r="Q102" s="46"/>
      <c r="R102" s="46"/>
      <c r="S102" s="46"/>
      <c r="T102" s="46"/>
      <c r="U102" s="46"/>
      <c r="V102" s="46"/>
      <c r="W102" s="46"/>
      <c r="X102" s="46"/>
      <c r="Y102" s="46"/>
      <c r="Z102" s="46"/>
      <c r="AA102" s="46"/>
      <c r="AB102" s="46"/>
      <c r="AC102" s="54">
        <v>-0.02</v>
      </c>
      <c r="AD102" s="50">
        <v>-0.12</v>
      </c>
      <c r="AE102" s="50">
        <v>-0.12</v>
      </c>
      <c r="AF102" s="54">
        <v>-0.02</v>
      </c>
      <c r="AG102" s="54">
        <v>-0.02</v>
      </c>
      <c r="AH102" s="54">
        <v>-0.02</v>
      </c>
      <c r="AI102" s="54">
        <v>-0.02</v>
      </c>
      <c r="AJ102" s="54">
        <v>-0.02</v>
      </c>
      <c r="AK102" s="54">
        <v>-0.02</v>
      </c>
      <c r="AL102" s="54">
        <v>-0.02</v>
      </c>
      <c r="AM102" s="54">
        <v>-0.02</v>
      </c>
      <c r="AN102" s="54">
        <v>-0.02</v>
      </c>
      <c r="AO102" s="54">
        <v>-0.02</v>
      </c>
      <c r="AP102" s="54">
        <v>-0.02</v>
      </c>
      <c r="AQ102" s="54">
        <v>-0.02</v>
      </c>
      <c r="AR102" s="54">
        <v>-0.02</v>
      </c>
      <c r="AS102" s="54">
        <v>0</v>
      </c>
      <c r="AT102" s="54">
        <v>0</v>
      </c>
      <c r="AU102" s="54">
        <v>0</v>
      </c>
      <c r="AV102" s="54">
        <v>0</v>
      </c>
      <c r="AW102" s="54">
        <v>0</v>
      </c>
      <c r="AX102" s="54">
        <v>0</v>
      </c>
      <c r="AY102" s="54">
        <v>0</v>
      </c>
      <c r="AZ102" s="54">
        <v>0</v>
      </c>
      <c r="BA102" s="54">
        <v>0</v>
      </c>
      <c r="BB102" s="54">
        <v>0</v>
      </c>
      <c r="BC102" s="54">
        <v>0</v>
      </c>
      <c r="BD102" s="54">
        <v>0</v>
      </c>
      <c r="BE102" s="54">
        <v>0</v>
      </c>
    </row>
    <row r="103" spans="1:58" x14ac:dyDescent="0.2">
      <c r="A103" s="40">
        <v>94</v>
      </c>
      <c r="B103" s="45" t="s">
        <v>193</v>
      </c>
      <c r="C103" s="45" t="s">
        <v>193</v>
      </c>
      <c r="D103" s="38"/>
      <c r="E103" s="38" t="s">
        <v>194</v>
      </c>
      <c r="F103" s="38"/>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row>
    <row r="104" spans="1:58" x14ac:dyDescent="0.2">
      <c r="A104" s="40">
        <v>95</v>
      </c>
      <c r="B104" s="45" t="s">
        <v>193</v>
      </c>
      <c r="C104" s="45" t="s">
        <v>193</v>
      </c>
      <c r="D104" s="38"/>
      <c r="E104" s="38" t="s">
        <v>194</v>
      </c>
      <c r="F104" s="38"/>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row>
    <row r="105" spans="1:58" x14ac:dyDescent="0.2">
      <c r="A105" s="40">
        <v>96</v>
      </c>
      <c r="B105" s="45" t="s">
        <v>193</v>
      </c>
      <c r="C105" s="45" t="s">
        <v>193</v>
      </c>
      <c r="D105" s="38"/>
      <c r="E105" s="38" t="s">
        <v>194</v>
      </c>
      <c r="F105" s="38"/>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row>
    <row r="106" spans="1:58" x14ac:dyDescent="0.2">
      <c r="A106" s="40">
        <v>97</v>
      </c>
      <c r="B106" s="45" t="s">
        <v>304</v>
      </c>
      <c r="C106" s="45" t="s">
        <v>305</v>
      </c>
      <c r="D106" s="38"/>
      <c r="E106" s="38" t="s">
        <v>194</v>
      </c>
      <c r="F106" s="68" t="b">
        <v>1</v>
      </c>
      <c r="H106" s="54">
        <v>0</v>
      </c>
      <c r="I106" s="54">
        <v>0</v>
      </c>
      <c r="J106" s="54">
        <v>0</v>
      </c>
      <c r="K106" s="54">
        <v>0</v>
      </c>
      <c r="L106" s="54">
        <v>0</v>
      </c>
      <c r="M106" s="54">
        <v>0</v>
      </c>
      <c r="N106" s="54">
        <v>0</v>
      </c>
      <c r="O106" s="54">
        <v>0</v>
      </c>
      <c r="P106" s="54">
        <v>0</v>
      </c>
      <c r="Q106" s="54">
        <v>0</v>
      </c>
      <c r="R106" s="54">
        <v>0</v>
      </c>
      <c r="S106" s="54">
        <v>0</v>
      </c>
      <c r="T106" s="54">
        <v>0</v>
      </c>
      <c r="U106" s="54">
        <v>0</v>
      </c>
      <c r="V106" s="54">
        <v>0</v>
      </c>
      <c r="W106" s="54">
        <v>0</v>
      </c>
      <c r="X106" s="54">
        <v>0</v>
      </c>
      <c r="Y106" s="54">
        <v>0</v>
      </c>
      <c r="Z106" s="54">
        <v>0</v>
      </c>
      <c r="AA106" s="54">
        <v>0</v>
      </c>
      <c r="AB106" s="54">
        <v>0</v>
      </c>
      <c r="AC106" s="54">
        <v>0</v>
      </c>
      <c r="AD106" s="54">
        <v>0</v>
      </c>
      <c r="AE106" s="54">
        <v>0</v>
      </c>
      <c r="AF106" s="54">
        <v>0</v>
      </c>
      <c r="AG106" s="54">
        <v>0</v>
      </c>
      <c r="AH106" s="54">
        <v>0</v>
      </c>
      <c r="AI106" s="54">
        <v>0</v>
      </c>
      <c r="AJ106" s="54">
        <v>0</v>
      </c>
      <c r="AK106" s="54">
        <v>0</v>
      </c>
      <c r="AL106" s="54">
        <v>0</v>
      </c>
      <c r="AM106" s="54">
        <v>0</v>
      </c>
      <c r="AN106" s="54">
        <v>0</v>
      </c>
      <c r="AO106" s="54">
        <v>0</v>
      </c>
      <c r="AP106" s="54">
        <v>0</v>
      </c>
      <c r="AQ106" s="54">
        <v>0</v>
      </c>
      <c r="AR106" s="54">
        <v>0</v>
      </c>
      <c r="AS106" s="54">
        <v>0</v>
      </c>
      <c r="AT106" s="54">
        <v>0</v>
      </c>
      <c r="AU106" s="54">
        <v>0</v>
      </c>
      <c r="AV106" s="54">
        <v>0</v>
      </c>
      <c r="AW106" s="54">
        <v>0</v>
      </c>
      <c r="AX106" s="54">
        <v>0</v>
      </c>
      <c r="AY106" s="54">
        <v>0</v>
      </c>
      <c r="AZ106" s="54">
        <v>0</v>
      </c>
      <c r="BA106" s="54">
        <v>0</v>
      </c>
      <c r="BB106" s="54">
        <v>0</v>
      </c>
      <c r="BC106" s="54">
        <v>0</v>
      </c>
      <c r="BD106" s="54">
        <v>0</v>
      </c>
      <c r="BE106" s="54">
        <v>0</v>
      </c>
    </row>
    <row r="107" spans="1:58" x14ac:dyDescent="0.2">
      <c r="A107" s="40">
        <v>98</v>
      </c>
      <c r="B107" s="45" t="s">
        <v>304</v>
      </c>
      <c r="C107" s="45" t="s">
        <v>306</v>
      </c>
      <c r="D107" s="38"/>
      <c r="E107" s="38" t="s">
        <v>194</v>
      </c>
      <c r="F107" s="38"/>
      <c r="H107" s="54">
        <v>0</v>
      </c>
      <c r="I107" s="54">
        <v>0</v>
      </c>
      <c r="J107" s="54">
        <v>0</v>
      </c>
      <c r="K107" s="54">
        <v>0</v>
      </c>
      <c r="L107" s="54">
        <v>0</v>
      </c>
      <c r="M107" s="54">
        <v>0</v>
      </c>
      <c r="N107" s="54">
        <v>0</v>
      </c>
      <c r="O107" s="54">
        <v>0</v>
      </c>
      <c r="P107" s="54">
        <v>0</v>
      </c>
      <c r="Q107" s="54">
        <v>0</v>
      </c>
      <c r="R107" s="54">
        <v>0</v>
      </c>
      <c r="S107" s="54">
        <v>0</v>
      </c>
      <c r="T107" s="54">
        <v>0</v>
      </c>
      <c r="U107" s="54">
        <v>0</v>
      </c>
      <c r="V107" s="54">
        <v>0</v>
      </c>
      <c r="W107" s="54">
        <v>0</v>
      </c>
      <c r="X107" s="54">
        <v>0</v>
      </c>
      <c r="Y107" s="54">
        <v>0</v>
      </c>
      <c r="Z107" s="54">
        <v>0</v>
      </c>
      <c r="AA107" s="54">
        <v>0</v>
      </c>
      <c r="AB107" s="54">
        <v>0</v>
      </c>
      <c r="AC107" s="54">
        <v>0</v>
      </c>
      <c r="AD107" s="54">
        <v>0</v>
      </c>
      <c r="AE107" s="54">
        <v>0</v>
      </c>
      <c r="AF107" s="54">
        <v>0</v>
      </c>
      <c r="AG107" s="54">
        <v>0</v>
      </c>
      <c r="AH107" s="54">
        <v>0</v>
      </c>
      <c r="AI107" s="54">
        <v>0</v>
      </c>
      <c r="AJ107" s="54">
        <v>0</v>
      </c>
      <c r="AK107" s="54">
        <v>0</v>
      </c>
      <c r="AL107" s="54">
        <v>0</v>
      </c>
      <c r="AM107" s="54">
        <v>0</v>
      </c>
      <c r="AN107" s="54">
        <v>0</v>
      </c>
      <c r="AO107" s="54">
        <v>0</v>
      </c>
      <c r="AP107" s="54">
        <v>0</v>
      </c>
      <c r="AQ107" s="54">
        <v>0</v>
      </c>
      <c r="AR107" s="54">
        <v>0</v>
      </c>
      <c r="AS107" s="54">
        <v>0</v>
      </c>
      <c r="AT107" s="54">
        <v>0</v>
      </c>
      <c r="AU107" s="54">
        <v>0</v>
      </c>
      <c r="AV107" s="54">
        <v>0</v>
      </c>
      <c r="AW107" s="54">
        <v>0</v>
      </c>
      <c r="AX107" s="54">
        <v>0</v>
      </c>
      <c r="AY107" s="54">
        <v>0</v>
      </c>
      <c r="AZ107" s="54">
        <v>0</v>
      </c>
      <c r="BA107" s="54">
        <v>0</v>
      </c>
      <c r="BB107" s="54">
        <v>0</v>
      </c>
      <c r="BC107" s="54">
        <v>0</v>
      </c>
      <c r="BD107" s="54">
        <v>0</v>
      </c>
      <c r="BE107" s="54">
        <v>0</v>
      </c>
    </row>
    <row r="108" spans="1:58" x14ac:dyDescent="0.2">
      <c r="A108" s="40">
        <v>99</v>
      </c>
      <c r="B108" s="45" t="s">
        <v>307</v>
      </c>
      <c r="C108" s="45" t="s">
        <v>308</v>
      </c>
      <c r="D108" s="38"/>
      <c r="E108" s="38" t="s">
        <v>194</v>
      </c>
      <c r="F108" s="38"/>
      <c r="H108" s="54">
        <v>0</v>
      </c>
      <c r="I108" s="54">
        <v>0</v>
      </c>
      <c r="J108" s="54">
        <v>0</v>
      </c>
      <c r="K108" s="54">
        <v>0</v>
      </c>
      <c r="L108" s="54">
        <v>0</v>
      </c>
      <c r="M108" s="54">
        <v>0</v>
      </c>
      <c r="N108" s="54">
        <v>0</v>
      </c>
      <c r="O108" s="54">
        <v>0</v>
      </c>
      <c r="P108" s="54">
        <v>0</v>
      </c>
      <c r="Q108" s="54">
        <v>0</v>
      </c>
      <c r="R108" s="54">
        <v>0</v>
      </c>
      <c r="S108" s="54">
        <v>0</v>
      </c>
      <c r="T108" s="54">
        <v>0</v>
      </c>
      <c r="U108" s="54">
        <v>0</v>
      </c>
      <c r="V108" s="54">
        <v>0</v>
      </c>
      <c r="W108" s="54">
        <v>0</v>
      </c>
      <c r="X108" s="54">
        <v>0</v>
      </c>
      <c r="Y108" s="54">
        <v>0</v>
      </c>
      <c r="Z108" s="54">
        <v>0</v>
      </c>
      <c r="AA108" s="54">
        <v>0</v>
      </c>
      <c r="AB108" s="54">
        <v>0</v>
      </c>
      <c r="AC108" s="54">
        <v>0</v>
      </c>
      <c r="AD108" s="54">
        <v>0</v>
      </c>
      <c r="AE108" s="54">
        <v>0</v>
      </c>
      <c r="AF108" s="54">
        <v>0</v>
      </c>
      <c r="AG108" s="54">
        <v>0</v>
      </c>
      <c r="AH108" s="54">
        <v>0</v>
      </c>
      <c r="AI108" s="54">
        <v>0</v>
      </c>
      <c r="AJ108" s="54">
        <v>0</v>
      </c>
      <c r="AK108" s="54">
        <v>0</v>
      </c>
      <c r="AL108" s="54">
        <v>0</v>
      </c>
      <c r="AM108" s="54">
        <v>0</v>
      </c>
      <c r="AN108" s="54">
        <v>0</v>
      </c>
      <c r="AO108" s="54">
        <v>0</v>
      </c>
      <c r="AP108" s="54">
        <v>0</v>
      </c>
      <c r="AQ108" s="54">
        <v>0</v>
      </c>
      <c r="AR108" s="54">
        <v>0</v>
      </c>
      <c r="AS108" s="54">
        <v>0</v>
      </c>
      <c r="AT108" s="54">
        <v>0</v>
      </c>
      <c r="AU108" s="54">
        <v>0</v>
      </c>
      <c r="AV108" s="54">
        <v>0</v>
      </c>
      <c r="AW108" s="54">
        <v>0</v>
      </c>
      <c r="AX108" s="54">
        <v>0</v>
      </c>
      <c r="AY108" s="54">
        <v>0</v>
      </c>
      <c r="AZ108" s="54">
        <v>0</v>
      </c>
      <c r="BA108" s="54">
        <v>0</v>
      </c>
      <c r="BB108" s="54">
        <v>0</v>
      </c>
      <c r="BC108" s="54">
        <v>0</v>
      </c>
      <c r="BD108" s="54">
        <v>0</v>
      </c>
      <c r="BE108" s="54">
        <v>0</v>
      </c>
    </row>
    <row r="109" spans="1:58" x14ac:dyDescent="0.2">
      <c r="A109" s="40">
        <v>100</v>
      </c>
      <c r="B109" s="45" t="s">
        <v>307</v>
      </c>
      <c r="C109" s="45" t="s">
        <v>309</v>
      </c>
      <c r="D109" s="38"/>
      <c r="E109" s="38" t="s">
        <v>194</v>
      </c>
      <c r="F109" s="38"/>
      <c r="H109" s="54">
        <v>0</v>
      </c>
      <c r="I109" s="54">
        <v>0</v>
      </c>
      <c r="J109" s="54">
        <v>0</v>
      </c>
      <c r="K109" s="54">
        <v>0</v>
      </c>
      <c r="L109" s="54">
        <v>0</v>
      </c>
      <c r="M109" s="54">
        <v>0</v>
      </c>
      <c r="N109" s="54">
        <v>0</v>
      </c>
      <c r="O109" s="54">
        <v>0</v>
      </c>
      <c r="P109" s="54">
        <v>0</v>
      </c>
      <c r="Q109" s="54">
        <v>0</v>
      </c>
      <c r="R109" s="54">
        <v>0</v>
      </c>
      <c r="S109" s="54">
        <v>0</v>
      </c>
      <c r="T109" s="54">
        <v>0</v>
      </c>
      <c r="U109" s="54">
        <v>0</v>
      </c>
      <c r="V109" s="54">
        <v>0</v>
      </c>
      <c r="W109" s="54">
        <v>0</v>
      </c>
      <c r="X109" s="54">
        <v>0</v>
      </c>
      <c r="Y109" s="54">
        <v>0</v>
      </c>
      <c r="Z109" s="54">
        <v>0</v>
      </c>
      <c r="AA109" s="54">
        <v>0</v>
      </c>
      <c r="AB109" s="54">
        <v>0</v>
      </c>
      <c r="AC109" s="54">
        <v>0</v>
      </c>
      <c r="AD109" s="54">
        <v>0</v>
      </c>
      <c r="AE109" s="54">
        <v>0</v>
      </c>
      <c r="AF109" s="54">
        <v>0</v>
      </c>
      <c r="AG109" s="54">
        <v>0</v>
      </c>
      <c r="AH109" s="54">
        <v>0</v>
      </c>
      <c r="AI109" s="54">
        <v>0</v>
      </c>
      <c r="AJ109" s="54">
        <v>0</v>
      </c>
      <c r="AK109" s="54">
        <v>0</v>
      </c>
      <c r="AL109" s="54">
        <v>0</v>
      </c>
      <c r="AM109" s="54">
        <v>0</v>
      </c>
      <c r="AN109" s="54">
        <v>0</v>
      </c>
      <c r="AO109" s="54">
        <v>0</v>
      </c>
      <c r="AP109" s="54">
        <v>0</v>
      </c>
      <c r="AQ109" s="54">
        <v>0</v>
      </c>
      <c r="AR109" s="54">
        <v>0</v>
      </c>
      <c r="AS109" s="54">
        <v>0</v>
      </c>
      <c r="AT109" s="54">
        <v>0</v>
      </c>
      <c r="AU109" s="54">
        <v>0</v>
      </c>
      <c r="AV109" s="54">
        <v>0</v>
      </c>
      <c r="AW109" s="54">
        <v>0</v>
      </c>
      <c r="AX109" s="54">
        <v>0</v>
      </c>
      <c r="AY109" s="54">
        <v>0</v>
      </c>
      <c r="AZ109" s="54">
        <v>0</v>
      </c>
      <c r="BA109" s="54">
        <v>0</v>
      </c>
      <c r="BB109" s="54">
        <v>0</v>
      </c>
      <c r="BC109" s="54">
        <v>0</v>
      </c>
      <c r="BD109" s="54">
        <v>0</v>
      </c>
      <c r="BE109" s="54">
        <v>0</v>
      </c>
      <c r="BF109" s="38"/>
    </row>
    <row r="110" spans="1:58" x14ac:dyDescent="0.2">
      <c r="A110" s="40">
        <v>101</v>
      </c>
      <c r="B110" s="45" t="s">
        <v>310</v>
      </c>
      <c r="C110" s="45" t="s">
        <v>311</v>
      </c>
      <c r="D110" s="38"/>
      <c r="E110" s="38" t="s">
        <v>194</v>
      </c>
      <c r="F110" s="38"/>
      <c r="H110" s="51"/>
      <c r="I110" s="51"/>
      <c r="J110" s="51"/>
      <c r="K110" s="51"/>
      <c r="L110" s="51"/>
      <c r="M110" s="51"/>
      <c r="N110" s="51"/>
      <c r="O110" s="51"/>
      <c r="P110" s="51"/>
      <c r="Q110" s="51"/>
      <c r="R110" s="51"/>
      <c r="S110" s="51"/>
      <c r="T110" s="51"/>
      <c r="U110" s="51"/>
      <c r="V110" s="51"/>
      <c r="W110" s="51"/>
      <c r="X110" s="51"/>
      <c r="Y110" s="51"/>
      <c r="Z110" s="51"/>
      <c r="AA110" s="51"/>
      <c r="AB110" s="51"/>
      <c r="AC110" s="51"/>
      <c r="AD110" s="50">
        <v>3.2000000000000001E-2</v>
      </c>
      <c r="AE110" s="50">
        <v>3.2000000000000001E-2</v>
      </c>
      <c r="AF110" s="61">
        <v>-2.5000000000000001E-2</v>
      </c>
      <c r="AG110" s="61">
        <v>-2.5000000000000001E-2</v>
      </c>
      <c r="AH110" s="61">
        <v>-2.5000000000000001E-2</v>
      </c>
      <c r="AI110" s="61">
        <v>-2.5000000000000001E-2</v>
      </c>
      <c r="AJ110" s="61">
        <v>-2.5000000000000001E-2</v>
      </c>
      <c r="AK110" s="61">
        <v>-2.5000000000000001E-2</v>
      </c>
      <c r="AL110" s="61">
        <v>-0.01</v>
      </c>
      <c r="AM110" s="61">
        <v>-0.01</v>
      </c>
      <c r="AN110" s="61">
        <v>-0.01</v>
      </c>
      <c r="AO110" s="61">
        <v>-0.01</v>
      </c>
      <c r="AP110" s="61">
        <v>-0.01</v>
      </c>
      <c r="AQ110" s="61">
        <v>-0.01</v>
      </c>
      <c r="AR110" s="61">
        <v>-0.01</v>
      </c>
      <c r="AS110" s="61">
        <v>0</v>
      </c>
      <c r="AT110" s="61">
        <v>0</v>
      </c>
      <c r="AU110" s="61">
        <v>0</v>
      </c>
      <c r="AV110" s="61">
        <v>0</v>
      </c>
      <c r="AW110" s="61">
        <v>0</v>
      </c>
      <c r="AX110" s="61">
        <v>0</v>
      </c>
      <c r="AY110" s="61">
        <v>0</v>
      </c>
      <c r="AZ110" s="61">
        <v>0</v>
      </c>
      <c r="BA110" s="61">
        <v>0</v>
      </c>
      <c r="BB110" s="61">
        <v>0</v>
      </c>
      <c r="BC110" s="61">
        <v>0</v>
      </c>
      <c r="BD110" s="61">
        <v>0</v>
      </c>
      <c r="BE110" s="61">
        <v>0</v>
      </c>
      <c r="BF110" s="38"/>
    </row>
    <row r="111" spans="1:58" x14ac:dyDescent="0.2">
      <c r="A111" s="40">
        <v>102</v>
      </c>
      <c r="B111" s="45" t="s">
        <v>310</v>
      </c>
      <c r="C111" s="45" t="s">
        <v>312</v>
      </c>
      <c r="D111" s="38"/>
      <c r="E111" s="38" t="s">
        <v>194</v>
      </c>
      <c r="F111" s="38"/>
      <c r="H111" s="51"/>
      <c r="I111" s="51"/>
      <c r="J111" s="51"/>
      <c r="K111" s="51"/>
      <c r="L111" s="51"/>
      <c r="M111" s="51"/>
      <c r="N111" s="51"/>
      <c r="O111" s="51"/>
      <c r="P111" s="51"/>
      <c r="Q111" s="51"/>
      <c r="R111" s="51"/>
      <c r="S111" s="51"/>
      <c r="T111" s="51"/>
      <c r="U111" s="51"/>
      <c r="V111" s="51"/>
      <c r="W111" s="51"/>
      <c r="X111" s="51"/>
      <c r="Y111" s="51"/>
      <c r="Z111" s="51"/>
      <c r="AA111" s="51"/>
      <c r="AB111" s="51"/>
      <c r="AC111" s="51"/>
      <c r="AD111" s="58">
        <v>3.2000000000000001E-2</v>
      </c>
      <c r="AE111" s="58">
        <v>3.2000000000000001E-2</v>
      </c>
      <c r="AF111" s="58">
        <v>-2.5000000000000001E-2</v>
      </c>
      <c r="AG111" s="58">
        <v>-2.5000000000000001E-2</v>
      </c>
      <c r="AH111" s="58">
        <v>-2.5000000000000001E-2</v>
      </c>
      <c r="AI111" s="58">
        <v>-2.5000000000000001E-2</v>
      </c>
      <c r="AJ111" s="58">
        <v>-2.5000000000000001E-2</v>
      </c>
      <c r="AK111" s="58">
        <v>-2.5000000000000001E-2</v>
      </c>
      <c r="AL111" s="58">
        <v>-0.01</v>
      </c>
      <c r="AM111" s="58">
        <v>-0.01</v>
      </c>
      <c r="AN111" s="58">
        <v>-0.01</v>
      </c>
      <c r="AO111" s="58">
        <v>-0.01</v>
      </c>
      <c r="AP111" s="58">
        <v>-0.01</v>
      </c>
      <c r="AQ111" s="58">
        <v>-0.01</v>
      </c>
      <c r="AR111" s="58">
        <v>-0.01</v>
      </c>
      <c r="AS111" s="58">
        <v>0</v>
      </c>
      <c r="AT111" s="58">
        <v>0</v>
      </c>
      <c r="AU111" s="58">
        <v>0</v>
      </c>
      <c r="AV111" s="58">
        <v>0</v>
      </c>
      <c r="AW111" s="58">
        <v>0</v>
      </c>
      <c r="AX111" s="58">
        <v>0</v>
      </c>
      <c r="AY111" s="58">
        <v>0</v>
      </c>
      <c r="AZ111" s="58">
        <v>0</v>
      </c>
      <c r="BA111" s="58">
        <v>0</v>
      </c>
      <c r="BB111" s="58">
        <v>0</v>
      </c>
      <c r="BC111" s="58">
        <v>0</v>
      </c>
      <c r="BD111" s="58">
        <v>0</v>
      </c>
      <c r="BE111" s="58">
        <v>0</v>
      </c>
      <c r="BF111" s="38"/>
    </row>
    <row r="112" spans="1:58" x14ac:dyDescent="0.2">
      <c r="A112" s="40">
        <v>103</v>
      </c>
      <c r="B112" s="45" t="s">
        <v>310</v>
      </c>
      <c r="C112" s="45" t="s">
        <v>313</v>
      </c>
      <c r="D112" s="38"/>
      <c r="E112" s="38" t="s">
        <v>194</v>
      </c>
      <c r="F112" s="38"/>
      <c r="H112" s="51"/>
      <c r="I112" s="51"/>
      <c r="J112" s="51"/>
      <c r="K112" s="51"/>
      <c r="L112" s="51"/>
      <c r="M112" s="51"/>
      <c r="N112" s="51"/>
      <c r="O112" s="51"/>
      <c r="P112" s="51"/>
      <c r="Q112" s="51"/>
      <c r="R112" s="51"/>
      <c r="S112" s="51"/>
      <c r="T112" s="51"/>
      <c r="U112" s="51"/>
      <c r="V112" s="51"/>
      <c r="W112" s="51"/>
      <c r="X112" s="51"/>
      <c r="Y112" s="51"/>
      <c r="Z112" s="51"/>
      <c r="AA112" s="51"/>
      <c r="AB112" s="51"/>
      <c r="AC112" s="51"/>
      <c r="AD112" s="58">
        <v>3.2000000000000001E-2</v>
      </c>
      <c r="AE112" s="58">
        <v>3.2000000000000001E-2</v>
      </c>
      <c r="AF112" s="58">
        <v>-2.5000000000000001E-2</v>
      </c>
      <c r="AG112" s="58">
        <v>-2.5000000000000001E-2</v>
      </c>
      <c r="AH112" s="58">
        <v>-2.5000000000000001E-2</v>
      </c>
      <c r="AI112" s="58">
        <v>-2.5000000000000001E-2</v>
      </c>
      <c r="AJ112" s="58">
        <v>-2.5000000000000001E-2</v>
      </c>
      <c r="AK112" s="58">
        <v>-2.5000000000000001E-2</v>
      </c>
      <c r="AL112" s="58">
        <v>-0.01</v>
      </c>
      <c r="AM112" s="58">
        <v>-0.01</v>
      </c>
      <c r="AN112" s="58">
        <v>-0.01</v>
      </c>
      <c r="AO112" s="58">
        <v>-0.01</v>
      </c>
      <c r="AP112" s="58">
        <v>-0.01</v>
      </c>
      <c r="AQ112" s="58">
        <v>-0.01</v>
      </c>
      <c r="AR112" s="58">
        <v>-0.01</v>
      </c>
      <c r="AS112" s="58">
        <v>0</v>
      </c>
      <c r="AT112" s="58">
        <v>0</v>
      </c>
      <c r="AU112" s="58">
        <v>0</v>
      </c>
      <c r="AV112" s="58">
        <v>0</v>
      </c>
      <c r="AW112" s="58">
        <v>0</v>
      </c>
      <c r="AX112" s="58">
        <v>0</v>
      </c>
      <c r="AY112" s="58">
        <v>0</v>
      </c>
      <c r="AZ112" s="58">
        <v>0</v>
      </c>
      <c r="BA112" s="58">
        <v>0</v>
      </c>
      <c r="BB112" s="58">
        <v>0</v>
      </c>
      <c r="BC112" s="58">
        <v>0</v>
      </c>
      <c r="BD112" s="58">
        <v>0</v>
      </c>
      <c r="BE112" s="58">
        <v>0</v>
      </c>
      <c r="BF112" s="38"/>
    </row>
    <row r="113" spans="1:58" x14ac:dyDescent="0.2">
      <c r="A113" s="40">
        <v>104</v>
      </c>
      <c r="B113" s="45" t="s">
        <v>310</v>
      </c>
      <c r="C113" s="45" t="s">
        <v>314</v>
      </c>
      <c r="D113" s="38"/>
      <c r="E113" s="38" t="s">
        <v>194</v>
      </c>
      <c r="F113" s="38"/>
      <c r="H113" s="51"/>
      <c r="I113" s="51"/>
      <c r="J113" s="51"/>
      <c r="K113" s="51"/>
      <c r="L113" s="51"/>
      <c r="M113" s="51"/>
      <c r="N113" s="51"/>
      <c r="O113" s="51"/>
      <c r="P113" s="51"/>
      <c r="Q113" s="51"/>
      <c r="R113" s="51"/>
      <c r="S113" s="51"/>
      <c r="T113" s="51"/>
      <c r="U113" s="51"/>
      <c r="V113" s="51"/>
      <c r="W113" s="51"/>
      <c r="X113" s="51"/>
      <c r="Y113" s="51"/>
      <c r="Z113" s="51"/>
      <c r="AA113" s="51"/>
      <c r="AB113" s="51"/>
      <c r="AC113" s="51"/>
      <c r="AD113" s="50">
        <v>-0.02</v>
      </c>
      <c r="AE113" s="50">
        <v>-0.02</v>
      </c>
      <c r="AF113" s="61">
        <v>-2.5000000000000001E-2</v>
      </c>
      <c r="AG113" s="61">
        <v>-2.5000000000000001E-2</v>
      </c>
      <c r="AH113" s="61">
        <v>-2.5000000000000001E-2</v>
      </c>
      <c r="AI113" s="61">
        <v>-2.5000000000000001E-2</v>
      </c>
      <c r="AJ113" s="61">
        <v>-2.5000000000000001E-2</v>
      </c>
      <c r="AK113" s="61">
        <v>0</v>
      </c>
      <c r="AL113" s="61">
        <v>0</v>
      </c>
      <c r="AM113" s="61">
        <v>0</v>
      </c>
      <c r="AN113" s="61">
        <v>0</v>
      </c>
      <c r="AO113" s="61">
        <v>0</v>
      </c>
      <c r="AP113" s="61">
        <v>0</v>
      </c>
      <c r="AQ113" s="61">
        <v>0</v>
      </c>
      <c r="AR113" s="61">
        <v>0</v>
      </c>
      <c r="AS113" s="61">
        <v>0</v>
      </c>
      <c r="AT113" s="61">
        <v>0</v>
      </c>
      <c r="AU113" s="61">
        <v>0</v>
      </c>
      <c r="AV113" s="61">
        <v>0</v>
      </c>
      <c r="AW113" s="61">
        <v>0</v>
      </c>
      <c r="AX113" s="61">
        <v>0</v>
      </c>
      <c r="AY113" s="61">
        <v>0</v>
      </c>
      <c r="AZ113" s="61">
        <v>0</v>
      </c>
      <c r="BA113" s="61">
        <v>0</v>
      </c>
      <c r="BB113" s="61">
        <v>0</v>
      </c>
      <c r="BC113" s="61">
        <v>0</v>
      </c>
      <c r="BD113" s="61">
        <v>0</v>
      </c>
      <c r="BE113" s="61">
        <v>0</v>
      </c>
      <c r="BF113" s="38"/>
    </row>
    <row r="114" spans="1:58" x14ac:dyDescent="0.2">
      <c r="A114" s="40">
        <v>105</v>
      </c>
      <c r="B114" s="45" t="s">
        <v>310</v>
      </c>
      <c r="C114" s="45" t="s">
        <v>315</v>
      </c>
      <c r="D114" s="38"/>
      <c r="E114" s="38" t="s">
        <v>194</v>
      </c>
      <c r="F114" s="38"/>
      <c r="H114" s="51"/>
      <c r="I114" s="51"/>
      <c r="J114" s="51"/>
      <c r="K114" s="51"/>
      <c r="L114" s="51"/>
      <c r="M114" s="51"/>
      <c r="N114" s="51"/>
      <c r="O114" s="51"/>
      <c r="P114" s="51"/>
      <c r="Q114" s="51"/>
      <c r="R114" s="51"/>
      <c r="S114" s="51"/>
      <c r="T114" s="51"/>
      <c r="U114" s="51"/>
      <c r="V114" s="51"/>
      <c r="W114" s="51"/>
      <c r="X114" s="51"/>
      <c r="Y114" s="51"/>
      <c r="Z114" s="51"/>
      <c r="AA114" s="51"/>
      <c r="AB114" s="51"/>
      <c r="AC114" s="51"/>
      <c r="AD114" s="58">
        <v>-0.02</v>
      </c>
      <c r="AE114" s="58">
        <v>-0.02</v>
      </c>
      <c r="AF114" s="58">
        <v>-2.5000000000000001E-2</v>
      </c>
      <c r="AG114" s="58">
        <v>-2.5000000000000001E-2</v>
      </c>
      <c r="AH114" s="58">
        <v>-2.5000000000000001E-2</v>
      </c>
      <c r="AI114" s="58">
        <v>-2.5000000000000001E-2</v>
      </c>
      <c r="AJ114" s="58">
        <v>-2.5000000000000001E-2</v>
      </c>
      <c r="AK114" s="58">
        <v>0</v>
      </c>
      <c r="AL114" s="58">
        <v>0</v>
      </c>
      <c r="AM114" s="58">
        <v>0</v>
      </c>
      <c r="AN114" s="58">
        <v>0</v>
      </c>
      <c r="AO114" s="58">
        <v>0</v>
      </c>
      <c r="AP114" s="58">
        <v>0</v>
      </c>
      <c r="AQ114" s="58">
        <v>0</v>
      </c>
      <c r="AR114" s="58">
        <v>0</v>
      </c>
      <c r="AS114" s="58">
        <v>0</v>
      </c>
      <c r="AT114" s="58">
        <v>0</v>
      </c>
      <c r="AU114" s="58">
        <v>0</v>
      </c>
      <c r="AV114" s="58">
        <v>0</v>
      </c>
      <c r="AW114" s="58">
        <v>0</v>
      </c>
      <c r="AX114" s="58">
        <v>0</v>
      </c>
      <c r="AY114" s="58">
        <v>0</v>
      </c>
      <c r="AZ114" s="58">
        <v>0</v>
      </c>
      <c r="BA114" s="58">
        <v>0</v>
      </c>
      <c r="BB114" s="58">
        <v>0</v>
      </c>
      <c r="BC114" s="58">
        <v>0</v>
      </c>
      <c r="BD114" s="58">
        <v>0</v>
      </c>
      <c r="BE114" s="58">
        <v>0</v>
      </c>
      <c r="BF114" s="38"/>
    </row>
    <row r="115" spans="1:58" x14ac:dyDescent="0.2">
      <c r="A115" s="40">
        <v>106</v>
      </c>
      <c r="B115" s="45" t="s">
        <v>310</v>
      </c>
      <c r="C115" s="45" t="s">
        <v>316</v>
      </c>
      <c r="D115" s="38"/>
      <c r="E115" s="38" t="s">
        <v>194</v>
      </c>
      <c r="F115" s="38"/>
      <c r="H115" s="51"/>
      <c r="I115" s="51"/>
      <c r="J115" s="51"/>
      <c r="K115" s="51"/>
      <c r="L115" s="51"/>
      <c r="M115" s="51"/>
      <c r="N115" s="51"/>
      <c r="O115" s="51"/>
      <c r="P115" s="51"/>
      <c r="Q115" s="51"/>
      <c r="R115" s="51"/>
      <c r="S115" s="51"/>
      <c r="T115" s="51"/>
      <c r="U115" s="51"/>
      <c r="V115" s="51"/>
      <c r="W115" s="51"/>
      <c r="X115" s="51"/>
      <c r="Y115" s="51"/>
      <c r="Z115" s="51"/>
      <c r="AA115" s="51"/>
      <c r="AB115" s="51"/>
      <c r="AC115" s="51"/>
      <c r="AD115" s="58">
        <v>-0.02</v>
      </c>
      <c r="AE115" s="58">
        <v>-0.02</v>
      </c>
      <c r="AF115" s="69">
        <v>-2.5000000000000001E-2</v>
      </c>
      <c r="AG115" s="69">
        <v>-2.5000000000000001E-2</v>
      </c>
      <c r="AH115" s="69">
        <v>-2.5000000000000001E-2</v>
      </c>
      <c r="AI115" s="69">
        <v>-2.5000000000000001E-2</v>
      </c>
      <c r="AJ115" s="69">
        <v>-2.5000000000000001E-2</v>
      </c>
      <c r="AK115" s="69">
        <v>0</v>
      </c>
      <c r="AL115" s="69">
        <v>0</v>
      </c>
      <c r="AM115" s="69">
        <v>0</v>
      </c>
      <c r="AN115" s="69">
        <v>0</v>
      </c>
      <c r="AO115" s="69">
        <v>0</v>
      </c>
      <c r="AP115" s="69">
        <v>0</v>
      </c>
      <c r="AQ115" s="69">
        <v>0</v>
      </c>
      <c r="AR115" s="69">
        <v>0</v>
      </c>
      <c r="AS115" s="69">
        <v>0</v>
      </c>
      <c r="AT115" s="69">
        <v>0</v>
      </c>
      <c r="AU115" s="69">
        <v>0</v>
      </c>
      <c r="AV115" s="69">
        <v>0</v>
      </c>
      <c r="AW115" s="69">
        <v>0</v>
      </c>
      <c r="AX115" s="69">
        <v>0</v>
      </c>
      <c r="AY115" s="69">
        <v>0</v>
      </c>
      <c r="AZ115" s="69">
        <v>0</v>
      </c>
      <c r="BA115" s="69">
        <v>0</v>
      </c>
      <c r="BB115" s="69">
        <v>0</v>
      </c>
      <c r="BC115" s="69">
        <v>0</v>
      </c>
      <c r="BD115" s="69">
        <v>0</v>
      </c>
      <c r="BE115" s="69">
        <v>0</v>
      </c>
      <c r="BF115" s="38"/>
    </row>
    <row r="116" spans="1:58" x14ac:dyDescent="0.2">
      <c r="A116" s="40">
        <v>107</v>
      </c>
      <c r="B116" s="45" t="s">
        <v>317</v>
      </c>
      <c r="C116" s="45" t="s">
        <v>251</v>
      </c>
      <c r="D116" s="38"/>
      <c r="E116" s="38" t="s">
        <v>194</v>
      </c>
      <c r="H116" s="51"/>
      <c r="I116" s="51"/>
      <c r="J116" s="51"/>
      <c r="K116" s="51"/>
      <c r="L116" s="51"/>
      <c r="M116" s="51"/>
      <c r="N116" s="51"/>
      <c r="O116" s="51"/>
      <c r="P116" s="51"/>
      <c r="Q116" s="51"/>
      <c r="R116" s="51"/>
      <c r="S116" s="51"/>
      <c r="T116" s="51"/>
      <c r="U116" s="51"/>
      <c r="V116" s="51"/>
      <c r="W116" s="51"/>
      <c r="X116" s="51"/>
      <c r="Y116" s="51"/>
      <c r="Z116" s="51"/>
      <c r="AA116" s="51"/>
      <c r="AB116" s="51"/>
      <c r="AC116" s="51"/>
      <c r="AD116" s="50">
        <v>-8.9999999999999993E-3</v>
      </c>
      <c r="AE116" s="50">
        <v>-8.9999999999999993E-3</v>
      </c>
      <c r="AF116" s="65">
        <v>0.02</v>
      </c>
      <c r="AG116" s="65">
        <v>5.0000000000000001E-3</v>
      </c>
      <c r="AH116" s="65">
        <v>5.0000000000000001E-3</v>
      </c>
      <c r="AI116" s="65">
        <v>5.0000000000000001E-3</v>
      </c>
      <c r="AJ116" s="65">
        <v>0</v>
      </c>
      <c r="AK116" s="65">
        <v>0</v>
      </c>
      <c r="AL116" s="65">
        <v>0</v>
      </c>
      <c r="AM116" s="65">
        <v>0</v>
      </c>
      <c r="AN116" s="65">
        <v>0</v>
      </c>
      <c r="AO116" s="65">
        <v>0</v>
      </c>
      <c r="AP116" s="65">
        <v>0</v>
      </c>
      <c r="AQ116" s="65">
        <v>0</v>
      </c>
      <c r="AR116" s="65">
        <v>0</v>
      </c>
      <c r="AS116" s="65">
        <v>0</v>
      </c>
      <c r="AT116" s="65">
        <v>0</v>
      </c>
      <c r="AU116" s="65">
        <v>0</v>
      </c>
      <c r="AV116" s="65">
        <v>0</v>
      </c>
      <c r="AW116" s="65">
        <v>0</v>
      </c>
      <c r="AX116" s="65">
        <v>0</v>
      </c>
      <c r="AY116" s="65">
        <v>0</v>
      </c>
      <c r="AZ116" s="65">
        <v>0</v>
      </c>
      <c r="BA116" s="65">
        <v>0</v>
      </c>
      <c r="BB116" s="65">
        <v>0</v>
      </c>
      <c r="BC116" s="65">
        <v>0</v>
      </c>
      <c r="BD116" s="65">
        <v>0</v>
      </c>
      <c r="BE116" s="65">
        <v>0</v>
      </c>
      <c r="BF116" s="38"/>
    </row>
    <row r="117" spans="1:58" x14ac:dyDescent="0.2">
      <c r="A117" s="40">
        <v>108</v>
      </c>
      <c r="B117" s="45" t="s">
        <v>317</v>
      </c>
      <c r="C117" s="45" t="s">
        <v>252</v>
      </c>
      <c r="D117" s="38"/>
      <c r="E117" s="38" t="s">
        <v>194</v>
      </c>
      <c r="F117" s="38"/>
      <c r="H117" s="51"/>
      <c r="I117" s="51"/>
      <c r="J117" s="51"/>
      <c r="K117" s="51"/>
      <c r="L117" s="51"/>
      <c r="M117" s="51"/>
      <c r="N117" s="51"/>
      <c r="O117" s="51"/>
      <c r="P117" s="51"/>
      <c r="Q117" s="51"/>
      <c r="R117" s="51"/>
      <c r="S117" s="51"/>
      <c r="T117" s="51"/>
      <c r="U117" s="51"/>
      <c r="V117" s="51"/>
      <c r="W117" s="51"/>
      <c r="X117" s="51"/>
      <c r="Y117" s="51"/>
      <c r="Z117" s="51"/>
      <c r="AA117" s="51"/>
      <c r="AB117" s="51"/>
      <c r="AC117" s="51"/>
      <c r="AD117" s="50">
        <v>-8.9999999999999993E-3</v>
      </c>
      <c r="AE117" s="50">
        <v>-8.9999999999999993E-3</v>
      </c>
      <c r="AF117" s="66">
        <v>0.02</v>
      </c>
      <c r="AG117" s="66">
        <v>5.0000000000000001E-3</v>
      </c>
      <c r="AH117" s="66">
        <v>5.0000000000000001E-3</v>
      </c>
      <c r="AI117" s="66">
        <v>5.0000000000000001E-3</v>
      </c>
      <c r="AJ117" s="66">
        <v>0</v>
      </c>
      <c r="AK117" s="66">
        <v>0</v>
      </c>
      <c r="AL117" s="66">
        <v>0</v>
      </c>
      <c r="AM117" s="66">
        <v>0</v>
      </c>
      <c r="AN117" s="66">
        <v>0</v>
      </c>
      <c r="AO117" s="66">
        <v>0</v>
      </c>
      <c r="AP117" s="66">
        <v>0</v>
      </c>
      <c r="AQ117" s="66">
        <v>0</v>
      </c>
      <c r="AR117" s="66">
        <v>0</v>
      </c>
      <c r="AS117" s="66">
        <v>0</v>
      </c>
      <c r="AT117" s="66">
        <v>0</v>
      </c>
      <c r="AU117" s="66">
        <v>0</v>
      </c>
      <c r="AV117" s="66">
        <v>0</v>
      </c>
      <c r="AW117" s="66">
        <v>0</v>
      </c>
      <c r="AX117" s="66">
        <v>0</v>
      </c>
      <c r="AY117" s="66">
        <v>0</v>
      </c>
      <c r="AZ117" s="66">
        <v>0</v>
      </c>
      <c r="BA117" s="66">
        <v>0</v>
      </c>
      <c r="BB117" s="66">
        <v>0</v>
      </c>
      <c r="BC117" s="66">
        <v>0</v>
      </c>
      <c r="BD117" s="66">
        <v>0</v>
      </c>
      <c r="BE117" s="66">
        <v>0</v>
      </c>
      <c r="BF117" s="38"/>
    </row>
    <row r="118" spans="1:58" x14ac:dyDescent="0.2">
      <c r="A118" s="40">
        <v>109</v>
      </c>
      <c r="B118" s="45" t="s">
        <v>317</v>
      </c>
      <c r="C118" s="45" t="s">
        <v>253</v>
      </c>
      <c r="D118" s="38"/>
      <c r="E118" s="38" t="s">
        <v>194</v>
      </c>
      <c r="F118" s="38"/>
      <c r="H118" s="51"/>
      <c r="I118" s="51"/>
      <c r="J118" s="51"/>
      <c r="K118" s="51"/>
      <c r="L118" s="51"/>
      <c r="M118" s="51"/>
      <c r="N118" s="51"/>
      <c r="O118" s="51"/>
      <c r="P118" s="51"/>
      <c r="Q118" s="51"/>
      <c r="R118" s="51"/>
      <c r="S118" s="51"/>
      <c r="T118" s="51"/>
      <c r="U118" s="51"/>
      <c r="V118" s="51"/>
      <c r="W118" s="51"/>
      <c r="X118" s="51"/>
      <c r="Y118" s="51"/>
      <c r="Z118" s="51"/>
      <c r="AA118" s="51"/>
      <c r="AB118" s="51"/>
      <c r="AC118" s="51"/>
      <c r="AD118" s="50">
        <v>-8.9999999999999993E-3</v>
      </c>
      <c r="AE118" s="50">
        <v>-8.9999999999999993E-3</v>
      </c>
      <c r="AF118" s="66">
        <v>0.02</v>
      </c>
      <c r="AG118" s="66">
        <v>5.0000000000000001E-3</v>
      </c>
      <c r="AH118" s="66">
        <v>5.0000000000000001E-3</v>
      </c>
      <c r="AI118" s="66">
        <v>5.0000000000000001E-3</v>
      </c>
      <c r="AJ118" s="66">
        <v>0</v>
      </c>
      <c r="AK118" s="66">
        <v>0</v>
      </c>
      <c r="AL118" s="66">
        <v>0</v>
      </c>
      <c r="AM118" s="66">
        <v>0</v>
      </c>
      <c r="AN118" s="66">
        <v>0</v>
      </c>
      <c r="AO118" s="66">
        <v>0</v>
      </c>
      <c r="AP118" s="66">
        <v>0</v>
      </c>
      <c r="AQ118" s="66">
        <v>0</v>
      </c>
      <c r="AR118" s="66">
        <v>0</v>
      </c>
      <c r="AS118" s="66">
        <v>0</v>
      </c>
      <c r="AT118" s="66">
        <v>0</v>
      </c>
      <c r="AU118" s="66">
        <v>0</v>
      </c>
      <c r="AV118" s="66">
        <v>0</v>
      </c>
      <c r="AW118" s="66">
        <v>0</v>
      </c>
      <c r="AX118" s="66">
        <v>0</v>
      </c>
      <c r="AY118" s="66">
        <v>0</v>
      </c>
      <c r="AZ118" s="66">
        <v>0</v>
      </c>
      <c r="BA118" s="66">
        <v>0</v>
      </c>
      <c r="BB118" s="66">
        <v>0</v>
      </c>
      <c r="BC118" s="66">
        <v>0</v>
      </c>
      <c r="BD118" s="66">
        <v>0</v>
      </c>
      <c r="BE118" s="66">
        <v>0</v>
      </c>
      <c r="BF118" s="38"/>
    </row>
    <row r="119" spans="1:58" x14ac:dyDescent="0.2">
      <c r="A119" s="40">
        <v>110</v>
      </c>
      <c r="B119" s="45" t="s">
        <v>241</v>
      </c>
      <c r="C119" s="45" t="s">
        <v>318</v>
      </c>
      <c r="D119" s="38"/>
      <c r="E119" s="38" t="s">
        <v>194</v>
      </c>
      <c r="F119" s="38"/>
      <c r="H119" s="51"/>
      <c r="I119" s="51"/>
      <c r="J119" s="51"/>
      <c r="K119" s="51"/>
      <c r="L119" s="51"/>
      <c r="M119" s="51"/>
      <c r="N119" s="51"/>
      <c r="O119" s="51"/>
      <c r="P119" s="51"/>
      <c r="Q119" s="51"/>
      <c r="R119" s="51"/>
      <c r="S119" s="51"/>
      <c r="T119" s="51"/>
      <c r="U119" s="51"/>
      <c r="V119" s="51"/>
      <c r="W119" s="51"/>
      <c r="X119" s="51"/>
      <c r="Y119" s="51"/>
      <c r="Z119" s="51"/>
      <c r="AA119" s="51"/>
      <c r="AB119" s="51"/>
      <c r="AC119" s="51"/>
      <c r="AD119" s="55">
        <v>-0.02</v>
      </c>
      <c r="AE119" s="55">
        <v>-0.02</v>
      </c>
      <c r="AF119" s="55">
        <v>-0.02</v>
      </c>
      <c r="AG119" s="55">
        <v>-0.02</v>
      </c>
      <c r="AH119" s="55">
        <v>-0.02</v>
      </c>
      <c r="AI119" s="55">
        <v>-0.02</v>
      </c>
      <c r="AJ119" s="55">
        <v>-0.02</v>
      </c>
      <c r="AK119" s="55">
        <v>-0.02</v>
      </c>
      <c r="AL119" s="55">
        <v>-0.02</v>
      </c>
      <c r="AM119" s="55">
        <v>-0.02</v>
      </c>
      <c r="AN119" s="55">
        <v>-0.02</v>
      </c>
      <c r="AO119" s="55">
        <v>-0.02</v>
      </c>
      <c r="AP119" s="55">
        <v>-0.02</v>
      </c>
      <c r="AQ119" s="55">
        <v>-0.02</v>
      </c>
      <c r="AR119" s="55">
        <v>-0.02</v>
      </c>
      <c r="AS119" s="55">
        <v>0</v>
      </c>
      <c r="AT119" s="55">
        <v>0</v>
      </c>
      <c r="AU119" s="55">
        <v>0</v>
      </c>
      <c r="AV119" s="55">
        <v>0</v>
      </c>
      <c r="AW119" s="55">
        <v>0</v>
      </c>
      <c r="AX119" s="55">
        <v>0</v>
      </c>
      <c r="AY119" s="55">
        <v>0</v>
      </c>
      <c r="AZ119" s="55">
        <v>0</v>
      </c>
      <c r="BA119" s="55">
        <v>0</v>
      </c>
      <c r="BB119" s="55">
        <v>0</v>
      </c>
      <c r="BC119" s="55">
        <v>0</v>
      </c>
      <c r="BD119" s="55">
        <v>0</v>
      </c>
      <c r="BE119" s="55">
        <v>0</v>
      </c>
      <c r="BF119" s="38"/>
    </row>
    <row r="120" spans="1:58" x14ac:dyDescent="0.2">
      <c r="A120" s="40">
        <v>111</v>
      </c>
      <c r="B120" s="45" t="s">
        <v>241</v>
      </c>
      <c r="C120" s="45" t="s">
        <v>319</v>
      </c>
      <c r="D120" s="38"/>
      <c r="E120" s="38" t="s">
        <v>194</v>
      </c>
      <c r="F120" s="38"/>
      <c r="H120" s="51"/>
      <c r="I120" s="51"/>
      <c r="J120" s="51"/>
      <c r="K120" s="51"/>
      <c r="L120" s="51"/>
      <c r="M120" s="51"/>
      <c r="N120" s="51"/>
      <c r="O120" s="51"/>
      <c r="P120" s="51"/>
      <c r="Q120" s="51"/>
      <c r="R120" s="51"/>
      <c r="S120" s="51"/>
      <c r="T120" s="51"/>
      <c r="U120" s="51"/>
      <c r="V120" s="51"/>
      <c r="W120" s="51"/>
      <c r="X120" s="51"/>
      <c r="Y120" s="51"/>
      <c r="Z120" s="51"/>
      <c r="AA120" s="51"/>
      <c r="AB120" s="51"/>
      <c r="AC120" s="51"/>
      <c r="AD120" s="50">
        <v>-7.8E-2</v>
      </c>
      <c r="AE120" s="50">
        <v>-7.8E-2</v>
      </c>
      <c r="AF120" s="55">
        <v>-2.5000000000000001E-2</v>
      </c>
      <c r="AG120" s="55">
        <v>-2.5000000000000001E-2</v>
      </c>
      <c r="AH120" s="55">
        <v>-2.5000000000000001E-2</v>
      </c>
      <c r="AI120" s="55">
        <v>-2.5000000000000001E-2</v>
      </c>
      <c r="AJ120" s="55">
        <v>-2.5000000000000001E-2</v>
      </c>
      <c r="AK120" s="55">
        <v>-2.5000000000000001E-2</v>
      </c>
      <c r="AL120" s="55">
        <v>-0.01</v>
      </c>
      <c r="AM120" s="55">
        <v>-0.01</v>
      </c>
      <c r="AN120" s="55">
        <v>-0.01</v>
      </c>
      <c r="AO120" s="55">
        <v>-0.01</v>
      </c>
      <c r="AP120" s="55">
        <v>-0.01</v>
      </c>
      <c r="AQ120" s="55">
        <v>-0.01</v>
      </c>
      <c r="AR120" s="55">
        <v>-0.01</v>
      </c>
      <c r="AS120" s="55">
        <v>0</v>
      </c>
      <c r="AT120" s="55">
        <v>0</v>
      </c>
      <c r="AU120" s="55">
        <v>0</v>
      </c>
      <c r="AV120" s="55">
        <v>0</v>
      </c>
      <c r="AW120" s="55">
        <v>0</v>
      </c>
      <c r="AX120" s="55">
        <v>0</v>
      </c>
      <c r="AY120" s="55">
        <v>0</v>
      </c>
      <c r="AZ120" s="55">
        <v>0</v>
      </c>
      <c r="BA120" s="55">
        <v>0</v>
      </c>
      <c r="BB120" s="55">
        <v>0</v>
      </c>
      <c r="BC120" s="55">
        <v>0</v>
      </c>
      <c r="BD120" s="55">
        <v>0</v>
      </c>
      <c r="BE120" s="55">
        <v>0</v>
      </c>
      <c r="BF120" s="38"/>
    </row>
    <row r="121" spans="1:58" x14ac:dyDescent="0.2">
      <c r="A121" s="40">
        <v>112</v>
      </c>
      <c r="B121" s="45" t="s">
        <v>195</v>
      </c>
      <c r="C121" s="45" t="s">
        <v>320</v>
      </c>
      <c r="D121" s="38"/>
      <c r="E121" s="38" t="s">
        <v>194</v>
      </c>
      <c r="F121" s="38"/>
      <c r="H121" s="46"/>
      <c r="I121" s="46"/>
      <c r="J121" s="46"/>
      <c r="K121" s="46"/>
      <c r="L121" s="46"/>
      <c r="M121" s="46"/>
      <c r="N121" s="46"/>
      <c r="O121" s="46"/>
      <c r="P121" s="46"/>
      <c r="Q121" s="46"/>
      <c r="R121" s="46"/>
      <c r="S121" s="46"/>
      <c r="T121" s="46"/>
      <c r="U121" s="46"/>
      <c r="V121" s="46"/>
      <c r="W121" s="46"/>
      <c r="X121" s="46"/>
      <c r="Y121" s="46"/>
      <c r="Z121" s="46"/>
      <c r="AA121" s="46"/>
      <c r="AB121" s="46"/>
      <c r="AC121" s="51"/>
      <c r="AD121" s="50">
        <v>-0.17799999999999999</v>
      </c>
      <c r="AE121" s="50">
        <v>-0.17799999999999999</v>
      </c>
      <c r="AF121" s="65">
        <v>0.02</v>
      </c>
      <c r="AG121" s="65">
        <v>5.0000000000000001E-3</v>
      </c>
      <c r="AH121" s="65">
        <v>5.0000000000000001E-3</v>
      </c>
      <c r="AI121" s="65">
        <v>5.0000000000000001E-3</v>
      </c>
      <c r="AJ121" s="65">
        <v>0</v>
      </c>
      <c r="AK121" s="65">
        <v>0</v>
      </c>
      <c r="AL121" s="65">
        <v>0</v>
      </c>
      <c r="AM121" s="65">
        <v>0</v>
      </c>
      <c r="AN121" s="65">
        <v>0</v>
      </c>
      <c r="AO121" s="65">
        <v>0</v>
      </c>
      <c r="AP121" s="65">
        <v>0</v>
      </c>
      <c r="AQ121" s="65">
        <v>0</v>
      </c>
      <c r="AR121" s="65">
        <v>0</v>
      </c>
      <c r="AS121" s="65">
        <v>0</v>
      </c>
      <c r="AT121" s="65">
        <v>0</v>
      </c>
      <c r="AU121" s="65">
        <v>0</v>
      </c>
      <c r="AV121" s="65">
        <v>0</v>
      </c>
      <c r="AW121" s="65">
        <v>0</v>
      </c>
      <c r="AX121" s="65">
        <v>0</v>
      </c>
      <c r="AY121" s="65">
        <v>0</v>
      </c>
      <c r="AZ121" s="65">
        <v>0</v>
      </c>
      <c r="BA121" s="65">
        <v>0</v>
      </c>
      <c r="BB121" s="65">
        <v>0</v>
      </c>
      <c r="BC121" s="65">
        <v>0</v>
      </c>
      <c r="BD121" s="65">
        <v>0</v>
      </c>
      <c r="BE121" s="65">
        <v>0</v>
      </c>
      <c r="BF121" s="38"/>
    </row>
    <row r="122" spans="1:58" x14ac:dyDescent="0.2">
      <c r="A122" s="40">
        <v>113</v>
      </c>
      <c r="B122" s="45" t="s">
        <v>195</v>
      </c>
      <c r="C122" s="45" t="s">
        <v>321</v>
      </c>
      <c r="D122" s="38"/>
      <c r="E122" s="38" t="s">
        <v>194</v>
      </c>
      <c r="F122" s="38"/>
      <c r="H122" s="46"/>
      <c r="I122" s="46"/>
      <c r="J122" s="46"/>
      <c r="K122" s="46"/>
      <c r="L122" s="46"/>
      <c r="M122" s="46"/>
      <c r="N122" s="46"/>
      <c r="O122" s="46"/>
      <c r="P122" s="46"/>
      <c r="Q122" s="46"/>
      <c r="R122" s="46"/>
      <c r="S122" s="46"/>
      <c r="T122" s="46"/>
      <c r="U122" s="46"/>
      <c r="V122" s="46"/>
      <c r="W122" s="46"/>
      <c r="X122" s="46"/>
      <c r="Y122" s="46"/>
      <c r="Z122" s="46"/>
      <c r="AA122" s="46"/>
      <c r="AB122" s="46"/>
      <c r="AC122" s="51"/>
      <c r="AD122" s="50">
        <v>-0.17799999999999999</v>
      </c>
      <c r="AE122" s="50">
        <v>-0.17799999999999999</v>
      </c>
      <c r="AF122" s="66">
        <v>0.02</v>
      </c>
      <c r="AG122" s="66">
        <v>5.0000000000000001E-3</v>
      </c>
      <c r="AH122" s="66">
        <v>5.0000000000000001E-3</v>
      </c>
      <c r="AI122" s="66">
        <v>5.0000000000000001E-3</v>
      </c>
      <c r="AJ122" s="66">
        <v>0</v>
      </c>
      <c r="AK122" s="66">
        <v>0</v>
      </c>
      <c r="AL122" s="66">
        <v>0</v>
      </c>
      <c r="AM122" s="66">
        <v>0</v>
      </c>
      <c r="AN122" s="66">
        <v>0</v>
      </c>
      <c r="AO122" s="66">
        <v>0</v>
      </c>
      <c r="AP122" s="66">
        <v>0</v>
      </c>
      <c r="AQ122" s="66">
        <v>0</v>
      </c>
      <c r="AR122" s="66">
        <v>0</v>
      </c>
      <c r="AS122" s="66">
        <v>0</v>
      </c>
      <c r="AT122" s="66">
        <v>0</v>
      </c>
      <c r="AU122" s="66">
        <v>0</v>
      </c>
      <c r="AV122" s="66">
        <v>0</v>
      </c>
      <c r="AW122" s="66">
        <v>0</v>
      </c>
      <c r="AX122" s="66">
        <v>0</v>
      </c>
      <c r="AY122" s="66">
        <v>0</v>
      </c>
      <c r="AZ122" s="66">
        <v>0</v>
      </c>
      <c r="BA122" s="66">
        <v>0</v>
      </c>
      <c r="BB122" s="66">
        <v>0</v>
      </c>
      <c r="BC122" s="66">
        <v>0</v>
      </c>
      <c r="BD122" s="66">
        <v>0</v>
      </c>
      <c r="BE122" s="66">
        <v>0</v>
      </c>
      <c r="BF122" s="38"/>
    </row>
    <row r="123" spans="1:58" x14ac:dyDescent="0.2">
      <c r="A123" s="40">
        <v>114</v>
      </c>
      <c r="B123" s="45" t="s">
        <v>195</v>
      </c>
      <c r="C123" s="45" t="s">
        <v>322</v>
      </c>
      <c r="D123" s="38"/>
      <c r="E123" s="38" t="s">
        <v>194</v>
      </c>
      <c r="F123" s="38"/>
      <c r="H123" s="46"/>
      <c r="I123" s="46"/>
      <c r="J123" s="46"/>
      <c r="K123" s="46"/>
      <c r="L123" s="46"/>
      <c r="M123" s="46"/>
      <c r="N123" s="46"/>
      <c r="O123" s="46"/>
      <c r="P123" s="46"/>
      <c r="Q123" s="46"/>
      <c r="R123" s="46"/>
      <c r="S123" s="46"/>
      <c r="T123" s="46"/>
      <c r="U123" s="46"/>
      <c r="V123" s="46"/>
      <c r="W123" s="46"/>
      <c r="X123" s="46"/>
      <c r="Y123" s="46"/>
      <c r="Z123" s="46"/>
      <c r="AA123" s="46"/>
      <c r="AB123" s="46"/>
      <c r="AC123" s="51"/>
      <c r="AD123" s="50">
        <v>-0.17799999999999999</v>
      </c>
      <c r="AE123" s="50">
        <v>-0.17799999999999999</v>
      </c>
      <c r="AF123" s="66">
        <v>0.02</v>
      </c>
      <c r="AG123" s="66">
        <v>5.0000000000000001E-3</v>
      </c>
      <c r="AH123" s="66">
        <v>5.0000000000000001E-3</v>
      </c>
      <c r="AI123" s="66">
        <v>5.0000000000000001E-3</v>
      </c>
      <c r="AJ123" s="66">
        <v>0</v>
      </c>
      <c r="AK123" s="66">
        <v>0</v>
      </c>
      <c r="AL123" s="66">
        <v>0</v>
      </c>
      <c r="AM123" s="66">
        <v>0</v>
      </c>
      <c r="AN123" s="66">
        <v>0</v>
      </c>
      <c r="AO123" s="66">
        <v>0</v>
      </c>
      <c r="AP123" s="66">
        <v>0</v>
      </c>
      <c r="AQ123" s="66">
        <v>0</v>
      </c>
      <c r="AR123" s="66">
        <v>0</v>
      </c>
      <c r="AS123" s="66">
        <v>0</v>
      </c>
      <c r="AT123" s="66">
        <v>0</v>
      </c>
      <c r="AU123" s="66">
        <v>0</v>
      </c>
      <c r="AV123" s="66">
        <v>0</v>
      </c>
      <c r="AW123" s="66">
        <v>0</v>
      </c>
      <c r="AX123" s="66">
        <v>0</v>
      </c>
      <c r="AY123" s="66">
        <v>0</v>
      </c>
      <c r="AZ123" s="66">
        <v>0</v>
      </c>
      <c r="BA123" s="66">
        <v>0</v>
      </c>
      <c r="BB123" s="66">
        <v>0</v>
      </c>
      <c r="BC123" s="66">
        <v>0</v>
      </c>
      <c r="BD123" s="66">
        <v>0</v>
      </c>
      <c r="BE123" s="66">
        <v>0</v>
      </c>
      <c r="BF123" s="38"/>
    </row>
    <row r="124" spans="1:58" x14ac:dyDescent="0.2">
      <c r="A124" s="40">
        <v>115</v>
      </c>
      <c r="B124" s="45" t="s">
        <v>193</v>
      </c>
      <c r="C124" s="45" t="s">
        <v>193</v>
      </c>
      <c r="D124" s="38"/>
      <c r="E124" s="38" t="s">
        <v>194</v>
      </c>
      <c r="F124" s="38"/>
      <c r="H124" s="46"/>
      <c r="I124" s="46"/>
      <c r="J124" s="46"/>
      <c r="K124" s="46"/>
      <c r="L124" s="46"/>
      <c r="M124" s="46"/>
      <c r="N124" s="46"/>
      <c r="O124" s="46"/>
      <c r="P124" s="46"/>
      <c r="Q124" s="46"/>
      <c r="R124" s="46"/>
      <c r="S124" s="46"/>
      <c r="T124" s="46"/>
      <c r="U124" s="46"/>
      <c r="V124" s="46"/>
      <c r="W124" s="46"/>
      <c r="X124" s="46"/>
      <c r="Y124" s="46"/>
      <c r="Z124" s="46"/>
      <c r="AA124" s="46"/>
      <c r="AB124" s="46"/>
      <c r="AC124" s="51"/>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38"/>
    </row>
    <row r="125" spans="1:58" x14ac:dyDescent="0.2">
      <c r="A125" s="40">
        <v>116</v>
      </c>
      <c r="B125" s="45" t="s">
        <v>193</v>
      </c>
      <c r="C125" s="45" t="s">
        <v>193</v>
      </c>
      <c r="D125" s="38"/>
      <c r="E125" s="38" t="s">
        <v>194</v>
      </c>
      <c r="F125" s="38"/>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38"/>
    </row>
    <row r="126" spans="1:58" x14ac:dyDescent="0.2">
      <c r="A126" s="40">
        <v>117</v>
      </c>
      <c r="B126" s="45" t="s">
        <v>193</v>
      </c>
      <c r="C126" s="45" t="s">
        <v>193</v>
      </c>
      <c r="D126" s="38"/>
      <c r="E126" s="38" t="s">
        <v>194</v>
      </c>
      <c r="F126" s="38"/>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38"/>
    </row>
    <row r="127" spans="1:58" x14ac:dyDescent="0.2">
      <c r="A127" s="40">
        <v>118</v>
      </c>
      <c r="B127" s="45" t="s">
        <v>193</v>
      </c>
      <c r="C127" s="45" t="s">
        <v>193</v>
      </c>
      <c r="D127" s="38"/>
      <c r="E127" s="38" t="s">
        <v>194</v>
      </c>
      <c r="F127" s="38"/>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38"/>
    </row>
    <row r="128" spans="1:58" x14ac:dyDescent="0.2">
      <c r="A128" s="40">
        <v>119</v>
      </c>
      <c r="B128" s="45" t="s">
        <v>193</v>
      </c>
      <c r="C128" s="45" t="s">
        <v>193</v>
      </c>
      <c r="D128" s="38"/>
      <c r="E128" s="38" t="s">
        <v>194</v>
      </c>
      <c r="F128" s="38"/>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38"/>
    </row>
    <row r="129" spans="1:58" x14ac:dyDescent="0.2">
      <c r="A129" s="40">
        <v>120</v>
      </c>
      <c r="B129" s="45" t="s">
        <v>193</v>
      </c>
      <c r="C129" s="45" t="s">
        <v>193</v>
      </c>
      <c r="D129" s="38"/>
      <c r="E129" s="38" t="s">
        <v>194</v>
      </c>
      <c r="F129" s="38"/>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38"/>
    </row>
    <row r="130" spans="1:58" x14ac:dyDescent="0.2">
      <c r="A130" s="40">
        <v>121</v>
      </c>
      <c r="B130" s="45" t="s">
        <v>193</v>
      </c>
      <c r="C130" s="45" t="s">
        <v>193</v>
      </c>
      <c r="D130" s="38"/>
      <c r="E130" s="38" t="s">
        <v>194</v>
      </c>
      <c r="F130" s="38"/>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38"/>
    </row>
    <row r="131" spans="1:58" x14ac:dyDescent="0.2">
      <c r="A131" s="40">
        <v>122</v>
      </c>
      <c r="B131" s="45" t="s">
        <v>193</v>
      </c>
      <c r="C131" s="45" t="s">
        <v>193</v>
      </c>
      <c r="D131" s="38"/>
      <c r="E131" s="38" t="s">
        <v>194</v>
      </c>
      <c r="F131" s="38"/>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38"/>
    </row>
    <row r="132" spans="1:58" x14ac:dyDescent="0.2">
      <c r="A132" s="40">
        <v>123</v>
      </c>
      <c r="B132" s="45" t="s">
        <v>193</v>
      </c>
      <c r="C132" s="45" t="s">
        <v>193</v>
      </c>
      <c r="D132" s="38"/>
      <c r="E132" s="38" t="s">
        <v>194</v>
      </c>
      <c r="F132" s="38"/>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38"/>
    </row>
    <row r="133" spans="1:58" x14ac:dyDescent="0.2">
      <c r="A133" s="40">
        <v>124</v>
      </c>
      <c r="B133" s="45" t="s">
        <v>193</v>
      </c>
      <c r="C133" s="45" t="s">
        <v>193</v>
      </c>
      <c r="D133" s="38"/>
      <c r="E133" s="38" t="s">
        <v>194</v>
      </c>
      <c r="F133" s="38"/>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38"/>
    </row>
    <row r="134" spans="1:58" x14ac:dyDescent="0.2">
      <c r="A134" s="40">
        <v>125</v>
      </c>
      <c r="B134" s="45" t="s">
        <v>193</v>
      </c>
      <c r="C134" s="45" t="s">
        <v>193</v>
      </c>
      <c r="D134" s="38"/>
      <c r="E134" s="38" t="s">
        <v>194</v>
      </c>
      <c r="F134" s="38"/>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38"/>
    </row>
    <row r="135" spans="1:58" x14ac:dyDescent="0.2">
      <c r="A135" s="40">
        <v>126</v>
      </c>
      <c r="B135" s="45" t="s">
        <v>193</v>
      </c>
      <c r="C135" s="45" t="s">
        <v>193</v>
      </c>
      <c r="D135" s="38"/>
      <c r="E135" s="38" t="s">
        <v>194</v>
      </c>
      <c r="F135" s="38"/>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38"/>
    </row>
    <row r="136" spans="1:58" x14ac:dyDescent="0.2">
      <c r="A136" s="40">
        <v>127</v>
      </c>
      <c r="B136" s="45" t="s">
        <v>193</v>
      </c>
      <c r="C136" s="45" t="s">
        <v>193</v>
      </c>
      <c r="D136" s="38"/>
      <c r="E136" s="38" t="s">
        <v>194</v>
      </c>
      <c r="F136" s="38"/>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38"/>
    </row>
    <row r="137" spans="1:58" x14ac:dyDescent="0.2">
      <c r="A137" s="40">
        <v>128</v>
      </c>
      <c r="B137" s="45" t="s">
        <v>193</v>
      </c>
      <c r="C137" s="45" t="s">
        <v>193</v>
      </c>
      <c r="D137" s="38"/>
      <c r="E137" s="38" t="s">
        <v>194</v>
      </c>
      <c r="F137" s="38"/>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38"/>
    </row>
    <row r="138" spans="1:58" x14ac:dyDescent="0.2">
      <c r="A138" s="40">
        <v>129</v>
      </c>
      <c r="B138" s="45" t="s">
        <v>228</v>
      </c>
      <c r="C138" s="45" t="s">
        <v>323</v>
      </c>
      <c r="D138" s="38"/>
      <c r="E138" s="38" t="s">
        <v>194</v>
      </c>
      <c r="F138" s="38"/>
      <c r="H138" s="51"/>
      <c r="I138" s="51"/>
      <c r="J138" s="51"/>
      <c r="K138" s="51"/>
      <c r="L138" s="51"/>
      <c r="M138" s="51"/>
      <c r="N138" s="51"/>
      <c r="O138" s="51"/>
      <c r="P138" s="51"/>
      <c r="Q138" s="51"/>
      <c r="R138" s="51"/>
      <c r="S138" s="51"/>
      <c r="T138" s="51"/>
      <c r="U138" s="51"/>
      <c r="V138" s="51"/>
      <c r="W138" s="51"/>
      <c r="X138" s="51"/>
      <c r="Y138" s="51"/>
      <c r="Z138" s="51"/>
      <c r="AA138" s="51"/>
      <c r="AB138" s="51"/>
      <c r="AC138" s="51">
        <v>0</v>
      </c>
      <c r="AD138" s="51">
        <v>0</v>
      </c>
      <c r="AE138" s="51">
        <v>0</v>
      </c>
      <c r="AF138" s="51">
        <v>0</v>
      </c>
      <c r="AG138" s="51">
        <v>0</v>
      </c>
      <c r="AH138" s="51">
        <v>0</v>
      </c>
      <c r="AI138" s="51">
        <v>0</v>
      </c>
      <c r="AJ138" s="51">
        <v>0</v>
      </c>
      <c r="AK138" s="51">
        <v>0</v>
      </c>
      <c r="AL138" s="51">
        <v>0</v>
      </c>
      <c r="AM138" s="51">
        <v>0</v>
      </c>
      <c r="AN138" s="51">
        <v>0</v>
      </c>
      <c r="AO138" s="51">
        <v>0</v>
      </c>
      <c r="AP138" s="51">
        <v>0</v>
      </c>
      <c r="AQ138" s="51">
        <v>0</v>
      </c>
      <c r="AR138" s="51">
        <v>0</v>
      </c>
      <c r="AS138" s="51">
        <v>0</v>
      </c>
      <c r="AT138" s="51">
        <v>0</v>
      </c>
      <c r="AU138" s="51">
        <v>0</v>
      </c>
      <c r="AV138" s="51">
        <v>0</v>
      </c>
      <c r="AW138" s="51">
        <v>0</v>
      </c>
      <c r="AX138" s="51">
        <v>0</v>
      </c>
      <c r="AY138" s="51">
        <v>0</v>
      </c>
      <c r="AZ138" s="51">
        <v>0</v>
      </c>
      <c r="BA138" s="51">
        <v>0</v>
      </c>
      <c r="BB138" s="51">
        <v>0</v>
      </c>
      <c r="BC138" s="51">
        <v>0</v>
      </c>
      <c r="BD138" s="51">
        <v>0</v>
      </c>
      <c r="BE138" s="51">
        <v>0</v>
      </c>
      <c r="BF138" s="38"/>
    </row>
    <row r="139" spans="1:58" x14ac:dyDescent="0.2">
      <c r="A139" s="40">
        <v>130</v>
      </c>
      <c r="B139" s="45" t="s">
        <v>228</v>
      </c>
      <c r="C139" s="45" t="s">
        <v>324</v>
      </c>
      <c r="D139" s="38"/>
      <c r="E139" s="38" t="s">
        <v>194</v>
      </c>
      <c r="F139" s="38"/>
      <c r="H139" s="51"/>
      <c r="I139" s="51"/>
      <c r="J139" s="51"/>
      <c r="K139" s="51"/>
      <c r="L139" s="51"/>
      <c r="M139" s="51"/>
      <c r="N139" s="51"/>
      <c r="O139" s="51"/>
      <c r="P139" s="51"/>
      <c r="Q139" s="51"/>
      <c r="R139" s="51"/>
      <c r="S139" s="51"/>
      <c r="T139" s="51"/>
      <c r="U139" s="51"/>
      <c r="V139" s="51"/>
      <c r="W139" s="51"/>
      <c r="X139" s="51"/>
      <c r="Y139" s="51"/>
      <c r="Z139" s="51"/>
      <c r="AA139" s="51"/>
      <c r="AB139" s="51"/>
      <c r="AC139" s="51">
        <v>0</v>
      </c>
      <c r="AD139" s="51">
        <v>0</v>
      </c>
      <c r="AE139" s="51">
        <v>0</v>
      </c>
      <c r="AF139" s="51">
        <v>0</v>
      </c>
      <c r="AG139" s="51">
        <v>0</v>
      </c>
      <c r="AH139" s="51">
        <v>0</v>
      </c>
      <c r="AI139" s="51">
        <v>0</v>
      </c>
      <c r="AJ139" s="51">
        <v>0</v>
      </c>
      <c r="AK139" s="51">
        <v>0</v>
      </c>
      <c r="AL139" s="51">
        <v>0</v>
      </c>
      <c r="AM139" s="51">
        <v>0</v>
      </c>
      <c r="AN139" s="51">
        <v>0</v>
      </c>
      <c r="AO139" s="51">
        <v>0</v>
      </c>
      <c r="AP139" s="51">
        <v>0</v>
      </c>
      <c r="AQ139" s="51">
        <v>0</v>
      </c>
      <c r="AR139" s="51">
        <v>0</v>
      </c>
      <c r="AS139" s="51">
        <v>0</v>
      </c>
      <c r="AT139" s="51">
        <v>0</v>
      </c>
      <c r="AU139" s="51">
        <v>0</v>
      </c>
      <c r="AV139" s="51">
        <v>0</v>
      </c>
      <c r="AW139" s="51">
        <v>0</v>
      </c>
      <c r="AX139" s="51">
        <v>0</v>
      </c>
      <c r="AY139" s="51">
        <v>0</v>
      </c>
      <c r="AZ139" s="51">
        <v>0</v>
      </c>
      <c r="BA139" s="51">
        <v>0</v>
      </c>
      <c r="BB139" s="51">
        <v>0</v>
      </c>
      <c r="BC139" s="51">
        <v>0</v>
      </c>
      <c r="BD139" s="51">
        <v>0</v>
      </c>
      <c r="BE139" s="51">
        <v>0</v>
      </c>
      <c r="BF139" s="38"/>
    </row>
    <row r="140" spans="1:58" x14ac:dyDescent="0.2">
      <c r="A140" s="40">
        <v>131</v>
      </c>
      <c r="B140" s="45" t="s">
        <v>325</v>
      </c>
      <c r="C140" s="45" t="s">
        <v>326</v>
      </c>
      <c r="D140" s="38"/>
      <c r="E140" s="38" t="s">
        <v>194</v>
      </c>
      <c r="F140" s="38"/>
      <c r="H140" s="51"/>
      <c r="I140" s="51"/>
      <c r="J140" s="51"/>
      <c r="K140" s="51"/>
      <c r="L140" s="51"/>
      <c r="M140" s="51"/>
      <c r="N140" s="51"/>
      <c r="O140" s="51"/>
      <c r="P140" s="51"/>
      <c r="Q140" s="51"/>
      <c r="R140" s="51"/>
      <c r="S140" s="51"/>
      <c r="T140" s="51"/>
      <c r="U140" s="51"/>
      <c r="V140" s="51"/>
      <c r="W140" s="51"/>
      <c r="X140" s="51"/>
      <c r="Y140" s="51"/>
      <c r="Z140" s="51"/>
      <c r="AA140" s="51"/>
      <c r="AB140" s="51"/>
      <c r="AC140" s="51">
        <v>0</v>
      </c>
      <c r="AD140" s="51">
        <v>0</v>
      </c>
      <c r="AE140" s="51">
        <v>0</v>
      </c>
      <c r="AF140" s="51">
        <v>0</v>
      </c>
      <c r="AG140" s="51">
        <v>0</v>
      </c>
      <c r="AH140" s="51">
        <v>0</v>
      </c>
      <c r="AI140" s="51">
        <v>0</v>
      </c>
      <c r="AJ140" s="51">
        <v>0</v>
      </c>
      <c r="AK140" s="51">
        <v>0</v>
      </c>
      <c r="AL140" s="51">
        <v>0</v>
      </c>
      <c r="AM140" s="51">
        <v>0</v>
      </c>
      <c r="AN140" s="51">
        <v>0</v>
      </c>
      <c r="AO140" s="51">
        <v>0</v>
      </c>
      <c r="AP140" s="51">
        <v>0</v>
      </c>
      <c r="AQ140" s="51">
        <v>0</v>
      </c>
      <c r="AR140" s="51">
        <v>0</v>
      </c>
      <c r="AS140" s="51">
        <v>0</v>
      </c>
      <c r="AT140" s="51">
        <v>0</v>
      </c>
      <c r="AU140" s="51">
        <v>0</v>
      </c>
      <c r="AV140" s="51">
        <v>0</v>
      </c>
      <c r="AW140" s="51">
        <v>0</v>
      </c>
      <c r="AX140" s="51">
        <v>0</v>
      </c>
      <c r="AY140" s="51">
        <v>0</v>
      </c>
      <c r="AZ140" s="51">
        <v>0</v>
      </c>
      <c r="BA140" s="51">
        <v>0</v>
      </c>
      <c r="BB140" s="51">
        <v>0</v>
      </c>
      <c r="BC140" s="51">
        <v>0</v>
      </c>
      <c r="BD140" s="51">
        <v>0</v>
      </c>
      <c r="BE140" s="51">
        <v>0</v>
      </c>
      <c r="BF140" s="38"/>
    </row>
    <row r="141" spans="1:58" x14ac:dyDescent="0.2">
      <c r="A141" s="40">
        <v>132</v>
      </c>
      <c r="B141" s="45" t="s">
        <v>325</v>
      </c>
      <c r="C141" s="45" t="s">
        <v>327</v>
      </c>
      <c r="D141" s="38"/>
      <c r="E141" s="38" t="s">
        <v>194</v>
      </c>
      <c r="F141" s="38"/>
      <c r="H141" s="51"/>
      <c r="I141" s="51"/>
      <c r="J141" s="51"/>
      <c r="K141" s="51"/>
      <c r="L141" s="51"/>
      <c r="M141" s="51"/>
      <c r="N141" s="51"/>
      <c r="O141" s="51"/>
      <c r="P141" s="51"/>
      <c r="Q141" s="51"/>
      <c r="R141" s="51"/>
      <c r="S141" s="51"/>
      <c r="T141" s="51"/>
      <c r="U141" s="51"/>
      <c r="V141" s="51"/>
      <c r="W141" s="51"/>
      <c r="X141" s="51"/>
      <c r="Y141" s="51"/>
      <c r="Z141" s="51"/>
      <c r="AA141" s="51"/>
      <c r="AB141" s="51"/>
      <c r="AC141" s="51">
        <v>0</v>
      </c>
      <c r="AD141" s="51">
        <v>0</v>
      </c>
      <c r="AE141" s="51">
        <v>0</v>
      </c>
      <c r="AF141" s="51">
        <v>0</v>
      </c>
      <c r="AG141" s="51">
        <v>0</v>
      </c>
      <c r="AH141" s="51">
        <v>0</v>
      </c>
      <c r="AI141" s="51">
        <v>0</v>
      </c>
      <c r="AJ141" s="51">
        <v>0</v>
      </c>
      <c r="AK141" s="51">
        <v>0</v>
      </c>
      <c r="AL141" s="51">
        <v>0</v>
      </c>
      <c r="AM141" s="51">
        <v>0</v>
      </c>
      <c r="AN141" s="51">
        <v>0</v>
      </c>
      <c r="AO141" s="51">
        <v>0</v>
      </c>
      <c r="AP141" s="51">
        <v>0</v>
      </c>
      <c r="AQ141" s="51">
        <v>0</v>
      </c>
      <c r="AR141" s="51">
        <v>0</v>
      </c>
      <c r="AS141" s="51">
        <v>0</v>
      </c>
      <c r="AT141" s="51">
        <v>0</v>
      </c>
      <c r="AU141" s="51">
        <v>0</v>
      </c>
      <c r="AV141" s="51">
        <v>0</v>
      </c>
      <c r="AW141" s="51">
        <v>0</v>
      </c>
      <c r="AX141" s="51">
        <v>0</v>
      </c>
      <c r="AY141" s="51">
        <v>0</v>
      </c>
      <c r="AZ141" s="51">
        <v>0</v>
      </c>
      <c r="BA141" s="51">
        <v>0</v>
      </c>
      <c r="BB141" s="51">
        <v>0</v>
      </c>
      <c r="BC141" s="51">
        <v>0</v>
      </c>
      <c r="BD141" s="51">
        <v>0</v>
      </c>
      <c r="BE141" s="51">
        <v>0</v>
      </c>
      <c r="BF141" s="38"/>
    </row>
    <row r="142" spans="1:58" x14ac:dyDescent="0.2">
      <c r="A142" s="40">
        <v>133</v>
      </c>
      <c r="B142" s="45" t="s">
        <v>325</v>
      </c>
      <c r="C142" s="45" t="s">
        <v>328</v>
      </c>
      <c r="D142" s="38"/>
      <c r="E142" s="38" t="s">
        <v>194</v>
      </c>
      <c r="F142" s="38"/>
      <c r="H142" s="51"/>
      <c r="I142" s="51"/>
      <c r="J142" s="51"/>
      <c r="K142" s="51"/>
      <c r="L142" s="51"/>
      <c r="M142" s="51"/>
      <c r="N142" s="51"/>
      <c r="O142" s="51"/>
      <c r="P142" s="51"/>
      <c r="Q142" s="51"/>
      <c r="R142" s="51"/>
      <c r="S142" s="51"/>
      <c r="T142" s="51"/>
      <c r="U142" s="51"/>
      <c r="V142" s="51"/>
      <c r="W142" s="51"/>
      <c r="X142" s="51"/>
      <c r="Y142" s="51"/>
      <c r="Z142" s="51"/>
      <c r="AA142" s="51"/>
      <c r="AB142" s="51"/>
      <c r="AC142" s="51">
        <v>0</v>
      </c>
      <c r="AD142" s="51">
        <v>0</v>
      </c>
      <c r="AE142" s="51">
        <v>0</v>
      </c>
      <c r="AF142" s="51">
        <v>0</v>
      </c>
      <c r="AG142" s="51">
        <v>0</v>
      </c>
      <c r="AH142" s="51">
        <v>0</v>
      </c>
      <c r="AI142" s="51">
        <v>0</v>
      </c>
      <c r="AJ142" s="51">
        <v>0</v>
      </c>
      <c r="AK142" s="51">
        <v>0</v>
      </c>
      <c r="AL142" s="51">
        <v>0</v>
      </c>
      <c r="AM142" s="51">
        <v>0</v>
      </c>
      <c r="AN142" s="51">
        <v>0</v>
      </c>
      <c r="AO142" s="51">
        <v>0</v>
      </c>
      <c r="AP142" s="51">
        <v>0</v>
      </c>
      <c r="AQ142" s="51">
        <v>0</v>
      </c>
      <c r="AR142" s="51">
        <v>0</v>
      </c>
      <c r="AS142" s="51">
        <v>0</v>
      </c>
      <c r="AT142" s="51">
        <v>0</v>
      </c>
      <c r="AU142" s="51">
        <v>0</v>
      </c>
      <c r="AV142" s="51">
        <v>0</v>
      </c>
      <c r="AW142" s="51">
        <v>0</v>
      </c>
      <c r="AX142" s="51">
        <v>0</v>
      </c>
      <c r="AY142" s="51">
        <v>0</v>
      </c>
      <c r="AZ142" s="51">
        <v>0</v>
      </c>
      <c r="BA142" s="51">
        <v>0</v>
      </c>
      <c r="BB142" s="51">
        <v>0</v>
      </c>
      <c r="BC142" s="51">
        <v>0</v>
      </c>
      <c r="BD142" s="51">
        <v>0</v>
      </c>
      <c r="BE142" s="51">
        <v>0</v>
      </c>
      <c r="BF142" s="38"/>
    </row>
    <row r="143" spans="1:58" x14ac:dyDescent="0.2">
      <c r="A143" s="40">
        <v>134</v>
      </c>
      <c r="B143" s="45" t="s">
        <v>325</v>
      </c>
      <c r="C143" s="45" t="s">
        <v>329</v>
      </c>
      <c r="D143" s="38"/>
      <c r="E143" s="38" t="s">
        <v>194</v>
      </c>
      <c r="F143" s="68" t="b">
        <v>1</v>
      </c>
      <c r="H143" s="51"/>
      <c r="I143" s="51"/>
      <c r="J143" s="51"/>
      <c r="K143" s="51"/>
      <c r="L143" s="51"/>
      <c r="M143" s="51"/>
      <c r="N143" s="51"/>
      <c r="O143" s="51"/>
      <c r="P143" s="51"/>
      <c r="Q143" s="51"/>
      <c r="R143" s="51"/>
      <c r="S143" s="51"/>
      <c r="T143" s="51"/>
      <c r="U143" s="51"/>
      <c r="V143" s="51"/>
      <c r="W143" s="51"/>
      <c r="X143" s="51"/>
      <c r="Y143" s="51"/>
      <c r="Z143" s="51"/>
      <c r="AA143" s="51"/>
      <c r="AB143" s="51"/>
      <c r="AC143" s="51">
        <v>0</v>
      </c>
      <c r="AD143" s="51">
        <v>0</v>
      </c>
      <c r="AE143" s="54">
        <v>0</v>
      </c>
      <c r="AF143" s="54">
        <v>0</v>
      </c>
      <c r="AG143" s="54">
        <v>0</v>
      </c>
      <c r="AH143" s="54">
        <v>0</v>
      </c>
      <c r="AI143" s="54">
        <v>0</v>
      </c>
      <c r="AJ143" s="54">
        <v>0</v>
      </c>
      <c r="AK143" s="54">
        <v>0</v>
      </c>
      <c r="AL143" s="54">
        <v>0</v>
      </c>
      <c r="AM143" s="54">
        <v>0</v>
      </c>
      <c r="AN143" s="54">
        <v>0</v>
      </c>
      <c r="AO143" s="54">
        <v>0</v>
      </c>
      <c r="AP143" s="54">
        <v>0</v>
      </c>
      <c r="AQ143" s="54">
        <v>0</v>
      </c>
      <c r="AR143" s="54">
        <v>0</v>
      </c>
      <c r="AS143" s="51">
        <v>0</v>
      </c>
      <c r="AT143" s="51">
        <v>0</v>
      </c>
      <c r="AU143" s="51">
        <v>0</v>
      </c>
      <c r="AV143" s="51">
        <v>0</v>
      </c>
      <c r="AW143" s="51">
        <v>0</v>
      </c>
      <c r="AX143" s="51">
        <v>0</v>
      </c>
      <c r="AY143" s="51">
        <v>0</v>
      </c>
      <c r="AZ143" s="51">
        <v>0</v>
      </c>
      <c r="BA143" s="51">
        <v>0</v>
      </c>
      <c r="BB143" s="51">
        <v>0</v>
      </c>
      <c r="BC143" s="51">
        <v>0</v>
      </c>
      <c r="BD143" s="51">
        <v>0</v>
      </c>
      <c r="BE143" s="51">
        <v>0</v>
      </c>
      <c r="BF143" s="38"/>
    </row>
    <row r="144" spans="1:58" x14ac:dyDescent="0.2">
      <c r="A144" s="40">
        <v>135</v>
      </c>
      <c r="B144" s="45" t="s">
        <v>330</v>
      </c>
      <c r="C144" s="45" t="s">
        <v>331</v>
      </c>
      <c r="D144" s="38"/>
      <c r="E144" s="38" t="s">
        <v>194</v>
      </c>
      <c r="F144" s="38"/>
      <c r="H144" s="51"/>
      <c r="I144" s="51"/>
      <c r="J144" s="51"/>
      <c r="K144" s="51"/>
      <c r="L144" s="51"/>
      <c r="M144" s="51"/>
      <c r="N144" s="51"/>
      <c r="O144" s="51"/>
      <c r="P144" s="51"/>
      <c r="Q144" s="51"/>
      <c r="R144" s="51"/>
      <c r="S144" s="51"/>
      <c r="T144" s="51"/>
      <c r="U144" s="51"/>
      <c r="V144" s="51"/>
      <c r="W144" s="51"/>
      <c r="X144" s="51"/>
      <c r="Y144" s="51"/>
      <c r="Z144" s="51"/>
      <c r="AA144" s="51"/>
      <c r="AB144" s="51"/>
      <c r="AC144" s="51">
        <v>0</v>
      </c>
      <c r="AD144" s="51">
        <v>0</v>
      </c>
      <c r="AE144" s="51">
        <v>0</v>
      </c>
      <c r="AF144" s="51">
        <v>0</v>
      </c>
      <c r="AG144" s="51">
        <v>0</v>
      </c>
      <c r="AH144" s="51">
        <v>0</v>
      </c>
      <c r="AI144" s="51">
        <v>0</v>
      </c>
      <c r="AJ144" s="51">
        <v>0</v>
      </c>
      <c r="AK144" s="51">
        <v>0</v>
      </c>
      <c r="AL144" s="51">
        <v>0</v>
      </c>
      <c r="AM144" s="51">
        <v>0</v>
      </c>
      <c r="AN144" s="51">
        <v>0</v>
      </c>
      <c r="AO144" s="51">
        <v>0</v>
      </c>
      <c r="AP144" s="51">
        <v>0</v>
      </c>
      <c r="AQ144" s="51">
        <v>0</v>
      </c>
      <c r="AR144" s="51">
        <v>0</v>
      </c>
      <c r="AS144" s="51">
        <v>0</v>
      </c>
      <c r="AT144" s="51">
        <v>0</v>
      </c>
      <c r="AU144" s="51">
        <v>0</v>
      </c>
      <c r="AV144" s="51">
        <v>0</v>
      </c>
      <c r="AW144" s="51">
        <v>0</v>
      </c>
      <c r="AX144" s="51">
        <v>0</v>
      </c>
      <c r="AY144" s="51">
        <v>0</v>
      </c>
      <c r="AZ144" s="51">
        <v>0</v>
      </c>
      <c r="BA144" s="51">
        <v>0</v>
      </c>
      <c r="BB144" s="51">
        <v>0</v>
      </c>
      <c r="BC144" s="51">
        <v>0</v>
      </c>
      <c r="BD144" s="51">
        <v>0</v>
      </c>
      <c r="BE144" s="51">
        <v>0</v>
      </c>
      <c r="BF144" s="38"/>
    </row>
    <row r="145" spans="1:58" x14ac:dyDescent="0.2">
      <c r="A145" s="40">
        <v>136</v>
      </c>
      <c r="B145" s="45" t="s">
        <v>330</v>
      </c>
      <c r="C145" s="45" t="s">
        <v>332</v>
      </c>
      <c r="D145" s="38"/>
      <c r="E145" s="38" t="s">
        <v>194</v>
      </c>
      <c r="F145" s="38"/>
      <c r="H145" s="51"/>
      <c r="I145" s="51"/>
      <c r="J145" s="51"/>
      <c r="K145" s="51"/>
      <c r="L145" s="51"/>
      <c r="M145" s="51"/>
      <c r="N145" s="51"/>
      <c r="O145" s="51"/>
      <c r="P145" s="51"/>
      <c r="Q145" s="51"/>
      <c r="R145" s="51"/>
      <c r="S145" s="51"/>
      <c r="T145" s="51"/>
      <c r="U145" s="51"/>
      <c r="V145" s="51"/>
      <c r="W145" s="51"/>
      <c r="X145" s="51"/>
      <c r="Y145" s="51"/>
      <c r="Z145" s="51"/>
      <c r="AA145" s="51"/>
      <c r="AB145" s="51"/>
      <c r="AC145" s="51">
        <v>0</v>
      </c>
      <c r="AD145" s="51">
        <v>0</v>
      </c>
      <c r="AE145" s="51">
        <v>0</v>
      </c>
      <c r="AF145" s="51">
        <v>0</v>
      </c>
      <c r="AG145" s="51">
        <v>0</v>
      </c>
      <c r="AH145" s="51">
        <v>0</v>
      </c>
      <c r="AI145" s="51">
        <v>0</v>
      </c>
      <c r="AJ145" s="51">
        <v>0</v>
      </c>
      <c r="AK145" s="51">
        <v>0</v>
      </c>
      <c r="AL145" s="51">
        <v>0</v>
      </c>
      <c r="AM145" s="51">
        <v>0</v>
      </c>
      <c r="AN145" s="51">
        <v>0</v>
      </c>
      <c r="AO145" s="51">
        <v>0</v>
      </c>
      <c r="AP145" s="51">
        <v>0</v>
      </c>
      <c r="AQ145" s="51">
        <v>0</v>
      </c>
      <c r="AR145" s="51">
        <v>0</v>
      </c>
      <c r="AS145" s="51">
        <v>0</v>
      </c>
      <c r="AT145" s="51">
        <v>0</v>
      </c>
      <c r="AU145" s="51">
        <v>0</v>
      </c>
      <c r="AV145" s="51">
        <v>0</v>
      </c>
      <c r="AW145" s="51">
        <v>0</v>
      </c>
      <c r="AX145" s="51">
        <v>0</v>
      </c>
      <c r="AY145" s="51">
        <v>0</v>
      </c>
      <c r="AZ145" s="51">
        <v>0</v>
      </c>
      <c r="BA145" s="51">
        <v>0</v>
      </c>
      <c r="BB145" s="51">
        <v>0</v>
      </c>
      <c r="BC145" s="51">
        <v>0</v>
      </c>
      <c r="BD145" s="51">
        <v>0</v>
      </c>
      <c r="BE145" s="51">
        <v>0</v>
      </c>
      <c r="BF145" s="38"/>
    </row>
    <row r="146" spans="1:58" x14ac:dyDescent="0.2">
      <c r="A146" s="40">
        <v>137</v>
      </c>
      <c r="B146" s="45" t="s">
        <v>330</v>
      </c>
      <c r="C146" s="45" t="s">
        <v>333</v>
      </c>
      <c r="D146" s="38"/>
      <c r="E146" s="38" t="s">
        <v>194</v>
      </c>
      <c r="F146" s="38"/>
      <c r="H146" s="51"/>
      <c r="I146" s="51"/>
      <c r="J146" s="51"/>
      <c r="K146" s="51"/>
      <c r="L146" s="51"/>
      <c r="M146" s="51"/>
      <c r="N146" s="51"/>
      <c r="O146" s="51"/>
      <c r="P146" s="51"/>
      <c r="Q146" s="51"/>
      <c r="R146" s="51"/>
      <c r="S146" s="51"/>
      <c r="T146" s="51"/>
      <c r="U146" s="51"/>
      <c r="V146" s="51"/>
      <c r="W146" s="51"/>
      <c r="X146" s="51"/>
      <c r="Y146" s="51"/>
      <c r="Z146" s="51"/>
      <c r="AA146" s="51"/>
      <c r="AB146" s="51"/>
      <c r="AC146" s="51">
        <v>0</v>
      </c>
      <c r="AD146" s="51">
        <v>0</v>
      </c>
      <c r="AE146" s="51">
        <v>0</v>
      </c>
      <c r="AF146" s="51">
        <v>0</v>
      </c>
      <c r="AG146" s="51">
        <v>0</v>
      </c>
      <c r="AH146" s="51">
        <v>0</v>
      </c>
      <c r="AI146" s="51">
        <v>0</v>
      </c>
      <c r="AJ146" s="51">
        <v>0</v>
      </c>
      <c r="AK146" s="51">
        <v>0</v>
      </c>
      <c r="AL146" s="51">
        <v>0</v>
      </c>
      <c r="AM146" s="51">
        <v>0</v>
      </c>
      <c r="AN146" s="51">
        <v>0</v>
      </c>
      <c r="AO146" s="51">
        <v>0</v>
      </c>
      <c r="AP146" s="51">
        <v>0</v>
      </c>
      <c r="AQ146" s="51">
        <v>0</v>
      </c>
      <c r="AR146" s="51">
        <v>0</v>
      </c>
      <c r="AS146" s="51">
        <v>0</v>
      </c>
      <c r="AT146" s="51">
        <v>0</v>
      </c>
      <c r="AU146" s="51">
        <v>0</v>
      </c>
      <c r="AV146" s="51">
        <v>0</v>
      </c>
      <c r="AW146" s="51">
        <v>0</v>
      </c>
      <c r="AX146" s="51">
        <v>0</v>
      </c>
      <c r="AY146" s="51">
        <v>0</v>
      </c>
      <c r="AZ146" s="51">
        <v>0</v>
      </c>
      <c r="BA146" s="51">
        <v>0</v>
      </c>
      <c r="BB146" s="51">
        <v>0</v>
      </c>
      <c r="BC146" s="51">
        <v>0</v>
      </c>
      <c r="BD146" s="51">
        <v>0</v>
      </c>
      <c r="BE146" s="51">
        <v>0</v>
      </c>
      <c r="BF146" s="38"/>
    </row>
    <row r="147" spans="1:58" x14ac:dyDescent="0.2">
      <c r="A147" s="40">
        <v>138</v>
      </c>
      <c r="B147" s="45" t="s">
        <v>330</v>
      </c>
      <c r="C147" s="45" t="s">
        <v>334</v>
      </c>
      <c r="D147" s="38"/>
      <c r="E147" s="38" t="s">
        <v>194</v>
      </c>
      <c r="F147" s="38"/>
      <c r="H147" s="51"/>
      <c r="I147" s="51"/>
      <c r="J147" s="51"/>
      <c r="K147" s="51"/>
      <c r="L147" s="51"/>
      <c r="M147" s="51"/>
      <c r="N147" s="51"/>
      <c r="O147" s="51"/>
      <c r="P147" s="51"/>
      <c r="Q147" s="51"/>
      <c r="R147" s="51"/>
      <c r="S147" s="51"/>
      <c r="T147" s="51"/>
      <c r="U147" s="51"/>
      <c r="V147" s="51"/>
      <c r="W147" s="51"/>
      <c r="X147" s="51"/>
      <c r="Y147" s="51"/>
      <c r="Z147" s="51"/>
      <c r="AA147" s="51"/>
      <c r="AB147" s="51"/>
      <c r="AC147" s="51">
        <v>0</v>
      </c>
      <c r="AD147" s="51">
        <v>0</v>
      </c>
      <c r="AE147" s="51">
        <v>0</v>
      </c>
      <c r="AF147" s="51">
        <v>0</v>
      </c>
      <c r="AG147" s="51">
        <v>0</v>
      </c>
      <c r="AH147" s="51">
        <v>0</v>
      </c>
      <c r="AI147" s="51">
        <v>0</v>
      </c>
      <c r="AJ147" s="51">
        <v>0</v>
      </c>
      <c r="AK147" s="51">
        <v>0</v>
      </c>
      <c r="AL147" s="51">
        <v>0</v>
      </c>
      <c r="AM147" s="51">
        <v>0</v>
      </c>
      <c r="AN147" s="51">
        <v>0</v>
      </c>
      <c r="AO147" s="51">
        <v>0</v>
      </c>
      <c r="AP147" s="51">
        <v>0</v>
      </c>
      <c r="AQ147" s="51">
        <v>0</v>
      </c>
      <c r="AR147" s="51">
        <v>0</v>
      </c>
      <c r="AS147" s="51">
        <v>0</v>
      </c>
      <c r="AT147" s="51">
        <v>0</v>
      </c>
      <c r="AU147" s="51">
        <v>0</v>
      </c>
      <c r="AV147" s="51">
        <v>0</v>
      </c>
      <c r="AW147" s="51">
        <v>0</v>
      </c>
      <c r="AX147" s="51">
        <v>0</v>
      </c>
      <c r="AY147" s="51">
        <v>0</v>
      </c>
      <c r="AZ147" s="51">
        <v>0</v>
      </c>
      <c r="BA147" s="51">
        <v>0</v>
      </c>
      <c r="BB147" s="51">
        <v>0</v>
      </c>
      <c r="BC147" s="51">
        <v>0</v>
      </c>
      <c r="BD147" s="51">
        <v>0</v>
      </c>
      <c r="BE147" s="51">
        <v>0</v>
      </c>
      <c r="BF147" s="38"/>
    </row>
    <row r="148" spans="1:58" x14ac:dyDescent="0.2">
      <c r="A148" s="40">
        <v>139</v>
      </c>
      <c r="B148" s="45" t="s">
        <v>330</v>
      </c>
      <c r="C148" s="45" t="s">
        <v>335</v>
      </c>
      <c r="D148" s="38"/>
      <c r="E148" s="38" t="s">
        <v>194</v>
      </c>
      <c r="F148" s="38"/>
      <c r="H148" s="51"/>
      <c r="I148" s="51"/>
      <c r="J148" s="51"/>
      <c r="K148" s="51"/>
      <c r="L148" s="51"/>
      <c r="M148" s="51"/>
      <c r="N148" s="51"/>
      <c r="O148" s="51"/>
      <c r="P148" s="51"/>
      <c r="Q148" s="51"/>
      <c r="R148" s="51"/>
      <c r="S148" s="51"/>
      <c r="T148" s="51"/>
      <c r="U148" s="51"/>
      <c r="V148" s="51"/>
      <c r="W148" s="51"/>
      <c r="X148" s="51"/>
      <c r="Y148" s="51"/>
      <c r="Z148" s="51"/>
      <c r="AA148" s="51"/>
      <c r="AB148" s="51"/>
      <c r="AC148" s="51">
        <v>0</v>
      </c>
      <c r="AD148" s="51">
        <v>0</v>
      </c>
      <c r="AE148" s="51">
        <v>0</v>
      </c>
      <c r="AF148" s="51">
        <v>0</v>
      </c>
      <c r="AG148" s="51">
        <v>0</v>
      </c>
      <c r="AH148" s="51">
        <v>0</v>
      </c>
      <c r="AI148" s="51">
        <v>0</v>
      </c>
      <c r="AJ148" s="51">
        <v>0</v>
      </c>
      <c r="AK148" s="51">
        <v>0</v>
      </c>
      <c r="AL148" s="51">
        <v>0</v>
      </c>
      <c r="AM148" s="51">
        <v>0</v>
      </c>
      <c r="AN148" s="51">
        <v>0</v>
      </c>
      <c r="AO148" s="51">
        <v>0</v>
      </c>
      <c r="AP148" s="51">
        <v>0</v>
      </c>
      <c r="AQ148" s="51">
        <v>0</v>
      </c>
      <c r="AR148" s="51">
        <v>0</v>
      </c>
      <c r="AS148" s="51">
        <v>0</v>
      </c>
      <c r="AT148" s="51">
        <v>0</v>
      </c>
      <c r="AU148" s="51">
        <v>0</v>
      </c>
      <c r="AV148" s="51">
        <v>0</v>
      </c>
      <c r="AW148" s="51">
        <v>0</v>
      </c>
      <c r="AX148" s="51">
        <v>0</v>
      </c>
      <c r="AY148" s="51">
        <v>0</v>
      </c>
      <c r="AZ148" s="51">
        <v>0</v>
      </c>
      <c r="BA148" s="51">
        <v>0</v>
      </c>
      <c r="BB148" s="51">
        <v>0</v>
      </c>
      <c r="BC148" s="51">
        <v>0</v>
      </c>
      <c r="BD148" s="51">
        <v>0</v>
      </c>
      <c r="BE148" s="51">
        <v>0</v>
      </c>
      <c r="BF148" s="38"/>
    </row>
    <row r="149" spans="1:58" x14ac:dyDescent="0.2">
      <c r="A149" s="40">
        <v>140</v>
      </c>
      <c r="B149" s="45" t="s">
        <v>330</v>
      </c>
      <c r="C149" s="45" t="s">
        <v>336</v>
      </c>
      <c r="D149" s="38"/>
      <c r="E149" s="38" t="s">
        <v>194</v>
      </c>
      <c r="F149" s="38"/>
      <c r="H149" s="51"/>
      <c r="I149" s="51"/>
      <c r="J149" s="51"/>
      <c r="K149" s="51"/>
      <c r="L149" s="51"/>
      <c r="M149" s="51"/>
      <c r="N149" s="51"/>
      <c r="O149" s="51"/>
      <c r="P149" s="51"/>
      <c r="Q149" s="51"/>
      <c r="R149" s="51"/>
      <c r="S149" s="51"/>
      <c r="T149" s="51"/>
      <c r="U149" s="51"/>
      <c r="V149" s="51"/>
      <c r="W149" s="51"/>
      <c r="X149" s="51"/>
      <c r="Y149" s="51"/>
      <c r="Z149" s="51"/>
      <c r="AA149" s="51"/>
      <c r="AB149" s="51"/>
      <c r="AC149" s="51">
        <v>0</v>
      </c>
      <c r="AD149" s="51">
        <v>0</v>
      </c>
      <c r="AE149" s="51">
        <v>0</v>
      </c>
      <c r="AF149" s="51">
        <v>0</v>
      </c>
      <c r="AG149" s="51">
        <v>0</v>
      </c>
      <c r="AH149" s="51">
        <v>0</v>
      </c>
      <c r="AI149" s="51">
        <v>0</v>
      </c>
      <c r="AJ149" s="51">
        <v>0</v>
      </c>
      <c r="AK149" s="51">
        <v>0</v>
      </c>
      <c r="AL149" s="51">
        <v>0</v>
      </c>
      <c r="AM149" s="51">
        <v>0</v>
      </c>
      <c r="AN149" s="51">
        <v>0</v>
      </c>
      <c r="AO149" s="51">
        <v>0</v>
      </c>
      <c r="AP149" s="51">
        <v>0</v>
      </c>
      <c r="AQ149" s="51">
        <v>0</v>
      </c>
      <c r="AR149" s="51">
        <v>0</v>
      </c>
      <c r="AS149" s="51">
        <v>0</v>
      </c>
      <c r="AT149" s="51">
        <v>0</v>
      </c>
      <c r="AU149" s="51">
        <v>0</v>
      </c>
      <c r="AV149" s="51">
        <v>0</v>
      </c>
      <c r="AW149" s="51">
        <v>0</v>
      </c>
      <c r="AX149" s="51">
        <v>0</v>
      </c>
      <c r="AY149" s="51">
        <v>0</v>
      </c>
      <c r="AZ149" s="51">
        <v>0</v>
      </c>
      <c r="BA149" s="51">
        <v>0</v>
      </c>
      <c r="BB149" s="51">
        <v>0</v>
      </c>
      <c r="BC149" s="51">
        <v>0</v>
      </c>
      <c r="BD149" s="51">
        <v>0</v>
      </c>
      <c r="BE149" s="51">
        <v>0</v>
      </c>
      <c r="BF149" s="38"/>
    </row>
    <row r="150" spans="1:58" x14ac:dyDescent="0.2">
      <c r="A150" s="40">
        <v>141</v>
      </c>
      <c r="B150" s="45" t="s">
        <v>330</v>
      </c>
      <c r="C150" s="45" t="s">
        <v>337</v>
      </c>
      <c r="D150" s="38"/>
      <c r="E150" s="38" t="s">
        <v>194</v>
      </c>
      <c r="F150" s="38"/>
      <c r="H150" s="51"/>
      <c r="I150" s="51"/>
      <c r="J150" s="51"/>
      <c r="K150" s="51"/>
      <c r="L150" s="51"/>
      <c r="M150" s="51"/>
      <c r="N150" s="51"/>
      <c r="O150" s="51"/>
      <c r="P150" s="51"/>
      <c r="Q150" s="51"/>
      <c r="R150" s="51"/>
      <c r="S150" s="51"/>
      <c r="T150" s="51"/>
      <c r="U150" s="51"/>
      <c r="V150" s="51"/>
      <c r="W150" s="51"/>
      <c r="X150" s="51"/>
      <c r="Y150" s="51"/>
      <c r="Z150" s="51"/>
      <c r="AA150" s="51"/>
      <c r="AB150" s="51"/>
      <c r="AC150" s="51">
        <v>0</v>
      </c>
      <c r="AD150" s="51">
        <v>0</v>
      </c>
      <c r="AE150" s="51">
        <v>0</v>
      </c>
      <c r="AF150" s="51">
        <v>0</v>
      </c>
      <c r="AG150" s="51">
        <v>0</v>
      </c>
      <c r="AH150" s="51">
        <v>0</v>
      </c>
      <c r="AI150" s="51">
        <v>0</v>
      </c>
      <c r="AJ150" s="51">
        <v>0</v>
      </c>
      <c r="AK150" s="51">
        <v>0</v>
      </c>
      <c r="AL150" s="51">
        <v>0</v>
      </c>
      <c r="AM150" s="51">
        <v>0</v>
      </c>
      <c r="AN150" s="51">
        <v>0</v>
      </c>
      <c r="AO150" s="51">
        <v>0</v>
      </c>
      <c r="AP150" s="51">
        <v>0</v>
      </c>
      <c r="AQ150" s="51">
        <v>0</v>
      </c>
      <c r="AR150" s="51">
        <v>0</v>
      </c>
      <c r="AS150" s="51">
        <v>0</v>
      </c>
      <c r="AT150" s="51">
        <v>0</v>
      </c>
      <c r="AU150" s="51">
        <v>0</v>
      </c>
      <c r="AV150" s="51">
        <v>0</v>
      </c>
      <c r="AW150" s="51">
        <v>0</v>
      </c>
      <c r="AX150" s="51">
        <v>0</v>
      </c>
      <c r="AY150" s="51">
        <v>0</v>
      </c>
      <c r="AZ150" s="51">
        <v>0</v>
      </c>
      <c r="BA150" s="51">
        <v>0</v>
      </c>
      <c r="BB150" s="51">
        <v>0</v>
      </c>
      <c r="BC150" s="51">
        <v>0</v>
      </c>
      <c r="BD150" s="51">
        <v>0</v>
      </c>
      <c r="BE150" s="51">
        <v>0</v>
      </c>
      <c r="BF150" s="38"/>
    </row>
    <row r="151" spans="1:58" x14ac:dyDescent="0.2">
      <c r="A151" s="40">
        <v>142</v>
      </c>
      <c r="B151" s="45" t="s">
        <v>330</v>
      </c>
      <c r="C151" s="45" t="s">
        <v>338</v>
      </c>
      <c r="D151" s="38"/>
      <c r="E151" s="38" t="s">
        <v>194</v>
      </c>
      <c r="F151" s="38"/>
      <c r="H151" s="51"/>
      <c r="I151" s="51"/>
      <c r="J151" s="51"/>
      <c r="K151" s="51"/>
      <c r="L151" s="51"/>
      <c r="M151" s="51"/>
      <c r="N151" s="51"/>
      <c r="O151" s="51"/>
      <c r="P151" s="51"/>
      <c r="Q151" s="51"/>
      <c r="R151" s="51"/>
      <c r="S151" s="51"/>
      <c r="T151" s="51"/>
      <c r="U151" s="51"/>
      <c r="V151" s="51"/>
      <c r="W151" s="51"/>
      <c r="X151" s="51"/>
      <c r="Y151" s="51"/>
      <c r="Z151" s="51"/>
      <c r="AA151" s="51"/>
      <c r="AB151" s="51"/>
      <c r="AC151" s="51">
        <v>0</v>
      </c>
      <c r="AD151" s="51">
        <v>0</v>
      </c>
      <c r="AE151" s="51">
        <v>0</v>
      </c>
      <c r="AF151" s="51">
        <v>0</v>
      </c>
      <c r="AG151" s="51">
        <v>0</v>
      </c>
      <c r="AH151" s="51">
        <v>0</v>
      </c>
      <c r="AI151" s="51">
        <v>0</v>
      </c>
      <c r="AJ151" s="51">
        <v>0</v>
      </c>
      <c r="AK151" s="51">
        <v>0</v>
      </c>
      <c r="AL151" s="51">
        <v>0</v>
      </c>
      <c r="AM151" s="51">
        <v>0</v>
      </c>
      <c r="AN151" s="51">
        <v>0</v>
      </c>
      <c r="AO151" s="51">
        <v>0</v>
      </c>
      <c r="AP151" s="51">
        <v>0</v>
      </c>
      <c r="AQ151" s="51">
        <v>0</v>
      </c>
      <c r="AR151" s="51">
        <v>0</v>
      </c>
      <c r="AS151" s="51">
        <v>0</v>
      </c>
      <c r="AT151" s="51">
        <v>0</v>
      </c>
      <c r="AU151" s="51">
        <v>0</v>
      </c>
      <c r="AV151" s="51">
        <v>0</v>
      </c>
      <c r="AW151" s="51">
        <v>0</v>
      </c>
      <c r="AX151" s="51">
        <v>0</v>
      </c>
      <c r="AY151" s="51">
        <v>0</v>
      </c>
      <c r="AZ151" s="51">
        <v>0</v>
      </c>
      <c r="BA151" s="51">
        <v>0</v>
      </c>
      <c r="BB151" s="51">
        <v>0</v>
      </c>
      <c r="BC151" s="51">
        <v>0</v>
      </c>
      <c r="BD151" s="51">
        <v>0</v>
      </c>
      <c r="BE151" s="51">
        <v>0</v>
      </c>
      <c r="BF151" s="38"/>
    </row>
    <row r="152" spans="1:58" x14ac:dyDescent="0.2">
      <c r="A152" s="40">
        <v>143</v>
      </c>
      <c r="B152" s="45" t="s">
        <v>325</v>
      </c>
      <c r="C152" s="45" t="s">
        <v>339</v>
      </c>
      <c r="D152" s="38"/>
      <c r="E152" s="38" t="s">
        <v>194</v>
      </c>
      <c r="F152" s="68" t="b">
        <v>1</v>
      </c>
      <c r="H152" s="51"/>
      <c r="I152" s="51"/>
      <c r="J152" s="51"/>
      <c r="K152" s="51"/>
      <c r="L152" s="51"/>
      <c r="M152" s="51"/>
      <c r="N152" s="51"/>
      <c r="O152" s="51"/>
      <c r="P152" s="51"/>
      <c r="Q152" s="51"/>
      <c r="R152" s="51"/>
      <c r="S152" s="51"/>
      <c r="T152" s="51"/>
      <c r="U152" s="51"/>
      <c r="V152" s="51"/>
      <c r="W152" s="51"/>
      <c r="X152" s="51"/>
      <c r="Y152" s="51"/>
      <c r="Z152" s="51"/>
      <c r="AA152" s="51"/>
      <c r="AB152" s="51"/>
      <c r="AC152" s="51">
        <v>0</v>
      </c>
      <c r="AD152" s="51">
        <v>0</v>
      </c>
      <c r="AE152" s="54">
        <v>-0.05</v>
      </c>
      <c r="AF152" s="54">
        <v>-2.5000000000000001E-2</v>
      </c>
      <c r="AG152" s="54">
        <v>-2.5000000000000001E-2</v>
      </c>
      <c r="AH152" s="54">
        <v>-2.5000000000000001E-2</v>
      </c>
      <c r="AI152" s="54">
        <v>-2.5000000000000001E-2</v>
      </c>
      <c r="AJ152" s="54">
        <v>-2.5000000000000001E-2</v>
      </c>
      <c r="AK152" s="70">
        <v>-2.5000000000000001E-2</v>
      </c>
      <c r="AL152" s="70">
        <v>-0.01</v>
      </c>
      <c r="AM152" s="70">
        <v>-0.01</v>
      </c>
      <c r="AN152" s="70">
        <v>-0.01</v>
      </c>
      <c r="AO152" s="70">
        <v>-0.01</v>
      </c>
      <c r="AP152" s="70">
        <v>-0.01</v>
      </c>
      <c r="AQ152" s="70">
        <v>-0.01</v>
      </c>
      <c r="AR152" s="70">
        <v>-0.01</v>
      </c>
      <c r="AS152" s="51">
        <v>0</v>
      </c>
      <c r="AT152" s="51">
        <v>0</v>
      </c>
      <c r="AU152" s="51">
        <v>0</v>
      </c>
      <c r="AV152" s="51">
        <v>0</v>
      </c>
      <c r="AW152" s="51">
        <v>0</v>
      </c>
      <c r="AX152" s="51">
        <v>0</v>
      </c>
      <c r="AY152" s="51">
        <v>0</v>
      </c>
      <c r="AZ152" s="51">
        <v>0</v>
      </c>
      <c r="BA152" s="51">
        <v>0</v>
      </c>
      <c r="BB152" s="51">
        <v>0</v>
      </c>
      <c r="BC152" s="51">
        <v>0</v>
      </c>
      <c r="BD152" s="51">
        <v>0</v>
      </c>
      <c r="BE152" s="51">
        <v>0</v>
      </c>
      <c r="BF152" s="38"/>
    </row>
    <row r="153" spans="1:58" x14ac:dyDescent="0.2">
      <c r="A153" s="40">
        <v>144</v>
      </c>
      <c r="B153" s="45" t="s">
        <v>230</v>
      </c>
      <c r="C153" s="45" t="s">
        <v>340</v>
      </c>
      <c r="D153" s="38"/>
      <c r="E153" s="38" t="s">
        <v>194</v>
      </c>
      <c r="F153" s="38"/>
      <c r="H153" s="51"/>
      <c r="I153" s="51"/>
      <c r="J153" s="51"/>
      <c r="K153" s="51"/>
      <c r="L153" s="51"/>
      <c r="M153" s="51"/>
      <c r="N153" s="51"/>
      <c r="O153" s="51"/>
      <c r="P153" s="51"/>
      <c r="Q153" s="51"/>
      <c r="R153" s="51"/>
      <c r="S153" s="51"/>
      <c r="T153" s="51"/>
      <c r="U153" s="51"/>
      <c r="V153" s="51"/>
      <c r="W153" s="51"/>
      <c r="X153" s="51"/>
      <c r="Y153" s="51"/>
      <c r="Z153" s="51"/>
      <c r="AA153" s="51"/>
      <c r="AB153" s="51"/>
      <c r="AC153" s="51">
        <v>0</v>
      </c>
      <c r="AD153" s="51">
        <v>0</v>
      </c>
      <c r="AE153" s="51">
        <v>0</v>
      </c>
      <c r="AF153" s="51">
        <v>0</v>
      </c>
      <c r="AG153" s="51">
        <v>0</v>
      </c>
      <c r="AH153" s="51">
        <v>0</v>
      </c>
      <c r="AI153" s="51">
        <v>0</v>
      </c>
      <c r="AJ153" s="51">
        <v>0</v>
      </c>
      <c r="AK153" s="51">
        <v>0</v>
      </c>
      <c r="AL153" s="51">
        <v>0</v>
      </c>
      <c r="AM153" s="51">
        <v>0</v>
      </c>
      <c r="AN153" s="51">
        <v>0</v>
      </c>
      <c r="AO153" s="51">
        <v>0</v>
      </c>
      <c r="AP153" s="51">
        <v>0</v>
      </c>
      <c r="AQ153" s="51">
        <v>0</v>
      </c>
      <c r="AR153" s="51">
        <v>0</v>
      </c>
      <c r="AS153" s="51">
        <v>0</v>
      </c>
      <c r="AT153" s="51">
        <v>0</v>
      </c>
      <c r="AU153" s="51">
        <v>0</v>
      </c>
      <c r="AV153" s="51">
        <v>0</v>
      </c>
      <c r="AW153" s="51">
        <v>0</v>
      </c>
      <c r="AX153" s="51">
        <v>0</v>
      </c>
      <c r="AY153" s="51">
        <v>0</v>
      </c>
      <c r="AZ153" s="51">
        <v>0</v>
      </c>
      <c r="BA153" s="51">
        <v>0</v>
      </c>
      <c r="BB153" s="51">
        <v>0</v>
      </c>
      <c r="BC153" s="51">
        <v>0</v>
      </c>
      <c r="BD153" s="51">
        <v>0</v>
      </c>
      <c r="BE153" s="51">
        <v>0</v>
      </c>
      <c r="BF153" s="38"/>
    </row>
    <row r="154" spans="1:58" x14ac:dyDescent="0.2">
      <c r="A154" s="40">
        <v>145</v>
      </c>
      <c r="B154" s="45" t="s">
        <v>325</v>
      </c>
      <c r="C154" s="45" t="s">
        <v>193</v>
      </c>
      <c r="D154" s="38"/>
      <c r="E154" s="38" t="s">
        <v>194</v>
      </c>
      <c r="F154" s="38"/>
      <c r="H154" s="64"/>
      <c r="I154" s="64"/>
      <c r="J154" s="64"/>
      <c r="K154" s="64"/>
      <c r="L154" s="64"/>
      <c r="M154" s="64"/>
      <c r="N154" s="64"/>
      <c r="O154" s="64"/>
      <c r="P154" s="64"/>
      <c r="Q154" s="64"/>
      <c r="R154" s="64"/>
      <c r="S154" s="64"/>
      <c r="T154" s="64"/>
      <c r="U154" s="64"/>
      <c r="V154" s="64"/>
      <c r="W154" s="64"/>
      <c r="X154" s="64"/>
      <c r="Y154" s="64"/>
      <c r="Z154" s="64"/>
      <c r="AA154" s="64"/>
      <c r="AB154" s="64"/>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38"/>
    </row>
    <row r="155" spans="1:58" x14ac:dyDescent="0.2">
      <c r="A155" s="40">
        <v>146</v>
      </c>
      <c r="B155" s="45" t="s">
        <v>325</v>
      </c>
      <c r="C155" s="45" t="s">
        <v>193</v>
      </c>
      <c r="D155" s="38"/>
      <c r="E155" s="38" t="s">
        <v>194</v>
      </c>
      <c r="F155" s="38"/>
      <c r="H155" s="64"/>
      <c r="I155" s="64"/>
      <c r="J155" s="64"/>
      <c r="K155" s="64"/>
      <c r="L155" s="64"/>
      <c r="M155" s="64"/>
      <c r="N155" s="64"/>
      <c r="O155" s="64"/>
      <c r="P155" s="64"/>
      <c r="Q155" s="64"/>
      <c r="R155" s="64"/>
      <c r="S155" s="64"/>
      <c r="T155" s="64"/>
      <c r="U155" s="64"/>
      <c r="V155" s="64"/>
      <c r="W155" s="64"/>
      <c r="X155" s="64"/>
      <c r="Y155" s="64"/>
      <c r="Z155" s="64"/>
      <c r="AA155" s="64"/>
      <c r="AB155" s="64"/>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38"/>
    </row>
    <row r="156" spans="1:58" x14ac:dyDescent="0.2">
      <c r="A156" s="40">
        <v>147</v>
      </c>
      <c r="B156" s="45" t="s">
        <v>325</v>
      </c>
      <c r="C156" s="45" t="s">
        <v>193</v>
      </c>
      <c r="D156" s="38"/>
      <c r="E156" s="38" t="s">
        <v>194</v>
      </c>
      <c r="F156" s="38"/>
      <c r="H156" s="64"/>
      <c r="I156" s="64"/>
      <c r="J156" s="64"/>
      <c r="K156" s="64"/>
      <c r="L156" s="64"/>
      <c r="M156" s="64"/>
      <c r="N156" s="64"/>
      <c r="O156" s="64"/>
      <c r="P156" s="64"/>
      <c r="Q156" s="64"/>
      <c r="R156" s="64"/>
      <c r="S156" s="64"/>
      <c r="T156" s="64"/>
      <c r="U156" s="64"/>
      <c r="V156" s="64"/>
      <c r="W156" s="64"/>
      <c r="X156" s="64"/>
      <c r="Y156" s="64"/>
      <c r="Z156" s="64"/>
      <c r="AA156" s="64"/>
      <c r="AB156" s="64"/>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38"/>
    </row>
    <row r="157" spans="1:58" x14ac:dyDescent="0.2">
      <c r="A157" s="40">
        <v>148</v>
      </c>
      <c r="B157" s="45" t="s">
        <v>325</v>
      </c>
      <c r="C157" s="45" t="s">
        <v>193</v>
      </c>
      <c r="D157" s="38"/>
      <c r="E157" s="38" t="s">
        <v>194</v>
      </c>
      <c r="F157" s="38"/>
      <c r="H157" s="64"/>
      <c r="I157" s="64"/>
      <c r="J157" s="64"/>
      <c r="K157" s="64"/>
      <c r="L157" s="64"/>
      <c r="M157" s="64"/>
      <c r="N157" s="64"/>
      <c r="O157" s="64"/>
      <c r="P157" s="64"/>
      <c r="Q157" s="64"/>
      <c r="R157" s="64"/>
      <c r="S157" s="64"/>
      <c r="T157" s="64"/>
      <c r="U157" s="64"/>
      <c r="V157" s="64"/>
      <c r="W157" s="64"/>
      <c r="X157" s="64"/>
      <c r="Y157" s="64"/>
      <c r="Z157" s="64"/>
      <c r="AA157" s="64"/>
      <c r="AB157" s="64"/>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38"/>
    </row>
    <row r="158" spans="1:58" x14ac:dyDescent="0.2">
      <c r="A158" s="40">
        <v>149</v>
      </c>
      <c r="B158" s="45" t="s">
        <v>341</v>
      </c>
      <c r="C158" s="45" t="s">
        <v>342</v>
      </c>
      <c r="D158" s="38"/>
      <c r="E158" s="38" t="s">
        <v>194</v>
      </c>
      <c r="F158" s="38"/>
      <c r="H158" s="51"/>
      <c r="I158" s="51"/>
      <c r="J158" s="51"/>
      <c r="K158" s="51"/>
      <c r="L158" s="51"/>
      <c r="M158" s="51"/>
      <c r="N158" s="51"/>
      <c r="O158" s="51"/>
      <c r="P158" s="51"/>
      <c r="Q158" s="51"/>
      <c r="R158" s="51"/>
      <c r="S158" s="51"/>
      <c r="T158" s="51"/>
      <c r="U158" s="51"/>
      <c r="V158" s="51"/>
      <c r="W158" s="51"/>
      <c r="X158" s="51"/>
      <c r="Y158" s="51"/>
      <c r="Z158" s="51"/>
      <c r="AA158" s="51"/>
      <c r="AB158" s="51"/>
      <c r="AC158" s="64">
        <v>0</v>
      </c>
      <c r="AD158" s="64">
        <v>0</v>
      </c>
      <c r="AE158" s="64">
        <v>0</v>
      </c>
      <c r="AF158" s="64">
        <v>0</v>
      </c>
      <c r="AG158" s="64">
        <v>0</v>
      </c>
      <c r="AH158" s="64">
        <v>0</v>
      </c>
      <c r="AI158" s="64">
        <v>0</v>
      </c>
      <c r="AJ158" s="64">
        <v>0</v>
      </c>
      <c r="AK158" s="64">
        <v>0</v>
      </c>
      <c r="AL158" s="64">
        <v>0</v>
      </c>
      <c r="AM158" s="64">
        <v>0</v>
      </c>
      <c r="AN158" s="64">
        <v>0</v>
      </c>
      <c r="AO158" s="64">
        <v>0</v>
      </c>
      <c r="AP158" s="64">
        <v>0</v>
      </c>
      <c r="AQ158" s="64">
        <v>0</v>
      </c>
      <c r="AR158" s="64">
        <v>0</v>
      </c>
      <c r="AS158" s="64">
        <v>0</v>
      </c>
      <c r="AT158" s="64">
        <v>0</v>
      </c>
      <c r="AU158" s="64">
        <v>0</v>
      </c>
      <c r="AV158" s="64">
        <v>0</v>
      </c>
      <c r="AW158" s="64">
        <v>0</v>
      </c>
      <c r="AX158" s="64">
        <v>0</v>
      </c>
      <c r="AY158" s="64">
        <v>0</v>
      </c>
      <c r="AZ158" s="64">
        <v>0</v>
      </c>
      <c r="BA158" s="64">
        <v>0</v>
      </c>
      <c r="BB158" s="64">
        <v>0</v>
      </c>
      <c r="BC158" s="64">
        <v>0</v>
      </c>
      <c r="BD158" s="64">
        <v>0</v>
      </c>
      <c r="BE158" s="64">
        <v>0</v>
      </c>
      <c r="BF158" s="38"/>
    </row>
    <row r="159" spans="1:58" x14ac:dyDescent="0.2">
      <c r="A159" s="40">
        <v>150</v>
      </c>
      <c r="B159" s="45" t="s">
        <v>341</v>
      </c>
      <c r="C159" s="45" t="s">
        <v>343</v>
      </c>
      <c r="D159" s="38"/>
      <c r="E159" s="38" t="s">
        <v>194</v>
      </c>
      <c r="F159" s="38"/>
      <c r="H159" s="51"/>
      <c r="I159" s="51"/>
      <c r="J159" s="51"/>
      <c r="K159" s="51"/>
      <c r="L159" s="51"/>
      <c r="M159" s="51"/>
      <c r="N159" s="51"/>
      <c r="O159" s="51"/>
      <c r="P159" s="51"/>
      <c r="Q159" s="51"/>
      <c r="R159" s="51"/>
      <c r="S159" s="51"/>
      <c r="T159" s="51"/>
      <c r="U159" s="51"/>
      <c r="V159" s="51"/>
      <c r="W159" s="51"/>
      <c r="X159" s="51"/>
      <c r="Y159" s="51"/>
      <c r="Z159" s="51"/>
      <c r="AA159" s="51"/>
      <c r="AB159" s="51"/>
      <c r="AC159" s="64">
        <v>0</v>
      </c>
      <c r="AD159" s="64">
        <v>0</v>
      </c>
      <c r="AE159" s="64">
        <v>0</v>
      </c>
      <c r="AF159" s="64">
        <v>0</v>
      </c>
      <c r="AG159" s="64">
        <v>0</v>
      </c>
      <c r="AH159" s="64">
        <v>0</v>
      </c>
      <c r="AI159" s="64">
        <v>0</v>
      </c>
      <c r="AJ159" s="64">
        <v>0</v>
      </c>
      <c r="AK159" s="64">
        <v>0</v>
      </c>
      <c r="AL159" s="64">
        <v>0</v>
      </c>
      <c r="AM159" s="64">
        <v>0</v>
      </c>
      <c r="AN159" s="64">
        <v>0</v>
      </c>
      <c r="AO159" s="64">
        <v>0</v>
      </c>
      <c r="AP159" s="64">
        <v>0</v>
      </c>
      <c r="AQ159" s="64">
        <v>0</v>
      </c>
      <c r="AR159" s="64">
        <v>0</v>
      </c>
      <c r="AS159" s="64">
        <v>0</v>
      </c>
      <c r="AT159" s="64">
        <v>0</v>
      </c>
      <c r="AU159" s="64">
        <v>0</v>
      </c>
      <c r="AV159" s="64">
        <v>0</v>
      </c>
      <c r="AW159" s="64">
        <v>0</v>
      </c>
      <c r="AX159" s="64">
        <v>0</v>
      </c>
      <c r="AY159" s="64">
        <v>0</v>
      </c>
      <c r="AZ159" s="64">
        <v>0</v>
      </c>
      <c r="BA159" s="64">
        <v>0</v>
      </c>
      <c r="BB159" s="64">
        <v>0</v>
      </c>
      <c r="BC159" s="64">
        <v>0</v>
      </c>
      <c r="BD159" s="64">
        <v>0</v>
      </c>
      <c r="BE159" s="64">
        <v>0</v>
      </c>
      <c r="BF159" s="38"/>
    </row>
    <row r="160" spans="1:58" x14ac:dyDescent="0.2">
      <c r="A160" s="40">
        <v>148</v>
      </c>
      <c r="B160" s="45" t="s">
        <v>325</v>
      </c>
      <c r="C160" s="45" t="s">
        <v>193</v>
      </c>
      <c r="D160" s="38"/>
      <c r="E160" s="38" t="s">
        <v>194</v>
      </c>
      <c r="F160" s="38"/>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2"/>
      <c r="AM160" s="72"/>
      <c r="AN160" s="72"/>
      <c r="AO160" s="72"/>
      <c r="AP160" s="72"/>
      <c r="AQ160" s="72"/>
      <c r="AR160" s="72"/>
      <c r="AS160" s="72"/>
      <c r="AT160" s="72"/>
      <c r="AU160" s="72"/>
      <c r="AV160" s="72"/>
      <c r="AW160" s="72"/>
      <c r="AX160" s="72"/>
      <c r="AY160" s="72"/>
      <c r="AZ160" s="72"/>
      <c r="BA160" s="72"/>
      <c r="BB160" s="72"/>
      <c r="BC160" s="72"/>
      <c r="BD160" s="72"/>
      <c r="BE160" s="72"/>
      <c r="BF160" s="38"/>
    </row>
    <row r="161" spans="1:58" x14ac:dyDescent="0.2">
      <c r="A161" s="40">
        <v>149</v>
      </c>
      <c r="B161" s="45" t="s">
        <v>341</v>
      </c>
      <c r="C161" s="45" t="s">
        <v>342</v>
      </c>
      <c r="D161" s="38"/>
      <c r="E161" s="38" t="s">
        <v>194</v>
      </c>
      <c r="F161" s="38"/>
      <c r="H161" s="73">
        <v>0</v>
      </c>
      <c r="I161" s="73">
        <v>0</v>
      </c>
      <c r="J161" s="73">
        <v>0</v>
      </c>
      <c r="K161" s="73">
        <v>0</v>
      </c>
      <c r="L161" s="73">
        <v>0</v>
      </c>
      <c r="M161" s="73">
        <v>0</v>
      </c>
      <c r="N161" s="73">
        <v>0</v>
      </c>
      <c r="O161" s="73">
        <v>0</v>
      </c>
      <c r="P161" s="73">
        <v>0</v>
      </c>
      <c r="Q161" s="73">
        <v>0</v>
      </c>
      <c r="R161" s="73">
        <v>0</v>
      </c>
      <c r="S161" s="73">
        <v>0</v>
      </c>
      <c r="T161" s="73">
        <v>0</v>
      </c>
      <c r="U161" s="73">
        <v>0</v>
      </c>
      <c r="V161" s="73">
        <v>0</v>
      </c>
      <c r="W161" s="73">
        <v>0</v>
      </c>
      <c r="X161" s="73">
        <v>0</v>
      </c>
      <c r="Y161" s="73">
        <v>0</v>
      </c>
      <c r="Z161" s="73">
        <v>0</v>
      </c>
      <c r="AA161" s="73">
        <v>0</v>
      </c>
      <c r="AB161" s="73">
        <v>0</v>
      </c>
      <c r="AC161" s="73">
        <v>0</v>
      </c>
      <c r="AD161" s="73">
        <v>0</v>
      </c>
      <c r="AE161" s="73">
        <v>0</v>
      </c>
      <c r="AF161" s="73">
        <v>-0.75616885346185247</v>
      </c>
      <c r="AG161" s="73">
        <v>0</v>
      </c>
      <c r="AH161" s="73">
        <v>0</v>
      </c>
      <c r="AI161" s="73">
        <v>0</v>
      </c>
      <c r="AJ161" s="73">
        <v>0</v>
      </c>
      <c r="AK161" s="73">
        <v>0</v>
      </c>
      <c r="AL161" s="73">
        <v>0</v>
      </c>
      <c r="AM161" s="73">
        <v>0</v>
      </c>
      <c r="AN161" s="73">
        <v>0</v>
      </c>
      <c r="AO161" s="73">
        <v>0</v>
      </c>
      <c r="AP161" s="73">
        <v>0</v>
      </c>
      <c r="AQ161" s="73">
        <v>0</v>
      </c>
      <c r="AR161" s="73">
        <v>0</v>
      </c>
      <c r="AS161" s="73">
        <v>0</v>
      </c>
      <c r="AT161" s="73">
        <v>0</v>
      </c>
      <c r="AU161" s="73">
        <v>0</v>
      </c>
      <c r="AV161" s="73">
        <v>0</v>
      </c>
      <c r="AW161" s="73">
        <v>0</v>
      </c>
      <c r="AX161" s="73">
        <v>0</v>
      </c>
      <c r="AY161" s="73">
        <v>0</v>
      </c>
      <c r="AZ161" s="73">
        <v>0</v>
      </c>
      <c r="BA161" s="73">
        <v>0</v>
      </c>
      <c r="BB161" s="73">
        <v>0</v>
      </c>
      <c r="BC161" s="73">
        <v>0</v>
      </c>
      <c r="BD161" s="73">
        <v>0</v>
      </c>
      <c r="BE161" s="73">
        <v>0</v>
      </c>
      <c r="BF161" s="38"/>
    </row>
    <row r="162" spans="1:58" x14ac:dyDescent="0.2">
      <c r="A162" s="40">
        <v>150</v>
      </c>
      <c r="B162" s="45" t="s">
        <v>341</v>
      </c>
      <c r="C162" s="45" t="s">
        <v>343</v>
      </c>
      <c r="D162" s="38"/>
      <c r="E162" s="38" t="s">
        <v>194</v>
      </c>
      <c r="F162" s="38"/>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2"/>
      <c r="AM162" s="72"/>
      <c r="AN162" s="72"/>
      <c r="AO162" s="72"/>
      <c r="AP162" s="72"/>
      <c r="AQ162" s="72"/>
      <c r="AR162" s="72"/>
      <c r="AS162" s="72"/>
      <c r="AT162" s="72"/>
      <c r="AU162" s="72"/>
      <c r="AV162" s="72"/>
      <c r="AW162" s="72"/>
      <c r="AX162" s="72"/>
      <c r="AY162" s="72"/>
      <c r="AZ162" s="72"/>
      <c r="BA162" s="72"/>
      <c r="BB162" s="72"/>
      <c r="BC162" s="72"/>
      <c r="BD162" s="72"/>
      <c r="BE162" s="72"/>
      <c r="BF162" s="38"/>
    </row>
  </sheetData>
  <hyperlinks>
    <hyperlink ref="A2" r:id="rId1" xr:uid="{5C767B6E-81AD-41A8-8CAB-DF3D4EADBC00}"/>
    <hyperlink ref="A3" r:id="rId2" xr:uid="{F8AED77F-94BA-4D4D-B1E9-7BED7BD71259}"/>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2F78-527A-4BB4-9D2B-97D23010661E}">
  <sheetPr codeName="Sheet16">
    <tabColor rgb="FFFF0000"/>
  </sheetPr>
  <dimension ref="A1"/>
  <sheetViews>
    <sheetView showGridLines="0" workbookViewId="0"/>
  </sheetViews>
  <sheetFormatPr defaultColWidth="8.7109375" defaultRowHeight="12" x14ac:dyDescent="0.2"/>
  <cols>
    <col min="1" max="16384" width="8.7109375" style="16"/>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DED95-A244-4DFC-8A2B-56DF825AB094}">
  <sheetPr codeName="Sheet4"/>
  <dimension ref="A1:AE180"/>
  <sheetViews>
    <sheetView zoomScaleNormal="100" workbookViewId="0">
      <pane ySplit="2" topLeftCell="A3" activePane="bottomLeft" state="frozen"/>
      <selection activeCell="B156" sqref="B156:AJ166"/>
      <selection pane="bottomLeft"/>
    </sheetView>
  </sheetViews>
  <sheetFormatPr defaultColWidth="9.28515625" defaultRowHeight="12" x14ac:dyDescent="0.2"/>
  <cols>
    <col min="1" max="1" width="9.28515625" style="87"/>
    <col min="2" max="2" width="14.7109375" style="87" customWidth="1"/>
    <col min="3" max="3" width="31.42578125" style="87" customWidth="1"/>
    <col min="4" max="4" width="29.7109375" style="87" customWidth="1"/>
    <col min="5" max="29" width="9.28515625" style="87" customWidth="1"/>
    <col min="30" max="35" width="9.28515625" style="87"/>
    <col min="36" max="36" width="10.85546875" style="87" bestFit="1" customWidth="1"/>
    <col min="37" max="16384" width="9.28515625" style="87"/>
  </cols>
  <sheetData>
    <row r="1" spans="1:30" ht="23.25" x14ac:dyDescent="0.2">
      <c r="A1" s="121" t="s">
        <v>364</v>
      </c>
    </row>
    <row r="2" spans="1:30" s="135" customFormat="1" ht="12.75" x14ac:dyDescent="0.2"/>
    <row r="3" spans="1:30" s="135" customFormat="1" ht="12.75" x14ac:dyDescent="0.2">
      <c r="F3" s="135">
        <v>2015</v>
      </c>
      <c r="G3" s="135">
        <v>2016</v>
      </c>
      <c r="H3" s="135">
        <v>2017</v>
      </c>
      <c r="I3" s="135">
        <v>2018</v>
      </c>
      <c r="J3" s="135">
        <v>2019</v>
      </c>
      <c r="K3" s="135">
        <v>2020</v>
      </c>
      <c r="L3" s="135">
        <v>2021</v>
      </c>
      <c r="M3" s="135">
        <v>2021</v>
      </c>
      <c r="N3" s="135">
        <v>2021</v>
      </c>
      <c r="O3" s="135">
        <v>2021</v>
      </c>
      <c r="P3" s="135">
        <v>2021</v>
      </c>
      <c r="Q3" s="135">
        <v>2021</v>
      </c>
      <c r="R3" s="135">
        <v>2021</v>
      </c>
      <c r="S3" s="135">
        <v>2021</v>
      </c>
      <c r="T3" s="135">
        <v>2021</v>
      </c>
      <c r="U3" s="135">
        <v>2021</v>
      </c>
      <c r="V3" s="135">
        <v>2021</v>
      </c>
      <c r="W3" s="135">
        <v>2021</v>
      </c>
      <c r="X3" s="135">
        <v>2021</v>
      </c>
      <c r="Y3" s="135">
        <v>2021</v>
      </c>
      <c r="Z3" s="135">
        <v>2021</v>
      </c>
      <c r="AA3" s="135">
        <v>2021</v>
      </c>
      <c r="AB3" s="135">
        <v>2021</v>
      </c>
      <c r="AC3" s="135">
        <v>2021</v>
      </c>
      <c r="AD3" s="135">
        <v>2021</v>
      </c>
    </row>
    <row r="4" spans="1:30" s="135" customFormat="1" ht="12.75" x14ac:dyDescent="0.2">
      <c r="B4" s="149"/>
      <c r="C4" s="135" t="s">
        <v>376</v>
      </c>
      <c r="D4" s="136" t="s">
        <v>377</v>
      </c>
      <c r="E4" s="146"/>
      <c r="F4" s="146">
        <v>0</v>
      </c>
      <c r="G4" s="146">
        <v>0.7</v>
      </c>
      <c r="H4" s="146">
        <v>2.7</v>
      </c>
      <c r="I4" s="146">
        <v>2.5</v>
      </c>
      <c r="J4" s="146">
        <v>1.8</v>
      </c>
      <c r="K4" s="146">
        <v>0.9</v>
      </c>
      <c r="L4" s="146">
        <v>2.6</v>
      </c>
    </row>
    <row r="5" spans="1:30" s="135" customFormat="1" ht="13.5" thickBot="1" x14ac:dyDescent="0.25">
      <c r="B5" s="149"/>
    </row>
    <row r="6" spans="1:30" s="135" customFormat="1" ht="13.5" thickBot="1" x14ac:dyDescent="0.25">
      <c r="B6" s="149" t="s">
        <v>346</v>
      </c>
      <c r="C6" s="135" t="s">
        <v>347</v>
      </c>
      <c r="D6" s="135" t="s">
        <v>345</v>
      </c>
      <c r="F6" s="150">
        <f>AVERAGEIF($D$24:$D$172,$D$6,F$24:F$172)</f>
        <v>-2.6500000000000003E-2</v>
      </c>
      <c r="G6" s="150">
        <f t="shared" ref="G6:AD6" si="0">AVERAGEIF($D$24:$D$172,$D$6,G$24:G$172)</f>
        <v>-2.6500000000000003E-2</v>
      </c>
      <c r="H6" s="150">
        <f t="shared" si="0"/>
        <v>-2.6500000000000003E-2</v>
      </c>
      <c r="I6" s="150">
        <f t="shared" si="0"/>
        <v>-2.6500000000000003E-2</v>
      </c>
      <c r="J6" s="150">
        <f t="shared" si="0"/>
        <v>-2.4499999999999997E-2</v>
      </c>
      <c r="K6" s="150">
        <f t="shared" si="0"/>
        <v>-1.2E-2</v>
      </c>
      <c r="L6" s="151">
        <f t="shared" si="0"/>
        <v>-1.2E-2</v>
      </c>
      <c r="M6" s="152">
        <f t="shared" si="0"/>
        <v>-1.2E-2</v>
      </c>
      <c r="N6" s="150">
        <f t="shared" si="0"/>
        <v>-1.2E-2</v>
      </c>
      <c r="O6" s="150">
        <f t="shared" si="0"/>
        <v>-1.2E-2</v>
      </c>
      <c r="P6" s="150">
        <f t="shared" si="0"/>
        <v>-1.2E-2</v>
      </c>
      <c r="Q6" s="150">
        <f t="shared" si="0"/>
        <v>-1.2E-2</v>
      </c>
      <c r="R6" s="150">
        <f t="shared" si="0"/>
        <v>0</v>
      </c>
      <c r="S6" s="150">
        <f t="shared" si="0"/>
        <v>0</v>
      </c>
      <c r="T6" s="150">
        <f t="shared" si="0"/>
        <v>0</v>
      </c>
      <c r="U6" s="150">
        <f t="shared" si="0"/>
        <v>0</v>
      </c>
      <c r="V6" s="150">
        <f t="shared" si="0"/>
        <v>0</v>
      </c>
      <c r="W6" s="150">
        <f t="shared" si="0"/>
        <v>0</v>
      </c>
      <c r="X6" s="150">
        <f t="shared" si="0"/>
        <v>0</v>
      </c>
      <c r="Y6" s="150">
        <f t="shared" si="0"/>
        <v>0</v>
      </c>
      <c r="Z6" s="150">
        <f t="shared" si="0"/>
        <v>0</v>
      </c>
      <c r="AA6" s="150">
        <f t="shared" si="0"/>
        <v>0</v>
      </c>
      <c r="AB6" s="150">
        <f t="shared" si="0"/>
        <v>0</v>
      </c>
      <c r="AC6" s="150">
        <f t="shared" si="0"/>
        <v>0</v>
      </c>
      <c r="AD6" s="150">
        <f t="shared" si="0"/>
        <v>0</v>
      </c>
    </row>
    <row r="7" spans="1:30" s="135" customFormat="1" ht="13.5" thickBot="1" x14ac:dyDescent="0.25">
      <c r="B7" s="149"/>
      <c r="C7" s="135" t="s">
        <v>348</v>
      </c>
      <c r="D7" s="135" t="s">
        <v>344</v>
      </c>
      <c r="F7" s="150">
        <f t="shared" ref="F7:AD7" si="1">AVERAGEIF($D$24:$D$172,$D$7,F$24:F$172)</f>
        <v>5.0000000000000001E-3</v>
      </c>
      <c r="G7" s="150">
        <f t="shared" si="1"/>
        <v>5.0000000000000001E-3</v>
      </c>
      <c r="H7" s="150">
        <f t="shared" si="1"/>
        <v>5.0000000000000001E-3</v>
      </c>
      <c r="I7" s="150">
        <f t="shared" si="1"/>
        <v>0</v>
      </c>
      <c r="J7" s="150">
        <f t="shared" si="1"/>
        <v>0</v>
      </c>
      <c r="K7" s="150">
        <f t="shared" si="1"/>
        <v>0</v>
      </c>
      <c r="L7" s="151">
        <f t="shared" si="1"/>
        <v>0</v>
      </c>
      <c r="M7" s="152">
        <f t="shared" si="1"/>
        <v>0</v>
      </c>
      <c r="N7" s="150">
        <f t="shared" si="1"/>
        <v>0</v>
      </c>
      <c r="O7" s="150">
        <f t="shared" si="1"/>
        <v>0</v>
      </c>
      <c r="P7" s="150">
        <f t="shared" si="1"/>
        <v>0</v>
      </c>
      <c r="Q7" s="150">
        <f t="shared" si="1"/>
        <v>0</v>
      </c>
      <c r="R7" s="150">
        <f t="shared" si="1"/>
        <v>0</v>
      </c>
      <c r="S7" s="150">
        <f t="shared" si="1"/>
        <v>0</v>
      </c>
      <c r="T7" s="150">
        <f t="shared" si="1"/>
        <v>0</v>
      </c>
      <c r="U7" s="150">
        <f t="shared" si="1"/>
        <v>0</v>
      </c>
      <c r="V7" s="150">
        <f t="shared" si="1"/>
        <v>0</v>
      </c>
      <c r="W7" s="150">
        <f t="shared" si="1"/>
        <v>0</v>
      </c>
      <c r="X7" s="150">
        <f t="shared" si="1"/>
        <v>0</v>
      </c>
      <c r="Y7" s="150">
        <f t="shared" si="1"/>
        <v>0</v>
      </c>
      <c r="Z7" s="150">
        <f t="shared" si="1"/>
        <v>0</v>
      </c>
      <c r="AA7" s="150">
        <f t="shared" si="1"/>
        <v>0</v>
      </c>
      <c r="AB7" s="150">
        <f t="shared" si="1"/>
        <v>0</v>
      </c>
      <c r="AC7" s="150">
        <f t="shared" si="1"/>
        <v>0</v>
      </c>
      <c r="AD7" s="150">
        <f t="shared" si="1"/>
        <v>0</v>
      </c>
    </row>
    <row r="8" spans="1:30" s="135" customFormat="1" ht="13.5" thickBot="1" x14ac:dyDescent="0.25">
      <c r="B8" s="149"/>
      <c r="C8" s="135" t="s">
        <v>349</v>
      </c>
      <c r="D8" s="135" t="s">
        <v>350</v>
      </c>
      <c r="F8" s="150">
        <f t="shared" ref="F8:L8" si="2">F4/100</f>
        <v>0</v>
      </c>
      <c r="G8" s="150">
        <f t="shared" si="2"/>
        <v>6.9999999999999993E-3</v>
      </c>
      <c r="H8" s="150">
        <f t="shared" si="2"/>
        <v>2.7000000000000003E-2</v>
      </c>
      <c r="I8" s="150">
        <f t="shared" si="2"/>
        <v>2.5000000000000001E-2</v>
      </c>
      <c r="J8" s="150">
        <f t="shared" si="2"/>
        <v>1.8000000000000002E-2</v>
      </c>
      <c r="K8" s="150">
        <f t="shared" si="2"/>
        <v>9.0000000000000011E-3</v>
      </c>
      <c r="L8" s="150">
        <f t="shared" si="2"/>
        <v>2.6000000000000002E-2</v>
      </c>
    </row>
    <row r="9" spans="1:30" s="135" customFormat="1" ht="12.75" x14ac:dyDescent="0.2">
      <c r="B9" s="149"/>
    </row>
    <row r="10" spans="1:30" s="135" customFormat="1" ht="12.75" x14ac:dyDescent="0.2">
      <c r="B10" s="149"/>
    </row>
    <row r="11" spans="1:30" s="135" customFormat="1" ht="12.75" x14ac:dyDescent="0.2">
      <c r="B11" s="149" t="s">
        <v>351</v>
      </c>
      <c r="C11" s="135" t="s">
        <v>352</v>
      </c>
      <c r="E11" s="153">
        <v>1</v>
      </c>
      <c r="F11" s="153">
        <f>E11*(1+F6)</f>
        <v>0.97350000000000003</v>
      </c>
      <c r="G11" s="153">
        <f t="shared" ref="F11:L13" si="3">F11*(1+G6)</f>
        <v>0.94770225000000008</v>
      </c>
      <c r="H11" s="153">
        <f t="shared" si="3"/>
        <v>0.92258814037500014</v>
      </c>
      <c r="I11" s="153">
        <f t="shared" si="3"/>
        <v>0.89813955465506268</v>
      </c>
      <c r="J11" s="153">
        <f t="shared" si="3"/>
        <v>0.87613513556601363</v>
      </c>
      <c r="K11" s="153">
        <f t="shared" si="3"/>
        <v>0.86562151393922149</v>
      </c>
      <c r="L11" s="153">
        <f t="shared" si="3"/>
        <v>0.85523405577195077</v>
      </c>
    </row>
    <row r="12" spans="1:30" s="135" customFormat="1" ht="12.75" x14ac:dyDescent="0.2">
      <c r="C12" s="135" t="s">
        <v>353</v>
      </c>
      <c r="E12" s="153">
        <v>1</v>
      </c>
      <c r="F12" s="153">
        <f t="shared" si="3"/>
        <v>1.0049999999999999</v>
      </c>
      <c r="G12" s="153">
        <f t="shared" si="3"/>
        <v>1.0100249999999997</v>
      </c>
      <c r="H12" s="153">
        <f t="shared" si="3"/>
        <v>1.0150751249999996</v>
      </c>
      <c r="I12" s="153">
        <f t="shared" si="3"/>
        <v>1.0150751249999996</v>
      </c>
      <c r="J12" s="153">
        <f t="shared" si="3"/>
        <v>1.0150751249999996</v>
      </c>
      <c r="K12" s="153">
        <f t="shared" si="3"/>
        <v>1.0150751249999996</v>
      </c>
      <c r="L12" s="153">
        <f t="shared" si="3"/>
        <v>1.0150751249999996</v>
      </c>
    </row>
    <row r="13" spans="1:30" s="135" customFormat="1" ht="12.75" x14ac:dyDescent="0.2">
      <c r="C13" s="135" t="s">
        <v>349</v>
      </c>
      <c r="E13" s="153">
        <v>1</v>
      </c>
      <c r="F13" s="153">
        <f t="shared" si="3"/>
        <v>1</v>
      </c>
      <c r="G13" s="153">
        <f t="shared" si="3"/>
        <v>1.0069999999999999</v>
      </c>
      <c r="H13" s="153">
        <f t="shared" si="3"/>
        <v>1.0341889999999998</v>
      </c>
      <c r="I13" s="153">
        <f t="shared" si="3"/>
        <v>1.0600437249999997</v>
      </c>
      <c r="J13" s="153">
        <f t="shared" si="3"/>
        <v>1.0791245120499997</v>
      </c>
      <c r="K13" s="153">
        <f t="shared" si="3"/>
        <v>1.0888366326584495</v>
      </c>
      <c r="L13" s="153">
        <f t="shared" si="3"/>
        <v>1.1171463851075694</v>
      </c>
    </row>
    <row r="14" spans="1:30" s="135" customFormat="1" ht="12.75" x14ac:dyDescent="0.2"/>
    <row r="15" spans="1:30" s="135" customFormat="1" ht="12.75" x14ac:dyDescent="0.2">
      <c r="C15" s="154" t="s">
        <v>363</v>
      </c>
    </row>
    <row r="16" spans="1:30" s="135" customFormat="1" ht="12.75" x14ac:dyDescent="0.2">
      <c r="C16" s="135" t="s">
        <v>375</v>
      </c>
      <c r="E16" s="153"/>
      <c r="L16" s="148">
        <f>L12*L13</f>
        <v>1.1339875065063636</v>
      </c>
    </row>
    <row r="17" spans="1:30" s="135" customFormat="1" ht="12.75" x14ac:dyDescent="0.2">
      <c r="E17" s="153"/>
    </row>
    <row r="18" spans="1:30" s="135" customFormat="1" ht="12.75" x14ac:dyDescent="0.2">
      <c r="E18" s="153"/>
    </row>
    <row r="19" spans="1:30" s="135" customFormat="1" ht="12.75" x14ac:dyDescent="0.2">
      <c r="E19" s="153"/>
    </row>
    <row r="20" spans="1:30" s="135" customFormat="1" ht="12.75" x14ac:dyDescent="0.2">
      <c r="D20" s="135" t="s">
        <v>463</v>
      </c>
    </row>
    <row r="21" spans="1:30" s="135" customFormat="1" ht="12.75" x14ac:dyDescent="0.2">
      <c r="E21" s="135">
        <f>'MCT Cost Trends'!AF8</f>
        <v>2014</v>
      </c>
      <c r="F21" s="135">
        <f>'MCT Cost Trends'!AG8</f>
        <v>2015</v>
      </c>
      <c r="G21" s="135">
        <f>'MCT Cost Trends'!AH8</f>
        <v>2016</v>
      </c>
      <c r="H21" s="135">
        <f>'MCT Cost Trends'!AI8</f>
        <v>2017</v>
      </c>
      <c r="I21" s="135">
        <f>'MCT Cost Trends'!AJ8</f>
        <v>2018</v>
      </c>
      <c r="J21" s="135">
        <f>'MCT Cost Trends'!AK8</f>
        <v>2019</v>
      </c>
      <c r="K21" s="135">
        <f>'MCT Cost Trends'!AL8</f>
        <v>2020</v>
      </c>
      <c r="L21" s="135">
        <f>'MCT Cost Trends'!AM8</f>
        <v>2021</v>
      </c>
      <c r="M21" s="135">
        <f>'MCT Cost Trends'!AN8</f>
        <v>2022</v>
      </c>
      <c r="N21" s="135">
        <f>'MCT Cost Trends'!AO8</f>
        <v>2023</v>
      </c>
      <c r="O21" s="135">
        <f>'MCT Cost Trends'!AP8</f>
        <v>2024</v>
      </c>
      <c r="P21" s="135">
        <f>'MCT Cost Trends'!AQ8</f>
        <v>2025</v>
      </c>
      <c r="Q21" s="135">
        <f>'MCT Cost Trends'!AR8</f>
        <v>2026</v>
      </c>
      <c r="R21" s="135">
        <f>'MCT Cost Trends'!AS8</f>
        <v>2027</v>
      </c>
      <c r="S21" s="135">
        <f>'MCT Cost Trends'!AT8</f>
        <v>2028</v>
      </c>
      <c r="T21" s="135">
        <f>'MCT Cost Trends'!AU8</f>
        <v>2029</v>
      </c>
      <c r="U21" s="135">
        <f>'MCT Cost Trends'!AV8</f>
        <v>2030</v>
      </c>
      <c r="V21" s="135">
        <f>'MCT Cost Trends'!AW8</f>
        <v>2031</v>
      </c>
      <c r="W21" s="135">
        <f>'MCT Cost Trends'!AX8</f>
        <v>2032</v>
      </c>
      <c r="X21" s="135">
        <f>'MCT Cost Trends'!AY8</f>
        <v>2033</v>
      </c>
      <c r="Y21" s="135">
        <f>'MCT Cost Trends'!AZ8</f>
        <v>2034</v>
      </c>
      <c r="Z21" s="135">
        <f>'MCT Cost Trends'!BA8</f>
        <v>2035</v>
      </c>
      <c r="AA21" s="135">
        <f>'MCT Cost Trends'!BB8</f>
        <v>2036</v>
      </c>
      <c r="AB21" s="135">
        <f>'MCT Cost Trends'!BC8</f>
        <v>2037</v>
      </c>
      <c r="AC21" s="135">
        <f>'MCT Cost Trends'!BD8</f>
        <v>2038</v>
      </c>
      <c r="AD21" s="135">
        <f>'MCT Cost Trends'!BE8</f>
        <v>2039</v>
      </c>
    </row>
    <row r="22" spans="1:30" s="135" customFormat="1" ht="12.75" x14ac:dyDescent="0.2">
      <c r="E22" s="135" t="str">
        <f>'MCT Cost Trends'!AF9</f>
        <v>Source: Long-term values out to 2020/21 extended to 2026/27</v>
      </c>
      <c r="F22" s="135">
        <f>'MCT Cost Trends'!AG9</f>
        <v>0</v>
      </c>
      <c r="G22" s="135">
        <f>'MCT Cost Trends'!AH9</f>
        <v>0</v>
      </c>
      <c r="H22" s="135">
        <f>'MCT Cost Trends'!AI9</f>
        <v>0</v>
      </c>
      <c r="I22" s="135">
        <f>'MCT Cost Trends'!AJ9</f>
        <v>0</v>
      </c>
      <c r="J22" s="135">
        <f>'MCT Cost Trends'!AK9</f>
        <v>0</v>
      </c>
      <c r="K22" s="135">
        <f>'MCT Cost Trends'!AL9</f>
        <v>0</v>
      </c>
      <c r="L22" s="135">
        <f>'MCT Cost Trends'!AM9</f>
        <v>0</v>
      </c>
      <c r="M22" s="135">
        <f>'MCT Cost Trends'!AN9</f>
        <v>0</v>
      </c>
      <c r="N22" s="135">
        <f>'MCT Cost Trends'!AO9</f>
        <v>0</v>
      </c>
      <c r="O22" s="135">
        <f>'MCT Cost Trends'!AP9</f>
        <v>0</v>
      </c>
      <c r="P22" s="135">
        <f>'MCT Cost Trends'!AQ9</f>
        <v>0</v>
      </c>
      <c r="Q22" s="135">
        <f>'MCT Cost Trends'!AR9</f>
        <v>0</v>
      </c>
      <c r="R22" s="135">
        <f>'MCT Cost Trends'!AS9</f>
        <v>0</v>
      </c>
      <c r="S22" s="135">
        <f>'MCT Cost Trends'!AT9</f>
        <v>0</v>
      </c>
      <c r="T22" s="135">
        <f>'MCT Cost Trends'!AU9</f>
        <v>0</v>
      </c>
      <c r="U22" s="135">
        <f>'MCT Cost Trends'!AV9</f>
        <v>0</v>
      </c>
      <c r="V22" s="135">
        <f>'MCT Cost Trends'!AW9</f>
        <v>0</v>
      </c>
      <c r="W22" s="135">
        <f>'MCT Cost Trends'!AX9</f>
        <v>0</v>
      </c>
      <c r="X22" s="135">
        <f>'MCT Cost Trends'!AY9</f>
        <v>0</v>
      </c>
      <c r="Y22" s="135">
        <f>'MCT Cost Trends'!AZ9</f>
        <v>0</v>
      </c>
      <c r="Z22" s="135">
        <f>'MCT Cost Trends'!BA9</f>
        <v>0</v>
      </c>
      <c r="AA22" s="135">
        <f>'MCT Cost Trends'!BB9</f>
        <v>0</v>
      </c>
      <c r="AB22" s="135">
        <f>'MCT Cost Trends'!BC9</f>
        <v>0</v>
      </c>
      <c r="AC22" s="135">
        <f>'MCT Cost Trends'!BD9</f>
        <v>0</v>
      </c>
      <c r="AD22" s="135">
        <f>'MCT Cost Trends'!BE9</f>
        <v>0</v>
      </c>
    </row>
    <row r="23" spans="1:30" s="135" customFormat="1" ht="12.75" x14ac:dyDescent="0.2">
      <c r="A23" s="155">
        <v>1</v>
      </c>
      <c r="B23" s="156" t="s">
        <v>193</v>
      </c>
      <c r="C23" s="156" t="s">
        <v>193</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row>
    <row r="24" spans="1:30" s="135" customFormat="1" ht="12.75" x14ac:dyDescent="0.2">
      <c r="A24" s="155">
        <v>2</v>
      </c>
      <c r="B24" s="156" t="s">
        <v>195</v>
      </c>
      <c r="C24" s="156" t="s">
        <v>196</v>
      </c>
      <c r="D24" s="147" t="s">
        <v>344</v>
      </c>
      <c r="E24" s="144">
        <f>'MCT Cost Trends'!AF11</f>
        <v>0.02</v>
      </c>
      <c r="F24" s="144">
        <f>'MCT Cost Trends'!AG11</f>
        <v>5.0000000000000001E-3</v>
      </c>
      <c r="G24" s="144">
        <f>'MCT Cost Trends'!AH11</f>
        <v>5.0000000000000001E-3</v>
      </c>
      <c r="H24" s="144">
        <f>'MCT Cost Trends'!AI11</f>
        <v>5.0000000000000001E-3</v>
      </c>
      <c r="I24" s="144">
        <f>'MCT Cost Trends'!AJ11</f>
        <v>0</v>
      </c>
      <c r="J24" s="144">
        <f>'MCT Cost Trends'!AK11</f>
        <v>0</v>
      </c>
      <c r="K24" s="144">
        <f>'MCT Cost Trends'!AL11</f>
        <v>0</v>
      </c>
      <c r="L24" s="144">
        <f>'MCT Cost Trends'!AM11</f>
        <v>0</v>
      </c>
      <c r="M24" s="144">
        <f>'MCT Cost Trends'!AN11</f>
        <v>0</v>
      </c>
      <c r="N24" s="144">
        <f>'MCT Cost Trends'!AO11</f>
        <v>0</v>
      </c>
      <c r="O24" s="144">
        <f>'MCT Cost Trends'!AP11</f>
        <v>0</v>
      </c>
      <c r="P24" s="144">
        <f>'MCT Cost Trends'!AQ11</f>
        <v>0</v>
      </c>
      <c r="Q24" s="144">
        <f>'MCT Cost Trends'!AR11</f>
        <v>0</v>
      </c>
      <c r="R24" s="144">
        <f>'MCT Cost Trends'!AS11</f>
        <v>0</v>
      </c>
      <c r="S24" s="144">
        <f>'MCT Cost Trends'!AT11</f>
        <v>0</v>
      </c>
      <c r="T24" s="144">
        <f>'MCT Cost Trends'!AU11</f>
        <v>0</v>
      </c>
      <c r="U24" s="144">
        <f>'MCT Cost Trends'!AV11</f>
        <v>0</v>
      </c>
      <c r="V24" s="144">
        <f>'MCT Cost Trends'!AW11</f>
        <v>0</v>
      </c>
      <c r="W24" s="144">
        <f>'MCT Cost Trends'!AX11</f>
        <v>0</v>
      </c>
      <c r="X24" s="144">
        <f>'MCT Cost Trends'!AY11</f>
        <v>0</v>
      </c>
      <c r="Y24" s="144">
        <f>'MCT Cost Trends'!AZ11</f>
        <v>0</v>
      </c>
      <c r="Z24" s="144">
        <f>'MCT Cost Trends'!BA11</f>
        <v>0</v>
      </c>
      <c r="AA24" s="144">
        <f>'MCT Cost Trends'!BB11</f>
        <v>0</v>
      </c>
      <c r="AB24" s="144">
        <f>'MCT Cost Trends'!BC11</f>
        <v>0</v>
      </c>
      <c r="AC24" s="144">
        <f>'MCT Cost Trends'!BD11</f>
        <v>0</v>
      </c>
      <c r="AD24" s="144">
        <f>'MCT Cost Trends'!BE11</f>
        <v>0</v>
      </c>
    </row>
    <row r="25" spans="1:30" s="135" customFormat="1" ht="12.75" x14ac:dyDescent="0.2">
      <c r="A25" s="155">
        <v>3</v>
      </c>
      <c r="B25" s="156" t="s">
        <v>197</v>
      </c>
      <c r="C25" s="156" t="s">
        <v>198</v>
      </c>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row>
    <row r="26" spans="1:30" s="135" customFormat="1" ht="12.75" x14ac:dyDescent="0.2">
      <c r="A26" s="155">
        <v>4</v>
      </c>
      <c r="B26" s="156" t="s">
        <v>193</v>
      </c>
      <c r="C26" s="156" t="s">
        <v>193</v>
      </c>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row>
    <row r="27" spans="1:30" s="135" customFormat="1" ht="12.75" x14ac:dyDescent="0.2">
      <c r="A27" s="155">
        <v>5</v>
      </c>
      <c r="B27" s="156" t="s">
        <v>197</v>
      </c>
      <c r="C27" s="156" t="s">
        <v>199</v>
      </c>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row>
    <row r="28" spans="1:30" s="135" customFormat="1" ht="12.75" x14ac:dyDescent="0.2">
      <c r="A28" s="155">
        <v>6</v>
      </c>
      <c r="B28" s="156" t="s">
        <v>193</v>
      </c>
      <c r="C28" s="156" t="s">
        <v>193</v>
      </c>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row>
    <row r="29" spans="1:30" s="135" customFormat="1" ht="12.75" x14ac:dyDescent="0.2">
      <c r="A29" s="155">
        <v>7</v>
      </c>
      <c r="B29" s="156" t="s">
        <v>197</v>
      </c>
      <c r="C29" s="156" t="s">
        <v>200</v>
      </c>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row>
    <row r="30" spans="1:30" s="135" customFormat="1" ht="12.75" x14ac:dyDescent="0.2">
      <c r="A30" s="155">
        <v>8</v>
      </c>
      <c r="B30" s="156" t="s">
        <v>195</v>
      </c>
      <c r="C30" s="156" t="s">
        <v>201</v>
      </c>
      <c r="D30" s="147" t="s">
        <v>344</v>
      </c>
      <c r="E30" s="144">
        <f>'MCT Cost Trends'!AF17</f>
        <v>0.02</v>
      </c>
      <c r="F30" s="144">
        <f>'MCT Cost Trends'!AG17</f>
        <v>5.0000000000000001E-3</v>
      </c>
      <c r="G30" s="144">
        <f>'MCT Cost Trends'!AH17</f>
        <v>5.0000000000000001E-3</v>
      </c>
      <c r="H30" s="144">
        <f>'MCT Cost Trends'!AI17</f>
        <v>5.0000000000000001E-3</v>
      </c>
      <c r="I30" s="144">
        <f>'MCT Cost Trends'!AJ17</f>
        <v>0</v>
      </c>
      <c r="J30" s="144">
        <f>'MCT Cost Trends'!AK17</f>
        <v>0</v>
      </c>
      <c r="K30" s="144">
        <f>'MCT Cost Trends'!AL17</f>
        <v>0</v>
      </c>
      <c r="L30" s="144">
        <f>'MCT Cost Trends'!AM17</f>
        <v>0</v>
      </c>
      <c r="M30" s="144">
        <f>'MCT Cost Trends'!AN17</f>
        <v>0</v>
      </c>
      <c r="N30" s="144">
        <f>'MCT Cost Trends'!AO17</f>
        <v>0</v>
      </c>
      <c r="O30" s="144">
        <f>'MCT Cost Trends'!AP17</f>
        <v>0</v>
      </c>
      <c r="P30" s="144">
        <f>'MCT Cost Trends'!AQ17</f>
        <v>0</v>
      </c>
      <c r="Q30" s="144">
        <f>'MCT Cost Trends'!AR17</f>
        <v>0</v>
      </c>
      <c r="R30" s="144">
        <f>'MCT Cost Trends'!AS17</f>
        <v>0</v>
      </c>
      <c r="S30" s="144">
        <f>'MCT Cost Trends'!AT17</f>
        <v>0</v>
      </c>
      <c r="T30" s="144">
        <f>'MCT Cost Trends'!AU17</f>
        <v>0</v>
      </c>
      <c r="U30" s="144">
        <f>'MCT Cost Trends'!AV17</f>
        <v>0</v>
      </c>
      <c r="V30" s="144">
        <f>'MCT Cost Trends'!AW17</f>
        <v>0</v>
      </c>
      <c r="W30" s="144">
        <f>'MCT Cost Trends'!AX17</f>
        <v>0</v>
      </c>
      <c r="X30" s="144">
        <f>'MCT Cost Trends'!AY17</f>
        <v>0</v>
      </c>
      <c r="Y30" s="144">
        <f>'MCT Cost Trends'!AZ17</f>
        <v>0</v>
      </c>
      <c r="Z30" s="144">
        <f>'MCT Cost Trends'!BA17</f>
        <v>0</v>
      </c>
      <c r="AA30" s="144">
        <f>'MCT Cost Trends'!BB17</f>
        <v>0</v>
      </c>
      <c r="AB30" s="144">
        <f>'MCT Cost Trends'!BC17</f>
        <v>0</v>
      </c>
      <c r="AC30" s="144">
        <f>'MCT Cost Trends'!BD17</f>
        <v>0</v>
      </c>
      <c r="AD30" s="144">
        <f>'MCT Cost Trends'!BE17</f>
        <v>0</v>
      </c>
    </row>
    <row r="31" spans="1:30" s="135" customFormat="1" ht="12.75" x14ac:dyDescent="0.2">
      <c r="A31" s="155">
        <v>9</v>
      </c>
      <c r="B31" s="156" t="s">
        <v>197</v>
      </c>
      <c r="C31" s="156" t="s">
        <v>202</v>
      </c>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row>
    <row r="32" spans="1:30" s="135" customFormat="1" ht="12.75" x14ac:dyDescent="0.2">
      <c r="A32" s="155">
        <v>10</v>
      </c>
      <c r="B32" s="156" t="s">
        <v>195</v>
      </c>
      <c r="C32" s="156" t="s">
        <v>203</v>
      </c>
      <c r="D32" s="147" t="s">
        <v>344</v>
      </c>
      <c r="E32" s="144">
        <f>'MCT Cost Trends'!AF19</f>
        <v>0.02</v>
      </c>
      <c r="F32" s="144">
        <f>'MCT Cost Trends'!AG19</f>
        <v>5.0000000000000001E-3</v>
      </c>
      <c r="G32" s="144">
        <f>'MCT Cost Trends'!AH19</f>
        <v>5.0000000000000001E-3</v>
      </c>
      <c r="H32" s="144">
        <f>'MCT Cost Trends'!AI19</f>
        <v>5.0000000000000001E-3</v>
      </c>
      <c r="I32" s="144">
        <f>'MCT Cost Trends'!AJ19</f>
        <v>0</v>
      </c>
      <c r="J32" s="144">
        <f>'MCT Cost Trends'!AK19</f>
        <v>0</v>
      </c>
      <c r="K32" s="144">
        <f>'MCT Cost Trends'!AL19</f>
        <v>0</v>
      </c>
      <c r="L32" s="144">
        <f>'MCT Cost Trends'!AM19</f>
        <v>0</v>
      </c>
      <c r="M32" s="144">
        <f>'MCT Cost Trends'!AN19</f>
        <v>0</v>
      </c>
      <c r="N32" s="144">
        <f>'MCT Cost Trends'!AO19</f>
        <v>0</v>
      </c>
      <c r="O32" s="144">
        <f>'MCT Cost Trends'!AP19</f>
        <v>0</v>
      </c>
      <c r="P32" s="144">
        <f>'MCT Cost Trends'!AQ19</f>
        <v>0</v>
      </c>
      <c r="Q32" s="144">
        <f>'MCT Cost Trends'!AR19</f>
        <v>0</v>
      </c>
      <c r="R32" s="144">
        <f>'MCT Cost Trends'!AS19</f>
        <v>0</v>
      </c>
      <c r="S32" s="144">
        <f>'MCT Cost Trends'!AT19</f>
        <v>0</v>
      </c>
      <c r="T32" s="144">
        <f>'MCT Cost Trends'!AU19</f>
        <v>0</v>
      </c>
      <c r="U32" s="144">
        <f>'MCT Cost Trends'!AV19</f>
        <v>0</v>
      </c>
      <c r="V32" s="144">
        <f>'MCT Cost Trends'!AW19</f>
        <v>0</v>
      </c>
      <c r="W32" s="144">
        <f>'MCT Cost Trends'!AX19</f>
        <v>0</v>
      </c>
      <c r="X32" s="144">
        <f>'MCT Cost Trends'!AY19</f>
        <v>0</v>
      </c>
      <c r="Y32" s="144">
        <f>'MCT Cost Trends'!AZ19</f>
        <v>0</v>
      </c>
      <c r="Z32" s="144">
        <f>'MCT Cost Trends'!BA19</f>
        <v>0</v>
      </c>
      <c r="AA32" s="144">
        <f>'MCT Cost Trends'!BB19</f>
        <v>0</v>
      </c>
      <c r="AB32" s="144">
        <f>'MCT Cost Trends'!BC19</f>
        <v>0</v>
      </c>
      <c r="AC32" s="144">
        <f>'MCT Cost Trends'!BD19</f>
        <v>0</v>
      </c>
      <c r="AD32" s="144">
        <f>'MCT Cost Trends'!BE19</f>
        <v>0</v>
      </c>
    </row>
    <row r="33" spans="1:30" s="135" customFormat="1" ht="12.75" x14ac:dyDescent="0.2">
      <c r="A33" s="155">
        <v>11</v>
      </c>
      <c r="B33" s="156" t="s">
        <v>197</v>
      </c>
      <c r="C33" s="156" t="s">
        <v>204</v>
      </c>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row>
    <row r="34" spans="1:30" s="135" customFormat="1" ht="12.75" x14ac:dyDescent="0.2">
      <c r="A34" s="155">
        <v>12</v>
      </c>
      <c r="B34" s="156" t="s">
        <v>205</v>
      </c>
      <c r="C34" s="156" t="s">
        <v>206</v>
      </c>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row>
    <row r="35" spans="1:30" s="135" customFormat="1" ht="12.75" x14ac:dyDescent="0.2">
      <c r="A35" s="155">
        <v>13</v>
      </c>
      <c r="B35" s="156" t="s">
        <v>205</v>
      </c>
      <c r="C35" s="156" t="s">
        <v>207</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row>
    <row r="36" spans="1:30" s="135" customFormat="1" ht="12.75" x14ac:dyDescent="0.2">
      <c r="A36" s="155">
        <v>14</v>
      </c>
      <c r="B36" s="156" t="s">
        <v>205</v>
      </c>
      <c r="C36" s="156" t="s">
        <v>208</v>
      </c>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row>
    <row r="37" spans="1:30" s="135" customFormat="1" ht="12.75" x14ac:dyDescent="0.2">
      <c r="A37" s="155">
        <v>15</v>
      </c>
      <c r="B37" s="156" t="s">
        <v>209</v>
      </c>
      <c r="C37" s="156" t="s">
        <v>210</v>
      </c>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row>
    <row r="38" spans="1:30" s="135" customFormat="1" ht="12.75" x14ac:dyDescent="0.2">
      <c r="A38" s="155">
        <v>16</v>
      </c>
      <c r="B38" s="156" t="s">
        <v>209</v>
      </c>
      <c r="C38" s="156" t="s">
        <v>211</v>
      </c>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row>
    <row r="39" spans="1:30" s="135" customFormat="1" ht="12.75" x14ac:dyDescent="0.2">
      <c r="A39" s="155">
        <v>17</v>
      </c>
      <c r="B39" s="156" t="s">
        <v>209</v>
      </c>
      <c r="C39" s="156" t="s">
        <v>212</v>
      </c>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row>
    <row r="40" spans="1:30" s="135" customFormat="1" ht="12.75" x14ac:dyDescent="0.2">
      <c r="A40" s="155">
        <v>18</v>
      </c>
      <c r="B40" s="156" t="s">
        <v>209</v>
      </c>
      <c r="C40" s="156" t="s">
        <v>213</v>
      </c>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row>
    <row r="41" spans="1:30" s="135" customFormat="1" ht="12.75" x14ac:dyDescent="0.2">
      <c r="A41" s="155">
        <v>19</v>
      </c>
      <c r="B41" s="156" t="s">
        <v>214</v>
      </c>
      <c r="C41" s="156" t="s">
        <v>215</v>
      </c>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row>
    <row r="42" spans="1:30" s="135" customFormat="1" ht="12.75" x14ac:dyDescent="0.2">
      <c r="A42" s="155">
        <v>20</v>
      </c>
      <c r="B42" s="156" t="s">
        <v>214</v>
      </c>
      <c r="C42" s="156" t="s">
        <v>216</v>
      </c>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row>
    <row r="43" spans="1:30" s="135" customFormat="1" ht="12.75" x14ac:dyDescent="0.2">
      <c r="A43" s="155">
        <v>21</v>
      </c>
      <c r="B43" s="156" t="s">
        <v>214</v>
      </c>
      <c r="C43" s="156" t="s">
        <v>217</v>
      </c>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row>
    <row r="44" spans="1:30" s="135" customFormat="1" ht="12.75" x14ac:dyDescent="0.2">
      <c r="A44" s="155">
        <v>22</v>
      </c>
      <c r="B44" s="156" t="s">
        <v>214</v>
      </c>
      <c r="C44" s="156" t="s">
        <v>218</v>
      </c>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row>
    <row r="45" spans="1:30" s="135" customFormat="1" ht="12.75" x14ac:dyDescent="0.2">
      <c r="A45" s="155">
        <v>23</v>
      </c>
      <c r="B45" s="156" t="s">
        <v>219</v>
      </c>
      <c r="C45" s="156" t="s">
        <v>220</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row>
    <row r="46" spans="1:30" s="135" customFormat="1" ht="12.75" x14ac:dyDescent="0.2">
      <c r="A46" s="155">
        <v>24</v>
      </c>
      <c r="B46" s="156" t="s">
        <v>219</v>
      </c>
      <c r="C46" s="156" t="s">
        <v>221</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row>
    <row r="47" spans="1:30" s="135" customFormat="1" ht="12.75" x14ac:dyDescent="0.2">
      <c r="A47" s="155">
        <v>25</v>
      </c>
      <c r="B47" s="156" t="s">
        <v>222</v>
      </c>
      <c r="C47" s="156" t="s">
        <v>223</v>
      </c>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row>
    <row r="48" spans="1:30" s="135" customFormat="1" ht="12.75" x14ac:dyDescent="0.2">
      <c r="A48" s="155">
        <v>26</v>
      </c>
      <c r="B48" s="156" t="s">
        <v>224</v>
      </c>
      <c r="C48" s="156" t="s">
        <v>225</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row>
    <row r="49" spans="1:30" s="135" customFormat="1" ht="12.75" x14ac:dyDescent="0.2">
      <c r="A49" s="155">
        <v>27</v>
      </c>
      <c r="B49" s="156" t="s">
        <v>226</v>
      </c>
      <c r="C49" s="156" t="s">
        <v>227</v>
      </c>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row>
    <row r="50" spans="1:30" s="135" customFormat="1" ht="12.75" x14ac:dyDescent="0.2">
      <c r="A50" s="155">
        <v>28</v>
      </c>
      <c r="B50" s="156" t="s">
        <v>228</v>
      </c>
      <c r="C50" s="156" t="s">
        <v>229</v>
      </c>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row>
    <row r="51" spans="1:30" s="135" customFormat="1" ht="12.75" x14ac:dyDescent="0.2">
      <c r="A51" s="155">
        <v>29</v>
      </c>
      <c r="B51" s="156" t="s">
        <v>230</v>
      </c>
      <c r="C51" s="156" t="s">
        <v>231</v>
      </c>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row>
    <row r="52" spans="1:30" s="135" customFormat="1" ht="12.75" x14ac:dyDescent="0.2">
      <c r="A52" s="155">
        <v>30</v>
      </c>
      <c r="B52" s="156" t="s">
        <v>232</v>
      </c>
      <c r="C52" s="156" t="s">
        <v>232</v>
      </c>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row>
    <row r="53" spans="1:30" s="135" customFormat="1" ht="12.75" x14ac:dyDescent="0.2">
      <c r="A53" s="155">
        <v>31</v>
      </c>
      <c r="B53" s="156" t="s">
        <v>193</v>
      </c>
      <c r="C53" s="156" t="s">
        <v>193</v>
      </c>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row>
    <row r="54" spans="1:30" s="135" customFormat="1" ht="12.75" x14ac:dyDescent="0.2">
      <c r="A54" s="155">
        <v>32</v>
      </c>
      <c r="B54" s="156" t="s">
        <v>233</v>
      </c>
      <c r="C54" s="156" t="s">
        <v>234</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row>
    <row r="55" spans="1:30" s="135" customFormat="1" ht="12.75" x14ac:dyDescent="0.2">
      <c r="A55" s="155">
        <v>33</v>
      </c>
      <c r="B55" s="156" t="s">
        <v>235</v>
      </c>
      <c r="C55" s="156" t="s">
        <v>236</v>
      </c>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row>
    <row r="56" spans="1:30" s="135" customFormat="1" ht="12.75" x14ac:dyDescent="0.2">
      <c r="A56" s="155">
        <v>34</v>
      </c>
      <c r="B56" s="156" t="s">
        <v>237</v>
      </c>
      <c r="C56" s="156" t="s">
        <v>238</v>
      </c>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row>
    <row r="57" spans="1:30" s="135" customFormat="1" ht="12.75" x14ac:dyDescent="0.2">
      <c r="A57" s="155">
        <v>35</v>
      </c>
      <c r="B57" s="156" t="s">
        <v>237</v>
      </c>
      <c r="C57" s="156" t="s">
        <v>239</v>
      </c>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row>
    <row r="58" spans="1:30" s="135" customFormat="1" ht="12.75" x14ac:dyDescent="0.2">
      <c r="A58" s="155">
        <v>36</v>
      </c>
      <c r="B58" s="156" t="s">
        <v>240</v>
      </c>
      <c r="C58" s="156" t="s">
        <v>240</v>
      </c>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row>
    <row r="59" spans="1:30" s="135" customFormat="1" ht="12.75" x14ac:dyDescent="0.2">
      <c r="A59" s="155">
        <v>37</v>
      </c>
      <c r="B59" s="156" t="s">
        <v>241</v>
      </c>
      <c r="C59" s="156" t="s">
        <v>242</v>
      </c>
      <c r="D59" s="147" t="s">
        <v>345</v>
      </c>
      <c r="E59" s="145">
        <f>'MCT Cost Trends'!AF46</f>
        <v>-2.5000000000000001E-2</v>
      </c>
      <c r="F59" s="145">
        <f>'MCT Cost Trends'!AG46</f>
        <v>-2.5000000000000001E-2</v>
      </c>
      <c r="G59" s="145">
        <f>'MCT Cost Trends'!AH46</f>
        <v>-2.5000000000000001E-2</v>
      </c>
      <c r="H59" s="145">
        <f>'MCT Cost Trends'!AI46</f>
        <v>-2.5000000000000001E-2</v>
      </c>
      <c r="I59" s="145">
        <f>'MCT Cost Trends'!AJ46</f>
        <v>-2.5000000000000001E-2</v>
      </c>
      <c r="J59" s="145">
        <f>'MCT Cost Trends'!AK46</f>
        <v>-2.5000000000000001E-2</v>
      </c>
      <c r="K59" s="145">
        <f>'MCT Cost Trends'!AL46</f>
        <v>-0.01</v>
      </c>
      <c r="L59" s="145">
        <f>'MCT Cost Trends'!AM46</f>
        <v>-0.01</v>
      </c>
      <c r="M59" s="145">
        <f>'MCT Cost Trends'!AN46</f>
        <v>-0.01</v>
      </c>
      <c r="N59" s="145">
        <f>'MCT Cost Trends'!AO46</f>
        <v>-0.01</v>
      </c>
      <c r="O59" s="145">
        <f>'MCT Cost Trends'!AP46</f>
        <v>-0.01</v>
      </c>
      <c r="P59" s="145">
        <f>'MCT Cost Trends'!AQ46</f>
        <v>-0.01</v>
      </c>
      <c r="Q59" s="145">
        <f>'MCT Cost Trends'!AR46</f>
        <v>-0.01</v>
      </c>
      <c r="R59" s="145">
        <f>'MCT Cost Trends'!AS46</f>
        <v>0</v>
      </c>
      <c r="S59" s="145">
        <f>'MCT Cost Trends'!AT46</f>
        <v>0</v>
      </c>
      <c r="T59" s="145">
        <f>'MCT Cost Trends'!AU46</f>
        <v>0</v>
      </c>
      <c r="U59" s="145">
        <f>'MCT Cost Trends'!AV46</f>
        <v>0</v>
      </c>
      <c r="V59" s="145">
        <f>'MCT Cost Trends'!AW46</f>
        <v>0</v>
      </c>
      <c r="W59" s="145">
        <f>'MCT Cost Trends'!AX46</f>
        <v>0</v>
      </c>
      <c r="X59" s="145">
        <f>'MCT Cost Trends'!AY46</f>
        <v>0</v>
      </c>
      <c r="Y59" s="145">
        <f>'MCT Cost Trends'!AZ46</f>
        <v>0</v>
      </c>
      <c r="Z59" s="145">
        <f>'MCT Cost Trends'!BA46</f>
        <v>0</v>
      </c>
      <c r="AA59" s="145">
        <f>'MCT Cost Trends'!BB46</f>
        <v>0</v>
      </c>
      <c r="AB59" s="145">
        <f>'MCT Cost Trends'!BC46</f>
        <v>0</v>
      </c>
      <c r="AC59" s="145">
        <f>'MCT Cost Trends'!BD46</f>
        <v>0</v>
      </c>
      <c r="AD59" s="145">
        <f>'MCT Cost Trends'!BE46</f>
        <v>0</v>
      </c>
    </row>
    <row r="60" spans="1:30" s="135" customFormat="1" ht="12.75" x14ac:dyDescent="0.2">
      <c r="A60" s="155">
        <v>38</v>
      </c>
      <c r="B60" s="156" t="s">
        <v>241</v>
      </c>
      <c r="C60" s="156" t="s">
        <v>243</v>
      </c>
      <c r="D60" s="147" t="s">
        <v>345</v>
      </c>
      <c r="E60" s="145">
        <f>'MCT Cost Trends'!AF47</f>
        <v>-2.5000000000000001E-2</v>
      </c>
      <c r="F60" s="145">
        <f>'MCT Cost Trends'!AG47</f>
        <v>-2.5000000000000001E-2</v>
      </c>
      <c r="G60" s="145">
        <f>'MCT Cost Trends'!AH47</f>
        <v>-2.5000000000000001E-2</v>
      </c>
      <c r="H60" s="145">
        <f>'MCT Cost Trends'!AI47</f>
        <v>-2.5000000000000001E-2</v>
      </c>
      <c r="I60" s="145">
        <f>'MCT Cost Trends'!AJ47</f>
        <v>-2.5000000000000001E-2</v>
      </c>
      <c r="J60" s="145">
        <f>'MCT Cost Trends'!AK47</f>
        <v>-2.5000000000000001E-2</v>
      </c>
      <c r="K60" s="145">
        <f>'MCT Cost Trends'!AL47</f>
        <v>-0.01</v>
      </c>
      <c r="L60" s="145">
        <f>'MCT Cost Trends'!AM47</f>
        <v>-0.01</v>
      </c>
      <c r="M60" s="145">
        <f>'MCT Cost Trends'!AN47</f>
        <v>-0.01</v>
      </c>
      <c r="N60" s="145">
        <f>'MCT Cost Trends'!AO47</f>
        <v>-0.01</v>
      </c>
      <c r="O60" s="145">
        <f>'MCT Cost Trends'!AP47</f>
        <v>-0.01</v>
      </c>
      <c r="P60" s="145">
        <f>'MCT Cost Trends'!AQ47</f>
        <v>-0.01</v>
      </c>
      <c r="Q60" s="145">
        <f>'MCT Cost Trends'!AR47</f>
        <v>-0.01</v>
      </c>
      <c r="R60" s="145">
        <f>'MCT Cost Trends'!AS47</f>
        <v>0</v>
      </c>
      <c r="S60" s="145">
        <f>'MCT Cost Trends'!AT47</f>
        <v>0</v>
      </c>
      <c r="T60" s="145">
        <f>'MCT Cost Trends'!AU47</f>
        <v>0</v>
      </c>
      <c r="U60" s="145">
        <f>'MCT Cost Trends'!AV47</f>
        <v>0</v>
      </c>
      <c r="V60" s="145">
        <f>'MCT Cost Trends'!AW47</f>
        <v>0</v>
      </c>
      <c r="W60" s="145">
        <f>'MCT Cost Trends'!AX47</f>
        <v>0</v>
      </c>
      <c r="X60" s="145">
        <f>'MCT Cost Trends'!AY47</f>
        <v>0</v>
      </c>
      <c r="Y60" s="145">
        <f>'MCT Cost Trends'!AZ47</f>
        <v>0</v>
      </c>
      <c r="Z60" s="145">
        <f>'MCT Cost Trends'!BA47</f>
        <v>0</v>
      </c>
      <c r="AA60" s="145">
        <f>'MCT Cost Trends'!BB47</f>
        <v>0</v>
      </c>
      <c r="AB60" s="145">
        <f>'MCT Cost Trends'!BC47</f>
        <v>0</v>
      </c>
      <c r="AC60" s="145">
        <f>'MCT Cost Trends'!BD47</f>
        <v>0</v>
      </c>
      <c r="AD60" s="145">
        <f>'MCT Cost Trends'!BE47</f>
        <v>0</v>
      </c>
    </row>
    <row r="61" spans="1:30" s="135" customFormat="1" ht="12.75" x14ac:dyDescent="0.2">
      <c r="A61" s="155">
        <v>39</v>
      </c>
      <c r="B61" s="156" t="s">
        <v>241</v>
      </c>
      <c r="C61" s="156" t="s">
        <v>244</v>
      </c>
      <c r="D61" s="147" t="s">
        <v>345</v>
      </c>
      <c r="E61" s="145">
        <f>'MCT Cost Trends'!AF48</f>
        <v>-2.5000000000000001E-2</v>
      </c>
      <c r="F61" s="145">
        <f>'MCT Cost Trends'!AG48</f>
        <v>-2.5000000000000001E-2</v>
      </c>
      <c r="G61" s="145">
        <f>'MCT Cost Trends'!AH48</f>
        <v>-2.5000000000000001E-2</v>
      </c>
      <c r="H61" s="145">
        <f>'MCT Cost Trends'!AI48</f>
        <v>-2.5000000000000001E-2</v>
      </c>
      <c r="I61" s="145">
        <f>'MCT Cost Trends'!AJ48</f>
        <v>-2.5000000000000001E-2</v>
      </c>
      <c r="J61" s="145">
        <f>'MCT Cost Trends'!AK48</f>
        <v>-2.5000000000000001E-2</v>
      </c>
      <c r="K61" s="145">
        <f>'MCT Cost Trends'!AL48</f>
        <v>-0.01</v>
      </c>
      <c r="L61" s="145">
        <f>'MCT Cost Trends'!AM48</f>
        <v>-0.01</v>
      </c>
      <c r="M61" s="145">
        <f>'MCT Cost Trends'!AN48</f>
        <v>-0.01</v>
      </c>
      <c r="N61" s="145">
        <f>'MCT Cost Trends'!AO48</f>
        <v>-0.01</v>
      </c>
      <c r="O61" s="145">
        <f>'MCT Cost Trends'!AP48</f>
        <v>-0.01</v>
      </c>
      <c r="P61" s="145">
        <f>'MCT Cost Trends'!AQ48</f>
        <v>-0.01</v>
      </c>
      <c r="Q61" s="145">
        <f>'MCT Cost Trends'!AR48</f>
        <v>-0.01</v>
      </c>
      <c r="R61" s="145">
        <f>'MCT Cost Trends'!AS48</f>
        <v>0</v>
      </c>
      <c r="S61" s="145">
        <f>'MCT Cost Trends'!AT48</f>
        <v>0</v>
      </c>
      <c r="T61" s="145">
        <f>'MCT Cost Trends'!AU48</f>
        <v>0</v>
      </c>
      <c r="U61" s="145">
        <f>'MCT Cost Trends'!AV48</f>
        <v>0</v>
      </c>
      <c r="V61" s="145">
        <f>'MCT Cost Trends'!AW48</f>
        <v>0</v>
      </c>
      <c r="W61" s="145">
        <f>'MCT Cost Trends'!AX48</f>
        <v>0</v>
      </c>
      <c r="X61" s="145">
        <f>'MCT Cost Trends'!AY48</f>
        <v>0</v>
      </c>
      <c r="Y61" s="145">
        <f>'MCT Cost Trends'!AZ48</f>
        <v>0</v>
      </c>
      <c r="Z61" s="145">
        <f>'MCT Cost Trends'!BA48</f>
        <v>0</v>
      </c>
      <c r="AA61" s="145">
        <f>'MCT Cost Trends'!BB48</f>
        <v>0</v>
      </c>
      <c r="AB61" s="145">
        <f>'MCT Cost Trends'!BC48</f>
        <v>0</v>
      </c>
      <c r="AC61" s="145">
        <f>'MCT Cost Trends'!BD48</f>
        <v>0</v>
      </c>
      <c r="AD61" s="145">
        <f>'MCT Cost Trends'!BE48</f>
        <v>0</v>
      </c>
    </row>
    <row r="62" spans="1:30" s="135" customFormat="1" ht="12.75" x14ac:dyDescent="0.2">
      <c r="A62" s="155">
        <v>40</v>
      </c>
      <c r="B62" s="156" t="s">
        <v>241</v>
      </c>
      <c r="C62" s="156" t="s">
        <v>245</v>
      </c>
      <c r="D62" s="147" t="s">
        <v>345</v>
      </c>
      <c r="E62" s="145">
        <f>'MCT Cost Trends'!AF49</f>
        <v>-2.5000000000000001E-2</v>
      </c>
      <c r="F62" s="145">
        <f>'MCT Cost Trends'!AG49</f>
        <v>-2.5000000000000001E-2</v>
      </c>
      <c r="G62" s="145">
        <f>'MCT Cost Trends'!AH49</f>
        <v>-2.5000000000000001E-2</v>
      </c>
      <c r="H62" s="145">
        <f>'MCT Cost Trends'!AI49</f>
        <v>-2.5000000000000001E-2</v>
      </c>
      <c r="I62" s="145">
        <f>'MCT Cost Trends'!AJ49</f>
        <v>-2.5000000000000001E-2</v>
      </c>
      <c r="J62" s="145">
        <f>'MCT Cost Trends'!AK49</f>
        <v>-2.5000000000000001E-2</v>
      </c>
      <c r="K62" s="145">
        <f>'MCT Cost Trends'!AL49</f>
        <v>-0.01</v>
      </c>
      <c r="L62" s="145">
        <f>'MCT Cost Trends'!AM49</f>
        <v>-0.01</v>
      </c>
      <c r="M62" s="145">
        <f>'MCT Cost Trends'!AN49</f>
        <v>-0.01</v>
      </c>
      <c r="N62" s="145">
        <f>'MCT Cost Trends'!AO49</f>
        <v>-0.01</v>
      </c>
      <c r="O62" s="145">
        <f>'MCT Cost Trends'!AP49</f>
        <v>-0.01</v>
      </c>
      <c r="P62" s="145">
        <f>'MCT Cost Trends'!AQ49</f>
        <v>-0.01</v>
      </c>
      <c r="Q62" s="145">
        <f>'MCT Cost Trends'!AR49</f>
        <v>-0.01</v>
      </c>
      <c r="R62" s="145">
        <f>'MCT Cost Trends'!AS49</f>
        <v>0</v>
      </c>
      <c r="S62" s="145">
        <f>'MCT Cost Trends'!AT49</f>
        <v>0</v>
      </c>
      <c r="T62" s="145">
        <f>'MCT Cost Trends'!AU49</f>
        <v>0</v>
      </c>
      <c r="U62" s="145">
        <f>'MCT Cost Trends'!AV49</f>
        <v>0</v>
      </c>
      <c r="V62" s="145">
        <f>'MCT Cost Trends'!AW49</f>
        <v>0</v>
      </c>
      <c r="W62" s="145">
        <f>'MCT Cost Trends'!AX49</f>
        <v>0</v>
      </c>
      <c r="X62" s="145">
        <f>'MCT Cost Trends'!AY49</f>
        <v>0</v>
      </c>
      <c r="Y62" s="145">
        <f>'MCT Cost Trends'!AZ49</f>
        <v>0</v>
      </c>
      <c r="Z62" s="145">
        <f>'MCT Cost Trends'!BA49</f>
        <v>0</v>
      </c>
      <c r="AA62" s="145">
        <f>'MCT Cost Trends'!BB49</f>
        <v>0</v>
      </c>
      <c r="AB62" s="145">
        <f>'MCT Cost Trends'!BC49</f>
        <v>0</v>
      </c>
      <c r="AC62" s="145">
        <f>'MCT Cost Trends'!BD49</f>
        <v>0</v>
      </c>
      <c r="AD62" s="145">
        <f>'MCT Cost Trends'!BE49</f>
        <v>0</v>
      </c>
    </row>
    <row r="63" spans="1:30" s="135" customFormat="1" ht="12.75" x14ac:dyDescent="0.2">
      <c r="A63" s="155">
        <v>41</v>
      </c>
      <c r="B63" s="156" t="s">
        <v>193</v>
      </c>
      <c r="C63" s="156" t="s">
        <v>193</v>
      </c>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row>
    <row r="64" spans="1:30" s="135" customFormat="1" ht="12.75" x14ac:dyDescent="0.2">
      <c r="A64" s="155">
        <v>42</v>
      </c>
      <c r="B64" s="156" t="s">
        <v>246</v>
      </c>
      <c r="C64" s="156" t="s">
        <v>247</v>
      </c>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row>
    <row r="65" spans="1:30" s="135" customFormat="1" ht="12.75" x14ac:dyDescent="0.2">
      <c r="A65" s="155">
        <v>43</v>
      </c>
      <c r="B65" s="156" t="s">
        <v>246</v>
      </c>
      <c r="C65" s="156" t="s">
        <v>248</v>
      </c>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row>
    <row r="66" spans="1:30" s="135" customFormat="1" ht="12.75" x14ac:dyDescent="0.2">
      <c r="A66" s="155">
        <v>44</v>
      </c>
      <c r="B66" s="156" t="s">
        <v>246</v>
      </c>
      <c r="C66" s="156" t="s">
        <v>249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row>
    <row r="67" spans="1:30" s="135" customFormat="1" ht="12.75" x14ac:dyDescent="0.2">
      <c r="A67" s="155">
        <v>45</v>
      </c>
      <c r="B67" s="156" t="s">
        <v>250</v>
      </c>
      <c r="C67" s="156" t="s">
        <v>251</v>
      </c>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row>
    <row r="68" spans="1:30" s="135" customFormat="1" ht="12.75" x14ac:dyDescent="0.2">
      <c r="A68" s="155">
        <v>46</v>
      </c>
      <c r="B68" s="156" t="s">
        <v>250</v>
      </c>
      <c r="C68" s="156" t="s">
        <v>252</v>
      </c>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row>
    <row r="69" spans="1:30" s="135" customFormat="1" ht="12.75" x14ac:dyDescent="0.2">
      <c r="A69" s="155">
        <v>47</v>
      </c>
      <c r="B69" s="156" t="s">
        <v>250</v>
      </c>
      <c r="C69" s="156" t="s">
        <v>253</v>
      </c>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row>
    <row r="70" spans="1:30" s="135" customFormat="1" ht="12.75" x14ac:dyDescent="0.2">
      <c r="A70" s="155">
        <v>48</v>
      </c>
      <c r="B70" s="156" t="s">
        <v>246</v>
      </c>
      <c r="C70" s="156" t="s">
        <v>254</v>
      </c>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row>
    <row r="71" spans="1:30" s="135" customFormat="1" ht="12.75" x14ac:dyDescent="0.2">
      <c r="A71" s="155">
        <v>49</v>
      </c>
      <c r="B71" s="156" t="s">
        <v>246</v>
      </c>
      <c r="C71" s="156" t="s">
        <v>255</v>
      </c>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row>
    <row r="72" spans="1:30" s="135" customFormat="1" ht="12.75" x14ac:dyDescent="0.2">
      <c r="A72" s="155">
        <v>50</v>
      </c>
      <c r="B72" s="156" t="s">
        <v>246</v>
      </c>
      <c r="C72" s="156" t="s">
        <v>256</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row>
    <row r="73" spans="1:30" s="135" customFormat="1" ht="12.75" x14ac:dyDescent="0.2">
      <c r="A73" s="155">
        <v>51</v>
      </c>
      <c r="B73" s="156" t="s">
        <v>246</v>
      </c>
      <c r="C73" s="156" t="s">
        <v>257</v>
      </c>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row>
    <row r="74" spans="1:30" s="135" customFormat="1" ht="12.75" x14ac:dyDescent="0.2">
      <c r="A74" s="155">
        <v>52</v>
      </c>
      <c r="B74" s="156" t="s">
        <v>246</v>
      </c>
      <c r="C74" s="156" t="s">
        <v>258</v>
      </c>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row>
    <row r="75" spans="1:30" s="135" customFormat="1" ht="12.75" x14ac:dyDescent="0.2">
      <c r="A75" s="155">
        <v>53</v>
      </c>
      <c r="B75" s="156" t="s">
        <v>246</v>
      </c>
      <c r="C75" s="156" t="s">
        <v>259</v>
      </c>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row>
    <row r="76" spans="1:30" s="135" customFormat="1" ht="12.75" x14ac:dyDescent="0.2">
      <c r="A76" s="155">
        <v>54</v>
      </c>
      <c r="B76" s="156" t="s">
        <v>260</v>
      </c>
      <c r="C76" s="156" t="s">
        <v>261</v>
      </c>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row>
    <row r="77" spans="1:30" s="135" customFormat="1" ht="12.75" x14ac:dyDescent="0.2">
      <c r="A77" s="155">
        <v>55</v>
      </c>
      <c r="B77" s="156" t="s">
        <v>260</v>
      </c>
      <c r="C77" s="156" t="s">
        <v>262</v>
      </c>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row>
    <row r="78" spans="1:30" s="135" customFormat="1" ht="12.75" x14ac:dyDescent="0.2">
      <c r="A78" s="155">
        <v>56</v>
      </c>
      <c r="B78" s="156" t="s">
        <v>260</v>
      </c>
      <c r="C78" s="156" t="s">
        <v>263</v>
      </c>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row>
    <row r="79" spans="1:30" s="135" customFormat="1" ht="12.75" x14ac:dyDescent="0.2">
      <c r="A79" s="155">
        <v>57</v>
      </c>
      <c r="B79" s="156" t="s">
        <v>264</v>
      </c>
      <c r="C79" s="156" t="s">
        <v>265</v>
      </c>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row>
    <row r="80" spans="1:30" s="135" customFormat="1" ht="12.75" x14ac:dyDescent="0.2">
      <c r="A80" s="155">
        <v>58</v>
      </c>
      <c r="B80" s="156" t="s">
        <v>264</v>
      </c>
      <c r="C80" s="156" t="s">
        <v>266</v>
      </c>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row>
    <row r="81" spans="1:31" s="135" customFormat="1" ht="12.75" x14ac:dyDescent="0.2">
      <c r="A81" s="155">
        <v>59</v>
      </c>
      <c r="B81" s="156" t="s">
        <v>267</v>
      </c>
      <c r="C81" s="156" t="s">
        <v>217</v>
      </c>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row>
    <row r="82" spans="1:31" s="135" customFormat="1" ht="12.75" x14ac:dyDescent="0.2">
      <c r="A82" s="155">
        <v>60</v>
      </c>
      <c r="B82" s="156" t="s">
        <v>267</v>
      </c>
      <c r="C82" s="156" t="s">
        <v>218</v>
      </c>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row>
    <row r="83" spans="1:31" s="135" customFormat="1" ht="12.75" x14ac:dyDescent="0.2">
      <c r="A83" s="155">
        <v>61</v>
      </c>
      <c r="B83" s="156" t="s">
        <v>268</v>
      </c>
      <c r="C83" s="156" t="s">
        <v>223</v>
      </c>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row>
    <row r="84" spans="1:31" s="135" customFormat="1" ht="12.75" x14ac:dyDescent="0.2">
      <c r="A84" s="155">
        <v>62</v>
      </c>
      <c r="B84" s="156" t="s">
        <v>269</v>
      </c>
      <c r="C84" s="156" t="s">
        <v>225</v>
      </c>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row>
    <row r="85" spans="1:31" s="135" customFormat="1" ht="12.75" x14ac:dyDescent="0.2">
      <c r="A85" s="155">
        <v>63</v>
      </c>
      <c r="B85" s="156" t="s">
        <v>270</v>
      </c>
      <c r="C85" s="156" t="s">
        <v>227</v>
      </c>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row>
    <row r="86" spans="1:31" s="135" customFormat="1" ht="12.75" x14ac:dyDescent="0.2">
      <c r="A86" s="155">
        <v>64</v>
      </c>
      <c r="B86" s="156" t="s">
        <v>271</v>
      </c>
      <c r="C86" s="156" t="s">
        <v>236</v>
      </c>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row>
    <row r="87" spans="1:31" s="135" customFormat="1" ht="12.75" x14ac:dyDescent="0.2">
      <c r="A87" s="155">
        <v>65</v>
      </c>
      <c r="B87" s="156" t="s">
        <v>272</v>
      </c>
      <c r="C87" s="156" t="s">
        <v>273</v>
      </c>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row>
    <row r="88" spans="1:31" s="135" customFormat="1" ht="12.75" x14ac:dyDescent="0.2">
      <c r="A88" s="155">
        <v>66</v>
      </c>
      <c r="B88" s="156" t="s">
        <v>272</v>
      </c>
      <c r="C88" s="156" t="s">
        <v>274</v>
      </c>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row>
    <row r="89" spans="1:31" s="135" customFormat="1" ht="12.75" x14ac:dyDescent="0.2">
      <c r="A89" s="155">
        <v>67</v>
      </c>
      <c r="B89" s="156" t="s">
        <v>193</v>
      </c>
      <c r="C89" s="156" t="s">
        <v>193</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row>
    <row r="90" spans="1:31" s="135" customFormat="1" ht="12.75" x14ac:dyDescent="0.2">
      <c r="A90" s="155">
        <v>68</v>
      </c>
      <c r="B90" s="156" t="s">
        <v>241</v>
      </c>
      <c r="C90" s="156" t="s">
        <v>275</v>
      </c>
      <c r="D90" s="147" t="s">
        <v>345</v>
      </c>
      <c r="E90" s="145">
        <f>'MCT Cost Trends'!AF77</f>
        <v>-2.5000000000000001E-2</v>
      </c>
      <c r="F90" s="145">
        <f>'MCT Cost Trends'!AG77</f>
        <v>-0.05</v>
      </c>
      <c r="G90" s="145">
        <f>'MCT Cost Trends'!AH77</f>
        <v>-0.05</v>
      </c>
      <c r="H90" s="145">
        <f>'MCT Cost Trends'!AI77</f>
        <v>-0.05</v>
      </c>
      <c r="I90" s="145">
        <f>'MCT Cost Trends'!AJ77</f>
        <v>-0.05</v>
      </c>
      <c r="J90" s="145">
        <f>'MCT Cost Trends'!AK77</f>
        <v>-0.03</v>
      </c>
      <c r="K90" s="145">
        <f>'MCT Cost Trends'!AL77</f>
        <v>-0.01</v>
      </c>
      <c r="L90" s="145">
        <f>'MCT Cost Trends'!AM77</f>
        <v>-0.01</v>
      </c>
      <c r="M90" s="145">
        <f>'MCT Cost Trends'!AN77</f>
        <v>-0.01</v>
      </c>
      <c r="N90" s="145">
        <f>'MCT Cost Trends'!AO77</f>
        <v>-0.01</v>
      </c>
      <c r="O90" s="145">
        <f>'MCT Cost Trends'!AP77</f>
        <v>-0.01</v>
      </c>
      <c r="P90" s="145">
        <f>'MCT Cost Trends'!AQ77</f>
        <v>-0.01</v>
      </c>
      <c r="Q90" s="145">
        <f>'MCT Cost Trends'!AR77</f>
        <v>-0.01</v>
      </c>
      <c r="R90" s="145">
        <f>'MCT Cost Trends'!AS77</f>
        <v>0</v>
      </c>
      <c r="S90" s="145">
        <f>'MCT Cost Trends'!AT77</f>
        <v>0</v>
      </c>
      <c r="T90" s="145">
        <f>'MCT Cost Trends'!AU77</f>
        <v>0</v>
      </c>
      <c r="U90" s="145">
        <f>'MCT Cost Trends'!AV77</f>
        <v>0</v>
      </c>
      <c r="V90" s="145">
        <f>'MCT Cost Trends'!AW77</f>
        <v>0</v>
      </c>
      <c r="W90" s="145">
        <f>'MCT Cost Trends'!AX77</f>
        <v>0</v>
      </c>
      <c r="X90" s="145">
        <f>'MCT Cost Trends'!AY77</f>
        <v>0</v>
      </c>
      <c r="Y90" s="145">
        <f>'MCT Cost Trends'!AZ77</f>
        <v>0</v>
      </c>
      <c r="Z90" s="145">
        <f>'MCT Cost Trends'!BA77</f>
        <v>0</v>
      </c>
      <c r="AA90" s="145">
        <f>'MCT Cost Trends'!BB77</f>
        <v>0</v>
      </c>
      <c r="AB90" s="145">
        <f>'MCT Cost Trends'!BC77</f>
        <v>0</v>
      </c>
      <c r="AC90" s="145">
        <f>'MCT Cost Trends'!BD77</f>
        <v>0</v>
      </c>
      <c r="AD90" s="145">
        <f>'MCT Cost Trends'!BE77</f>
        <v>0</v>
      </c>
      <c r="AE90" s="135">
        <f>'MCT Cost Trends'!BF80</f>
        <v>0</v>
      </c>
    </row>
    <row r="91" spans="1:31" s="135" customFormat="1" ht="12.75" x14ac:dyDescent="0.2">
      <c r="A91" s="155">
        <v>69</v>
      </c>
      <c r="B91" s="156" t="s">
        <v>276</v>
      </c>
      <c r="C91" s="156" t="s">
        <v>277</v>
      </c>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row>
    <row r="92" spans="1:31" s="135" customFormat="1" ht="12.75" x14ac:dyDescent="0.2">
      <c r="A92" s="155">
        <v>70</v>
      </c>
      <c r="B92" s="156" t="s">
        <v>278</v>
      </c>
      <c r="C92" s="156" t="s">
        <v>279</v>
      </c>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row>
    <row r="93" spans="1:31" s="135" customFormat="1" ht="12.75" x14ac:dyDescent="0.2">
      <c r="A93" s="155">
        <v>71</v>
      </c>
      <c r="B93" s="156" t="s">
        <v>278</v>
      </c>
      <c r="C93" s="156" t="s">
        <v>280</v>
      </c>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row>
    <row r="94" spans="1:31" s="135" customFormat="1" ht="12.75" x14ac:dyDescent="0.2">
      <c r="A94" s="155">
        <v>72</v>
      </c>
      <c r="B94" s="156" t="s">
        <v>193</v>
      </c>
      <c r="C94" s="156" t="s">
        <v>193</v>
      </c>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row>
    <row r="95" spans="1:31" s="135" customFormat="1" ht="12.75" x14ac:dyDescent="0.2">
      <c r="A95" s="155">
        <v>73</v>
      </c>
      <c r="B95" s="156" t="s">
        <v>193</v>
      </c>
      <c r="C95" s="156" t="s">
        <v>193</v>
      </c>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row>
    <row r="96" spans="1:31" s="135" customFormat="1" ht="12.75" x14ac:dyDescent="0.2">
      <c r="A96" s="155">
        <v>74</v>
      </c>
      <c r="B96" s="156" t="s">
        <v>195</v>
      </c>
      <c r="C96" s="156" t="s">
        <v>281</v>
      </c>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row>
    <row r="97" spans="1:30" s="135" customFormat="1" ht="12.75" x14ac:dyDescent="0.2">
      <c r="A97" s="155">
        <v>75</v>
      </c>
      <c r="B97" s="156" t="s">
        <v>193</v>
      </c>
      <c r="C97" s="156" t="s">
        <v>193</v>
      </c>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row>
    <row r="98" spans="1:30" s="135" customFormat="1" ht="12.75" x14ac:dyDescent="0.2">
      <c r="A98" s="155">
        <v>76</v>
      </c>
      <c r="B98" s="156" t="s">
        <v>282</v>
      </c>
      <c r="C98" s="156" t="s">
        <v>283</v>
      </c>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row>
    <row r="99" spans="1:30" s="135" customFormat="1" ht="12.75" x14ac:dyDescent="0.2">
      <c r="A99" s="155">
        <v>77</v>
      </c>
      <c r="B99" s="156" t="s">
        <v>284</v>
      </c>
      <c r="C99" s="156" t="s">
        <v>285</v>
      </c>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row>
    <row r="100" spans="1:30" s="135" customFormat="1" ht="12.75" x14ac:dyDescent="0.2">
      <c r="A100" s="155">
        <v>78</v>
      </c>
      <c r="B100" s="156" t="s">
        <v>286</v>
      </c>
      <c r="C100" s="156" t="s">
        <v>287</v>
      </c>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row>
    <row r="101" spans="1:30" s="135" customFormat="1" ht="12.75" x14ac:dyDescent="0.2">
      <c r="A101" s="155">
        <v>79</v>
      </c>
      <c r="B101" s="156" t="s">
        <v>288</v>
      </c>
      <c r="C101" s="156" t="s">
        <v>289</v>
      </c>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row>
    <row r="102" spans="1:30" s="135" customFormat="1" ht="12.75" x14ac:dyDescent="0.2">
      <c r="A102" s="155">
        <v>80</v>
      </c>
      <c r="B102" s="156" t="s">
        <v>290</v>
      </c>
      <c r="C102" s="156" t="s">
        <v>291</v>
      </c>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row>
    <row r="103" spans="1:30" s="135" customFormat="1" ht="12.75" x14ac:dyDescent="0.2">
      <c r="A103" s="155">
        <v>81</v>
      </c>
      <c r="B103" s="156" t="s">
        <v>292</v>
      </c>
      <c r="C103" s="156" t="s">
        <v>293</v>
      </c>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row>
    <row r="104" spans="1:30" s="135" customFormat="1" ht="12.75" x14ac:dyDescent="0.2">
      <c r="A104" s="155">
        <v>82</v>
      </c>
      <c r="B104" s="156" t="s">
        <v>246</v>
      </c>
      <c r="C104" s="156" t="s">
        <v>294</v>
      </c>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row>
    <row r="105" spans="1:30" s="135" customFormat="1" ht="12.75" x14ac:dyDescent="0.2">
      <c r="A105" s="155">
        <v>83</v>
      </c>
      <c r="B105" s="156" t="s">
        <v>241</v>
      </c>
      <c r="C105" s="156" t="s">
        <v>295</v>
      </c>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row>
    <row r="106" spans="1:30" s="135" customFormat="1" ht="12.75" x14ac:dyDescent="0.2">
      <c r="A106" s="155">
        <v>84</v>
      </c>
      <c r="B106" s="156" t="s">
        <v>241</v>
      </c>
      <c r="C106" s="156" t="s">
        <v>296</v>
      </c>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row>
    <row r="107" spans="1:30" s="135" customFormat="1" ht="12.75" x14ac:dyDescent="0.2">
      <c r="A107" s="155">
        <v>85</v>
      </c>
      <c r="B107" s="156" t="s">
        <v>241</v>
      </c>
      <c r="C107" s="156" t="s">
        <v>297</v>
      </c>
      <c r="D107" s="147" t="s">
        <v>345</v>
      </c>
      <c r="E107" s="145">
        <f>'MCT Cost Trends'!AF94</f>
        <v>-2.5000000000000001E-2</v>
      </c>
      <c r="F107" s="145">
        <f>'MCT Cost Trends'!AG94</f>
        <v>-2.5000000000000001E-2</v>
      </c>
      <c r="G107" s="145">
        <f>'MCT Cost Trends'!AH94</f>
        <v>-2.5000000000000001E-2</v>
      </c>
      <c r="H107" s="145">
        <f>'MCT Cost Trends'!AI94</f>
        <v>-2.5000000000000001E-2</v>
      </c>
      <c r="I107" s="145">
        <f>'MCT Cost Trends'!AJ94</f>
        <v>-2.5000000000000001E-2</v>
      </c>
      <c r="J107" s="145">
        <f>'MCT Cost Trends'!AK94</f>
        <v>-2.5000000000000001E-2</v>
      </c>
      <c r="K107" s="145">
        <f>'MCT Cost Trends'!AL94</f>
        <v>-0.01</v>
      </c>
      <c r="L107" s="145">
        <f>'MCT Cost Trends'!AM94</f>
        <v>-0.01</v>
      </c>
      <c r="M107" s="145">
        <f>'MCT Cost Trends'!AN94</f>
        <v>-0.01</v>
      </c>
      <c r="N107" s="145">
        <f>'MCT Cost Trends'!AO94</f>
        <v>-0.01</v>
      </c>
      <c r="O107" s="145">
        <f>'MCT Cost Trends'!AP94</f>
        <v>-0.01</v>
      </c>
      <c r="P107" s="145">
        <f>'MCT Cost Trends'!AQ94</f>
        <v>-0.01</v>
      </c>
      <c r="Q107" s="145">
        <f>'MCT Cost Trends'!AR94</f>
        <v>-0.01</v>
      </c>
      <c r="R107" s="145">
        <f>'MCT Cost Trends'!AS94</f>
        <v>0</v>
      </c>
      <c r="S107" s="145">
        <f>'MCT Cost Trends'!AT94</f>
        <v>0</v>
      </c>
      <c r="T107" s="145">
        <f>'MCT Cost Trends'!AU94</f>
        <v>0</v>
      </c>
      <c r="U107" s="145">
        <f>'MCT Cost Trends'!AV94</f>
        <v>0</v>
      </c>
      <c r="V107" s="145">
        <f>'MCT Cost Trends'!AW94</f>
        <v>0</v>
      </c>
      <c r="W107" s="145">
        <f>'MCT Cost Trends'!AX94</f>
        <v>0</v>
      </c>
      <c r="X107" s="145">
        <f>'MCT Cost Trends'!AY94</f>
        <v>0</v>
      </c>
      <c r="Y107" s="145">
        <f>'MCT Cost Trends'!AZ94</f>
        <v>0</v>
      </c>
      <c r="Z107" s="145">
        <f>'MCT Cost Trends'!BA94</f>
        <v>0</v>
      </c>
      <c r="AA107" s="145">
        <f>'MCT Cost Trends'!BB94</f>
        <v>0</v>
      </c>
      <c r="AB107" s="145">
        <f>'MCT Cost Trends'!BC94</f>
        <v>0</v>
      </c>
      <c r="AC107" s="145">
        <f>'MCT Cost Trends'!BD94</f>
        <v>0</v>
      </c>
      <c r="AD107" s="145">
        <f>'MCT Cost Trends'!BE94</f>
        <v>0</v>
      </c>
    </row>
    <row r="108" spans="1:30" s="135" customFormat="1" ht="12.75" x14ac:dyDescent="0.2">
      <c r="A108" s="155">
        <v>86</v>
      </c>
      <c r="B108" s="156" t="s">
        <v>241</v>
      </c>
      <c r="C108" s="156" t="s">
        <v>298</v>
      </c>
      <c r="D108" s="147" t="s">
        <v>345</v>
      </c>
      <c r="E108" s="145">
        <f>'MCT Cost Trends'!AF95</f>
        <v>-2.5000000000000001E-2</v>
      </c>
      <c r="F108" s="145">
        <f>'MCT Cost Trends'!AG95</f>
        <v>-2.5000000000000001E-2</v>
      </c>
      <c r="G108" s="145">
        <f>'MCT Cost Trends'!AH95</f>
        <v>-2.5000000000000001E-2</v>
      </c>
      <c r="H108" s="145">
        <f>'MCT Cost Trends'!AI95</f>
        <v>-2.5000000000000001E-2</v>
      </c>
      <c r="I108" s="145">
        <f>'MCT Cost Trends'!AJ95</f>
        <v>-2.5000000000000001E-2</v>
      </c>
      <c r="J108" s="145">
        <f>'MCT Cost Trends'!AK95</f>
        <v>-2.5000000000000001E-2</v>
      </c>
      <c r="K108" s="145">
        <f>'MCT Cost Trends'!AL95</f>
        <v>-0.01</v>
      </c>
      <c r="L108" s="145">
        <f>'MCT Cost Trends'!AM95</f>
        <v>-0.01</v>
      </c>
      <c r="M108" s="145">
        <f>'MCT Cost Trends'!AN95</f>
        <v>-0.01</v>
      </c>
      <c r="N108" s="145">
        <f>'MCT Cost Trends'!AO95</f>
        <v>-0.01</v>
      </c>
      <c r="O108" s="145">
        <f>'MCT Cost Trends'!AP95</f>
        <v>-0.01</v>
      </c>
      <c r="P108" s="145">
        <f>'MCT Cost Trends'!AQ95</f>
        <v>-0.01</v>
      </c>
      <c r="Q108" s="145">
        <f>'MCT Cost Trends'!AR95</f>
        <v>-0.01</v>
      </c>
      <c r="R108" s="145">
        <f>'MCT Cost Trends'!AS95</f>
        <v>0</v>
      </c>
      <c r="S108" s="145">
        <f>'MCT Cost Trends'!AT95</f>
        <v>0</v>
      </c>
      <c r="T108" s="145">
        <f>'MCT Cost Trends'!AU95</f>
        <v>0</v>
      </c>
      <c r="U108" s="145">
        <f>'MCT Cost Trends'!AV95</f>
        <v>0</v>
      </c>
      <c r="V108" s="145">
        <f>'MCT Cost Trends'!AW95</f>
        <v>0</v>
      </c>
      <c r="W108" s="145">
        <f>'MCT Cost Trends'!AX95</f>
        <v>0</v>
      </c>
      <c r="X108" s="145">
        <f>'MCT Cost Trends'!AY95</f>
        <v>0</v>
      </c>
      <c r="Y108" s="145">
        <f>'MCT Cost Trends'!AZ95</f>
        <v>0</v>
      </c>
      <c r="Z108" s="145">
        <f>'MCT Cost Trends'!BA95</f>
        <v>0</v>
      </c>
      <c r="AA108" s="145">
        <f>'MCT Cost Trends'!BB95</f>
        <v>0</v>
      </c>
      <c r="AB108" s="145">
        <f>'MCT Cost Trends'!BC95</f>
        <v>0</v>
      </c>
      <c r="AC108" s="145">
        <f>'MCT Cost Trends'!BD95</f>
        <v>0</v>
      </c>
      <c r="AD108" s="145">
        <f>'MCT Cost Trends'!BE95</f>
        <v>0</v>
      </c>
    </row>
    <row r="109" spans="1:30" s="135" customFormat="1" ht="12.75" x14ac:dyDescent="0.2">
      <c r="A109" s="155">
        <v>87</v>
      </c>
      <c r="B109" s="156" t="s">
        <v>195</v>
      </c>
      <c r="C109" s="156" t="s">
        <v>75</v>
      </c>
      <c r="D109" s="147" t="s">
        <v>344</v>
      </c>
      <c r="E109" s="145">
        <f>'MCT Cost Trends'!AF96</f>
        <v>0.02</v>
      </c>
      <c r="F109" s="145">
        <f>'MCT Cost Trends'!AG96</f>
        <v>5.0000000000000001E-3</v>
      </c>
      <c r="G109" s="145">
        <f>'MCT Cost Trends'!AH96</f>
        <v>5.0000000000000001E-3</v>
      </c>
      <c r="H109" s="145">
        <f>'MCT Cost Trends'!AI96</f>
        <v>5.0000000000000001E-3</v>
      </c>
      <c r="I109" s="145">
        <f>'MCT Cost Trends'!AJ96</f>
        <v>0</v>
      </c>
      <c r="J109" s="145">
        <f>'MCT Cost Trends'!AK96</f>
        <v>0</v>
      </c>
      <c r="K109" s="145">
        <f>'MCT Cost Trends'!AL96</f>
        <v>0</v>
      </c>
      <c r="L109" s="145">
        <f>'MCT Cost Trends'!AM96</f>
        <v>0</v>
      </c>
      <c r="M109" s="145">
        <f>'MCT Cost Trends'!AN96</f>
        <v>0</v>
      </c>
      <c r="N109" s="145">
        <f>'MCT Cost Trends'!AO96</f>
        <v>0</v>
      </c>
      <c r="O109" s="145">
        <f>'MCT Cost Trends'!AP96</f>
        <v>0</v>
      </c>
      <c r="P109" s="145">
        <f>'MCT Cost Trends'!AQ96</f>
        <v>0</v>
      </c>
      <c r="Q109" s="145">
        <f>'MCT Cost Trends'!AR96</f>
        <v>0</v>
      </c>
      <c r="R109" s="145">
        <f>'MCT Cost Trends'!AS96</f>
        <v>0</v>
      </c>
      <c r="S109" s="145">
        <f>'MCT Cost Trends'!AT96</f>
        <v>0</v>
      </c>
      <c r="T109" s="145">
        <f>'MCT Cost Trends'!AU96</f>
        <v>0</v>
      </c>
      <c r="U109" s="145">
        <f>'MCT Cost Trends'!AV96</f>
        <v>0</v>
      </c>
      <c r="V109" s="145">
        <f>'MCT Cost Trends'!AW96</f>
        <v>0</v>
      </c>
      <c r="W109" s="145">
        <f>'MCT Cost Trends'!AX96</f>
        <v>0</v>
      </c>
      <c r="X109" s="145">
        <f>'MCT Cost Trends'!AY96</f>
        <v>0</v>
      </c>
      <c r="Y109" s="145">
        <f>'MCT Cost Trends'!AZ96</f>
        <v>0</v>
      </c>
      <c r="Z109" s="145">
        <f>'MCT Cost Trends'!BA96</f>
        <v>0</v>
      </c>
      <c r="AA109" s="145">
        <f>'MCT Cost Trends'!BB96</f>
        <v>0</v>
      </c>
      <c r="AB109" s="145">
        <f>'MCT Cost Trends'!BC96</f>
        <v>0</v>
      </c>
      <c r="AC109" s="145">
        <f>'MCT Cost Trends'!BD96</f>
        <v>0</v>
      </c>
      <c r="AD109" s="145">
        <f>'MCT Cost Trends'!BE96</f>
        <v>0</v>
      </c>
    </row>
    <row r="110" spans="1:30" s="135" customFormat="1" ht="12.75" x14ac:dyDescent="0.2">
      <c r="A110" s="155">
        <v>88</v>
      </c>
      <c r="B110" s="156" t="s">
        <v>193</v>
      </c>
      <c r="C110" s="156" t="s">
        <v>193</v>
      </c>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row>
    <row r="111" spans="1:30" s="135" customFormat="1" ht="12.75" x14ac:dyDescent="0.2">
      <c r="A111" s="155">
        <v>89</v>
      </c>
      <c r="B111" s="156" t="s">
        <v>241</v>
      </c>
      <c r="C111" s="156" t="s">
        <v>299</v>
      </c>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row>
    <row r="112" spans="1:30" s="135" customFormat="1" ht="12.75" x14ac:dyDescent="0.2">
      <c r="A112" s="155">
        <v>90</v>
      </c>
      <c r="B112" s="156" t="s">
        <v>193</v>
      </c>
      <c r="C112" s="156" t="s">
        <v>193</v>
      </c>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row>
    <row r="113" spans="1:30" s="135" customFormat="1" ht="12.75" x14ac:dyDescent="0.2">
      <c r="A113" s="155">
        <v>91</v>
      </c>
      <c r="B113" s="156" t="s">
        <v>300</v>
      </c>
      <c r="C113" s="156" t="s">
        <v>301</v>
      </c>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row>
    <row r="114" spans="1:30" s="135" customFormat="1" ht="12.75" x14ac:dyDescent="0.2">
      <c r="A114" s="155">
        <v>92</v>
      </c>
      <c r="B114" s="156" t="s">
        <v>241</v>
      </c>
      <c r="C114" s="156" t="s">
        <v>302</v>
      </c>
      <c r="D114" s="147" t="s">
        <v>345</v>
      </c>
      <c r="E114" s="145">
        <f>'MCT Cost Trends'!AF101</f>
        <v>-0.02</v>
      </c>
      <c r="F114" s="145">
        <f>'MCT Cost Trends'!AG101</f>
        <v>-0.02</v>
      </c>
      <c r="G114" s="145">
        <f>'MCT Cost Trends'!AH101</f>
        <v>-0.02</v>
      </c>
      <c r="H114" s="145">
        <f>'MCT Cost Trends'!AI101</f>
        <v>-0.02</v>
      </c>
      <c r="I114" s="145">
        <f>'MCT Cost Trends'!AJ101</f>
        <v>-0.02</v>
      </c>
      <c r="J114" s="145">
        <f>'MCT Cost Trends'!AK101</f>
        <v>-0.02</v>
      </c>
      <c r="K114" s="145">
        <f>'MCT Cost Trends'!AL101</f>
        <v>-0.02</v>
      </c>
      <c r="L114" s="145">
        <f>'MCT Cost Trends'!AM101</f>
        <v>-0.02</v>
      </c>
      <c r="M114" s="145">
        <f>'MCT Cost Trends'!AN101</f>
        <v>-0.02</v>
      </c>
      <c r="N114" s="145">
        <f>'MCT Cost Trends'!AO101</f>
        <v>-0.02</v>
      </c>
      <c r="O114" s="145">
        <f>'MCT Cost Trends'!AP101</f>
        <v>-0.02</v>
      </c>
      <c r="P114" s="145">
        <f>'MCT Cost Trends'!AQ101</f>
        <v>-0.02</v>
      </c>
      <c r="Q114" s="145">
        <f>'MCT Cost Trends'!AR101</f>
        <v>-0.02</v>
      </c>
      <c r="R114" s="145">
        <f>'MCT Cost Trends'!AS101</f>
        <v>0</v>
      </c>
      <c r="S114" s="145">
        <f>'MCT Cost Trends'!AT101</f>
        <v>0</v>
      </c>
      <c r="T114" s="145">
        <f>'MCT Cost Trends'!AU101</f>
        <v>0</v>
      </c>
      <c r="U114" s="145">
        <f>'MCT Cost Trends'!AV101</f>
        <v>0</v>
      </c>
      <c r="V114" s="145">
        <f>'MCT Cost Trends'!AW101</f>
        <v>0</v>
      </c>
      <c r="W114" s="145">
        <f>'MCT Cost Trends'!AX101</f>
        <v>0</v>
      </c>
      <c r="X114" s="145">
        <f>'MCT Cost Trends'!AY101</f>
        <v>0</v>
      </c>
      <c r="Y114" s="145">
        <f>'MCT Cost Trends'!AZ101</f>
        <v>0</v>
      </c>
      <c r="Z114" s="145">
        <f>'MCT Cost Trends'!BA101</f>
        <v>0</v>
      </c>
      <c r="AA114" s="145">
        <f>'MCT Cost Trends'!BB101</f>
        <v>0</v>
      </c>
      <c r="AB114" s="145">
        <f>'MCT Cost Trends'!BC101</f>
        <v>0</v>
      </c>
      <c r="AC114" s="145">
        <f>'MCT Cost Trends'!BD101</f>
        <v>0</v>
      </c>
      <c r="AD114" s="145">
        <f>'MCT Cost Trends'!BE101</f>
        <v>0</v>
      </c>
    </row>
    <row r="115" spans="1:30" s="135" customFormat="1" ht="12.75" x14ac:dyDescent="0.2">
      <c r="A115" s="155">
        <v>93</v>
      </c>
      <c r="B115" s="156" t="s">
        <v>241</v>
      </c>
      <c r="C115" s="156" t="s">
        <v>303</v>
      </c>
      <c r="D115" s="147" t="s">
        <v>345</v>
      </c>
      <c r="E115" s="145">
        <f>'MCT Cost Trends'!AF102</f>
        <v>-0.02</v>
      </c>
      <c r="F115" s="145">
        <f>'MCT Cost Trends'!AG102</f>
        <v>-0.02</v>
      </c>
      <c r="G115" s="145">
        <f>'MCT Cost Trends'!AH102</f>
        <v>-0.02</v>
      </c>
      <c r="H115" s="145">
        <f>'MCT Cost Trends'!AI102</f>
        <v>-0.02</v>
      </c>
      <c r="I115" s="145">
        <f>'MCT Cost Trends'!AJ102</f>
        <v>-0.02</v>
      </c>
      <c r="J115" s="145">
        <f>'MCT Cost Trends'!AK102</f>
        <v>-0.02</v>
      </c>
      <c r="K115" s="145">
        <f>'MCT Cost Trends'!AL102</f>
        <v>-0.02</v>
      </c>
      <c r="L115" s="145">
        <f>'MCT Cost Trends'!AM102</f>
        <v>-0.02</v>
      </c>
      <c r="M115" s="145">
        <f>'MCT Cost Trends'!AN102</f>
        <v>-0.02</v>
      </c>
      <c r="N115" s="145">
        <f>'MCT Cost Trends'!AO102</f>
        <v>-0.02</v>
      </c>
      <c r="O115" s="145">
        <f>'MCT Cost Trends'!AP102</f>
        <v>-0.02</v>
      </c>
      <c r="P115" s="145">
        <f>'MCT Cost Trends'!AQ102</f>
        <v>-0.02</v>
      </c>
      <c r="Q115" s="145">
        <f>'MCT Cost Trends'!AR102</f>
        <v>-0.02</v>
      </c>
      <c r="R115" s="145">
        <f>'MCT Cost Trends'!AS102</f>
        <v>0</v>
      </c>
      <c r="S115" s="145">
        <f>'MCT Cost Trends'!AT102</f>
        <v>0</v>
      </c>
      <c r="T115" s="145">
        <f>'MCT Cost Trends'!AU102</f>
        <v>0</v>
      </c>
      <c r="U115" s="145">
        <f>'MCT Cost Trends'!AV102</f>
        <v>0</v>
      </c>
      <c r="V115" s="145">
        <f>'MCT Cost Trends'!AW102</f>
        <v>0</v>
      </c>
      <c r="W115" s="145">
        <f>'MCT Cost Trends'!AX102</f>
        <v>0</v>
      </c>
      <c r="X115" s="145">
        <f>'MCT Cost Trends'!AY102</f>
        <v>0</v>
      </c>
      <c r="Y115" s="145">
        <f>'MCT Cost Trends'!AZ102</f>
        <v>0</v>
      </c>
      <c r="Z115" s="145">
        <f>'MCT Cost Trends'!BA102</f>
        <v>0</v>
      </c>
      <c r="AA115" s="145">
        <f>'MCT Cost Trends'!BB102</f>
        <v>0</v>
      </c>
      <c r="AB115" s="145">
        <f>'MCT Cost Trends'!BC102</f>
        <v>0</v>
      </c>
      <c r="AC115" s="145">
        <f>'MCT Cost Trends'!BD102</f>
        <v>0</v>
      </c>
      <c r="AD115" s="145">
        <f>'MCT Cost Trends'!BE102</f>
        <v>0</v>
      </c>
    </row>
    <row r="116" spans="1:30" s="135" customFormat="1" ht="12.75" x14ac:dyDescent="0.2">
      <c r="A116" s="155">
        <v>94</v>
      </c>
      <c r="B116" s="156" t="s">
        <v>193</v>
      </c>
      <c r="C116" s="156" t="s">
        <v>193</v>
      </c>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row>
    <row r="117" spans="1:30" s="135" customFormat="1" ht="12.75" x14ac:dyDescent="0.2">
      <c r="A117" s="155">
        <v>95</v>
      </c>
      <c r="B117" s="156" t="s">
        <v>193</v>
      </c>
      <c r="C117" s="156" t="s">
        <v>193</v>
      </c>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row>
    <row r="118" spans="1:30" s="135" customFormat="1" ht="12.75" x14ac:dyDescent="0.2">
      <c r="A118" s="155">
        <v>96</v>
      </c>
      <c r="B118" s="156" t="s">
        <v>193</v>
      </c>
      <c r="C118" s="156" t="s">
        <v>193</v>
      </c>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row>
    <row r="119" spans="1:30" s="135" customFormat="1" ht="12.75" x14ac:dyDescent="0.2">
      <c r="A119" s="155">
        <v>97</v>
      </c>
      <c r="B119" s="156" t="s">
        <v>304</v>
      </c>
      <c r="C119" s="156" t="s">
        <v>305</v>
      </c>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row>
    <row r="120" spans="1:30" s="135" customFormat="1" ht="12.75" x14ac:dyDescent="0.2">
      <c r="A120" s="155">
        <v>98</v>
      </c>
      <c r="B120" s="156" t="s">
        <v>304</v>
      </c>
      <c r="C120" s="156" t="s">
        <v>306</v>
      </c>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row>
    <row r="121" spans="1:30" s="135" customFormat="1" ht="12.75" x14ac:dyDescent="0.2">
      <c r="A121" s="155">
        <v>99</v>
      </c>
      <c r="B121" s="156" t="s">
        <v>307</v>
      </c>
      <c r="C121" s="156" t="s">
        <v>308</v>
      </c>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row>
    <row r="122" spans="1:30" s="135" customFormat="1" ht="12.75" x14ac:dyDescent="0.2">
      <c r="A122" s="155">
        <v>100</v>
      </c>
      <c r="B122" s="156" t="s">
        <v>307</v>
      </c>
      <c r="C122" s="156" t="s">
        <v>309</v>
      </c>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row>
    <row r="123" spans="1:30" s="135" customFormat="1" ht="12.75" x14ac:dyDescent="0.2">
      <c r="A123" s="155">
        <v>101</v>
      </c>
      <c r="B123" s="156" t="s">
        <v>310</v>
      </c>
      <c r="C123" s="156" t="s">
        <v>311</v>
      </c>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row>
    <row r="124" spans="1:30" s="135" customFormat="1" ht="12.75" x14ac:dyDescent="0.2">
      <c r="A124" s="155">
        <v>102</v>
      </c>
      <c r="B124" s="156" t="s">
        <v>310</v>
      </c>
      <c r="C124" s="156" t="s">
        <v>312</v>
      </c>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row>
    <row r="125" spans="1:30" s="135" customFormat="1" ht="12.75" x14ac:dyDescent="0.2">
      <c r="A125" s="155">
        <v>103</v>
      </c>
      <c r="B125" s="156" t="s">
        <v>310</v>
      </c>
      <c r="C125" s="156" t="s">
        <v>313</v>
      </c>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row>
    <row r="126" spans="1:30" s="135" customFormat="1" ht="12.75" x14ac:dyDescent="0.2">
      <c r="A126" s="155">
        <v>104</v>
      </c>
      <c r="B126" s="156" t="s">
        <v>310</v>
      </c>
      <c r="C126" s="156" t="s">
        <v>314</v>
      </c>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row>
    <row r="127" spans="1:30" s="135" customFormat="1" ht="12.75" x14ac:dyDescent="0.2">
      <c r="A127" s="155">
        <v>105</v>
      </c>
      <c r="B127" s="156" t="s">
        <v>310</v>
      </c>
      <c r="C127" s="156" t="s">
        <v>315</v>
      </c>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row>
    <row r="128" spans="1:30" s="135" customFormat="1" ht="12.75" x14ac:dyDescent="0.2">
      <c r="A128" s="155">
        <v>106</v>
      </c>
      <c r="B128" s="156" t="s">
        <v>310</v>
      </c>
      <c r="C128" s="156" t="s">
        <v>316</v>
      </c>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row>
    <row r="129" spans="1:30" s="135" customFormat="1" ht="12.75" x14ac:dyDescent="0.2">
      <c r="A129" s="155">
        <v>107</v>
      </c>
      <c r="B129" s="156" t="s">
        <v>317</v>
      </c>
      <c r="C129" s="156" t="s">
        <v>251</v>
      </c>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row>
    <row r="130" spans="1:30" s="135" customFormat="1" ht="12.75" x14ac:dyDescent="0.2">
      <c r="A130" s="155">
        <v>108</v>
      </c>
      <c r="B130" s="156" t="s">
        <v>317</v>
      </c>
      <c r="C130" s="156" t="s">
        <v>252</v>
      </c>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row>
    <row r="131" spans="1:30" s="135" customFormat="1" ht="12.75" x14ac:dyDescent="0.2">
      <c r="A131" s="155">
        <v>109</v>
      </c>
      <c r="B131" s="156" t="s">
        <v>317</v>
      </c>
      <c r="C131" s="156" t="s">
        <v>253</v>
      </c>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row>
    <row r="132" spans="1:30" s="135" customFormat="1" ht="12.75" x14ac:dyDescent="0.2">
      <c r="A132" s="155">
        <v>110</v>
      </c>
      <c r="B132" s="156" t="s">
        <v>241</v>
      </c>
      <c r="C132" s="156" t="s">
        <v>318</v>
      </c>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row>
    <row r="133" spans="1:30" s="135" customFormat="1" ht="12.75" x14ac:dyDescent="0.2">
      <c r="A133" s="155">
        <v>111</v>
      </c>
      <c r="B133" s="156" t="s">
        <v>241</v>
      </c>
      <c r="C133" s="156" t="s">
        <v>319</v>
      </c>
      <c r="D133" s="147" t="s">
        <v>345</v>
      </c>
      <c r="E133" s="145">
        <f>'MCT Cost Trends'!AF120</f>
        <v>-2.5000000000000001E-2</v>
      </c>
      <c r="F133" s="145">
        <f>'MCT Cost Trends'!AG120</f>
        <v>-2.5000000000000001E-2</v>
      </c>
      <c r="G133" s="145">
        <f>'MCT Cost Trends'!AH120</f>
        <v>-2.5000000000000001E-2</v>
      </c>
      <c r="H133" s="145">
        <f>'MCT Cost Trends'!AI120</f>
        <v>-2.5000000000000001E-2</v>
      </c>
      <c r="I133" s="145">
        <f>'MCT Cost Trends'!AJ120</f>
        <v>-2.5000000000000001E-2</v>
      </c>
      <c r="J133" s="145">
        <f>'MCT Cost Trends'!AK120</f>
        <v>-2.5000000000000001E-2</v>
      </c>
      <c r="K133" s="145">
        <f>'MCT Cost Trends'!AL120</f>
        <v>-0.01</v>
      </c>
      <c r="L133" s="145">
        <f>'MCT Cost Trends'!AM120</f>
        <v>-0.01</v>
      </c>
      <c r="M133" s="145">
        <f>'MCT Cost Trends'!AN120</f>
        <v>-0.01</v>
      </c>
      <c r="N133" s="145">
        <f>'MCT Cost Trends'!AO120</f>
        <v>-0.01</v>
      </c>
      <c r="O133" s="145">
        <f>'MCT Cost Trends'!AP120</f>
        <v>-0.01</v>
      </c>
      <c r="P133" s="145">
        <f>'MCT Cost Trends'!AQ120</f>
        <v>-0.01</v>
      </c>
      <c r="Q133" s="145">
        <f>'MCT Cost Trends'!AR120</f>
        <v>-0.01</v>
      </c>
      <c r="R133" s="145">
        <f>'MCT Cost Trends'!AS120</f>
        <v>0</v>
      </c>
      <c r="S133" s="145">
        <f>'MCT Cost Trends'!AT120</f>
        <v>0</v>
      </c>
      <c r="T133" s="145">
        <f>'MCT Cost Trends'!AU120</f>
        <v>0</v>
      </c>
      <c r="U133" s="145">
        <f>'MCT Cost Trends'!AV120</f>
        <v>0</v>
      </c>
      <c r="V133" s="145">
        <f>'MCT Cost Trends'!AW120</f>
        <v>0</v>
      </c>
      <c r="W133" s="145">
        <f>'MCT Cost Trends'!AX120</f>
        <v>0</v>
      </c>
      <c r="X133" s="145">
        <f>'MCT Cost Trends'!AY120</f>
        <v>0</v>
      </c>
      <c r="Y133" s="145">
        <f>'MCT Cost Trends'!AZ120</f>
        <v>0</v>
      </c>
      <c r="Z133" s="145">
        <f>'MCT Cost Trends'!BA120</f>
        <v>0</v>
      </c>
      <c r="AA133" s="145">
        <f>'MCT Cost Trends'!BB120</f>
        <v>0</v>
      </c>
      <c r="AB133" s="145">
        <f>'MCT Cost Trends'!BC120</f>
        <v>0</v>
      </c>
      <c r="AC133" s="145">
        <f>'MCT Cost Trends'!BD120</f>
        <v>0</v>
      </c>
      <c r="AD133" s="145">
        <f>'MCT Cost Trends'!BE120</f>
        <v>0</v>
      </c>
    </row>
    <row r="134" spans="1:30" s="135" customFormat="1" ht="12.75" x14ac:dyDescent="0.2">
      <c r="A134" s="155">
        <v>112</v>
      </c>
      <c r="B134" s="156" t="s">
        <v>195</v>
      </c>
      <c r="C134" s="156" t="s">
        <v>320</v>
      </c>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row>
    <row r="135" spans="1:30" s="135" customFormat="1" ht="12.75" x14ac:dyDescent="0.2">
      <c r="A135" s="155">
        <v>113</v>
      </c>
      <c r="B135" s="156" t="s">
        <v>195</v>
      </c>
      <c r="C135" s="156" t="s">
        <v>321</v>
      </c>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row>
    <row r="136" spans="1:30" s="135" customFormat="1" ht="12.75" x14ac:dyDescent="0.2">
      <c r="A136" s="155">
        <v>114</v>
      </c>
      <c r="B136" s="156" t="s">
        <v>195</v>
      </c>
      <c r="C136" s="156" t="s">
        <v>322</v>
      </c>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row>
    <row r="137" spans="1:30" s="135" customFormat="1" ht="12.75" x14ac:dyDescent="0.2">
      <c r="A137" s="155">
        <v>115</v>
      </c>
      <c r="B137" s="156" t="s">
        <v>193</v>
      </c>
      <c r="C137" s="156" t="s">
        <v>193</v>
      </c>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row>
    <row r="138" spans="1:30" s="135" customFormat="1" ht="12.75" x14ac:dyDescent="0.2">
      <c r="A138" s="155">
        <v>116</v>
      </c>
      <c r="B138" s="156" t="s">
        <v>193</v>
      </c>
      <c r="C138" s="156" t="s">
        <v>193</v>
      </c>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row>
    <row r="139" spans="1:30" s="135" customFormat="1" ht="12.75" x14ac:dyDescent="0.2">
      <c r="A139" s="155">
        <v>117</v>
      </c>
      <c r="B139" s="156" t="s">
        <v>193</v>
      </c>
      <c r="C139" s="156" t="s">
        <v>193</v>
      </c>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row>
    <row r="140" spans="1:30" s="135" customFormat="1" ht="12.75" x14ac:dyDescent="0.2">
      <c r="A140" s="155">
        <v>118</v>
      </c>
      <c r="B140" s="156" t="s">
        <v>193</v>
      </c>
      <c r="C140" s="156" t="s">
        <v>193</v>
      </c>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row>
    <row r="141" spans="1:30" s="135" customFormat="1" ht="12.75" x14ac:dyDescent="0.2">
      <c r="A141" s="155">
        <v>119</v>
      </c>
      <c r="B141" s="156" t="s">
        <v>193</v>
      </c>
      <c r="C141" s="156" t="s">
        <v>193</v>
      </c>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row>
    <row r="142" spans="1:30" s="135" customFormat="1" ht="12.75" x14ac:dyDescent="0.2">
      <c r="A142" s="155">
        <v>120</v>
      </c>
      <c r="B142" s="156" t="s">
        <v>193</v>
      </c>
      <c r="C142" s="156" t="s">
        <v>193</v>
      </c>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row>
    <row r="143" spans="1:30" s="135" customFormat="1" ht="12.75" x14ac:dyDescent="0.2">
      <c r="A143" s="155">
        <v>121</v>
      </c>
      <c r="B143" s="156" t="s">
        <v>193</v>
      </c>
      <c r="C143" s="156" t="s">
        <v>193</v>
      </c>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row>
    <row r="144" spans="1:30" s="135" customFormat="1" ht="12.75" x14ac:dyDescent="0.2">
      <c r="A144" s="155">
        <v>122</v>
      </c>
      <c r="B144" s="156" t="s">
        <v>193</v>
      </c>
      <c r="C144" s="156" t="s">
        <v>193</v>
      </c>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row>
    <row r="145" spans="1:30" s="135" customFormat="1" ht="12.75" x14ac:dyDescent="0.2">
      <c r="A145" s="155">
        <v>123</v>
      </c>
      <c r="B145" s="156" t="s">
        <v>193</v>
      </c>
      <c r="C145" s="156" t="s">
        <v>193</v>
      </c>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row>
    <row r="146" spans="1:30" s="135" customFormat="1" ht="12.75" x14ac:dyDescent="0.2">
      <c r="A146" s="155">
        <v>124</v>
      </c>
      <c r="B146" s="156" t="s">
        <v>193</v>
      </c>
      <c r="C146" s="156" t="s">
        <v>193</v>
      </c>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row>
    <row r="147" spans="1:30" s="135" customFormat="1" ht="12.75" x14ac:dyDescent="0.2">
      <c r="A147" s="155">
        <v>125</v>
      </c>
      <c r="B147" s="156" t="s">
        <v>193</v>
      </c>
      <c r="C147" s="156" t="s">
        <v>193</v>
      </c>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row>
    <row r="148" spans="1:30" s="135" customFormat="1" ht="12.75" x14ac:dyDescent="0.2">
      <c r="A148" s="155">
        <v>126</v>
      </c>
      <c r="B148" s="156" t="s">
        <v>193</v>
      </c>
      <c r="C148" s="156" t="s">
        <v>193</v>
      </c>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row>
    <row r="149" spans="1:30" s="135" customFormat="1" ht="12.75" x14ac:dyDescent="0.2">
      <c r="A149" s="155">
        <v>127</v>
      </c>
      <c r="B149" s="156" t="s">
        <v>193</v>
      </c>
      <c r="C149" s="156" t="s">
        <v>193</v>
      </c>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row>
    <row r="150" spans="1:30" s="135" customFormat="1" ht="12.75" x14ac:dyDescent="0.2">
      <c r="A150" s="155">
        <v>128</v>
      </c>
      <c r="B150" s="156" t="s">
        <v>193</v>
      </c>
      <c r="C150" s="156" t="s">
        <v>193</v>
      </c>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row>
    <row r="151" spans="1:30" s="135" customFormat="1" ht="12.75" x14ac:dyDescent="0.2">
      <c r="A151" s="155">
        <v>129</v>
      </c>
      <c r="B151" s="156" t="s">
        <v>228</v>
      </c>
      <c r="C151" s="156" t="s">
        <v>323</v>
      </c>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row>
    <row r="152" spans="1:30" s="135" customFormat="1" ht="12.75" x14ac:dyDescent="0.2">
      <c r="A152" s="155">
        <v>130</v>
      </c>
      <c r="B152" s="156" t="s">
        <v>228</v>
      </c>
      <c r="C152" s="156" t="s">
        <v>324</v>
      </c>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row>
    <row r="153" spans="1:30" s="135" customFormat="1" ht="12.75" x14ac:dyDescent="0.2">
      <c r="A153" s="155">
        <v>131</v>
      </c>
      <c r="B153" s="156" t="s">
        <v>325</v>
      </c>
      <c r="C153" s="156" t="s">
        <v>326</v>
      </c>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row>
    <row r="154" spans="1:30" s="135" customFormat="1" ht="12.75" x14ac:dyDescent="0.2">
      <c r="A154" s="155">
        <v>132</v>
      </c>
      <c r="B154" s="156" t="s">
        <v>325</v>
      </c>
      <c r="C154" s="156" t="s">
        <v>327</v>
      </c>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row>
    <row r="155" spans="1:30" s="135" customFormat="1" ht="12.75" x14ac:dyDescent="0.2">
      <c r="A155" s="155">
        <v>133</v>
      </c>
      <c r="B155" s="156" t="s">
        <v>325</v>
      </c>
      <c r="C155" s="156" t="s">
        <v>328</v>
      </c>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row>
    <row r="156" spans="1:30" s="135" customFormat="1" ht="12.75" x14ac:dyDescent="0.2">
      <c r="A156" s="155">
        <v>134</v>
      </c>
      <c r="B156" s="156" t="s">
        <v>325</v>
      </c>
      <c r="C156" s="156" t="s">
        <v>329</v>
      </c>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row>
    <row r="157" spans="1:30" s="135" customFormat="1" ht="12.75" x14ac:dyDescent="0.2">
      <c r="A157" s="155">
        <v>135</v>
      </c>
      <c r="B157" s="156" t="s">
        <v>330</v>
      </c>
      <c r="C157" s="156" t="s">
        <v>331</v>
      </c>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row>
    <row r="158" spans="1:30" s="135" customFormat="1" ht="12.75" x14ac:dyDescent="0.2">
      <c r="A158" s="155">
        <v>136</v>
      </c>
      <c r="B158" s="156" t="s">
        <v>330</v>
      </c>
      <c r="C158" s="156" t="s">
        <v>332</v>
      </c>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row>
    <row r="159" spans="1:30" s="135" customFormat="1" ht="12.75" x14ac:dyDescent="0.2">
      <c r="A159" s="155">
        <v>137</v>
      </c>
      <c r="B159" s="156" t="s">
        <v>330</v>
      </c>
      <c r="C159" s="156" t="s">
        <v>333</v>
      </c>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row>
    <row r="160" spans="1:30" s="135" customFormat="1" ht="12.75" x14ac:dyDescent="0.2">
      <c r="A160" s="155">
        <v>138</v>
      </c>
      <c r="B160" s="156" t="s">
        <v>330</v>
      </c>
      <c r="C160" s="156" t="s">
        <v>334</v>
      </c>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row>
    <row r="161" spans="1:30" s="135" customFormat="1" ht="12.75" x14ac:dyDescent="0.2">
      <c r="A161" s="155">
        <v>139</v>
      </c>
      <c r="B161" s="156" t="s">
        <v>330</v>
      </c>
      <c r="C161" s="156" t="s">
        <v>335</v>
      </c>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row>
    <row r="162" spans="1:30" s="135" customFormat="1" ht="12.75" x14ac:dyDescent="0.2">
      <c r="A162" s="155">
        <v>140</v>
      </c>
      <c r="B162" s="156" t="s">
        <v>330</v>
      </c>
      <c r="C162" s="156" t="s">
        <v>336</v>
      </c>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row>
    <row r="163" spans="1:30" s="135" customFormat="1" ht="12.75" x14ac:dyDescent="0.2">
      <c r="A163" s="155">
        <v>141</v>
      </c>
      <c r="B163" s="156" t="s">
        <v>330</v>
      </c>
      <c r="C163" s="156" t="s">
        <v>337</v>
      </c>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row>
    <row r="164" spans="1:30" s="135" customFormat="1" ht="12.75" x14ac:dyDescent="0.2">
      <c r="A164" s="155">
        <v>142</v>
      </c>
      <c r="B164" s="156" t="s">
        <v>330</v>
      </c>
      <c r="C164" s="156" t="s">
        <v>338</v>
      </c>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row>
    <row r="165" spans="1:30" s="135" customFormat="1" ht="12.75" x14ac:dyDescent="0.2">
      <c r="A165" s="155">
        <v>143</v>
      </c>
      <c r="B165" s="156" t="s">
        <v>325</v>
      </c>
      <c r="C165" s="156" t="s">
        <v>339</v>
      </c>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row>
    <row r="166" spans="1:30" s="135" customFormat="1" ht="12.75" x14ac:dyDescent="0.2">
      <c r="A166" s="155">
        <v>144</v>
      </c>
      <c r="B166" s="156" t="s">
        <v>230</v>
      </c>
      <c r="C166" s="156" t="s">
        <v>340</v>
      </c>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row>
    <row r="167" spans="1:30" s="135" customFormat="1" ht="12.75" x14ac:dyDescent="0.2">
      <c r="A167" s="155">
        <v>145</v>
      </c>
      <c r="B167" s="156" t="s">
        <v>325</v>
      </c>
      <c r="C167" s="156" t="s">
        <v>193</v>
      </c>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row>
    <row r="168" spans="1:30" s="135" customFormat="1" ht="12.75" x14ac:dyDescent="0.2">
      <c r="A168" s="155">
        <v>146</v>
      </c>
      <c r="B168" s="156" t="s">
        <v>325</v>
      </c>
      <c r="C168" s="156" t="s">
        <v>193</v>
      </c>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row>
    <row r="169" spans="1:30" s="135" customFormat="1" ht="12.75" x14ac:dyDescent="0.2">
      <c r="A169" s="155">
        <v>147</v>
      </c>
      <c r="B169" s="156" t="s">
        <v>325</v>
      </c>
      <c r="C169" s="156" t="s">
        <v>193</v>
      </c>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row>
    <row r="170" spans="1:30" s="135" customFormat="1" ht="12.75" x14ac:dyDescent="0.2">
      <c r="A170" s="155">
        <v>148</v>
      </c>
      <c r="B170" s="156" t="s">
        <v>325</v>
      </c>
      <c r="C170" s="156" t="s">
        <v>193</v>
      </c>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row>
    <row r="171" spans="1:30" s="135" customFormat="1" ht="12.75" x14ac:dyDescent="0.2">
      <c r="A171" s="155">
        <v>149</v>
      </c>
      <c r="B171" s="156" t="s">
        <v>341</v>
      </c>
      <c r="C171" s="156" t="s">
        <v>342</v>
      </c>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row>
    <row r="172" spans="1:30" s="135" customFormat="1" ht="12.75" x14ac:dyDescent="0.2">
      <c r="A172" s="155">
        <v>150</v>
      </c>
      <c r="B172" s="156" t="s">
        <v>341</v>
      </c>
      <c r="C172" s="156" t="s">
        <v>343</v>
      </c>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row>
    <row r="173" spans="1:30" s="135" customFormat="1" ht="12.75" x14ac:dyDescent="0.2"/>
    <row r="174" spans="1:30" s="135" customFormat="1" ht="12.75" x14ac:dyDescent="0.2"/>
    <row r="175" spans="1:30" s="135" customFormat="1" ht="12.75" x14ac:dyDescent="0.2"/>
    <row r="176" spans="1:30" s="135" customFormat="1" ht="12.75" x14ac:dyDescent="0.2"/>
    <row r="177" s="135" customFormat="1" ht="12.75" x14ac:dyDescent="0.2"/>
    <row r="178" s="135" customFormat="1" ht="12.75" x14ac:dyDescent="0.2"/>
    <row r="179" s="135" customFormat="1" ht="12.75" x14ac:dyDescent="0.2"/>
    <row r="180" s="135" customFormat="1" ht="12.75" x14ac:dyDescent="0.2"/>
  </sheetData>
  <hyperlinks>
    <hyperlink ref="D4" r:id="rId1" xr:uid="{20083011-A081-4A76-945A-5A5D82804E6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5165A-0AFE-4FB6-9945-1EFC2F6E1D22}">
  <sheetPr codeName="Sheet17">
    <pageSetUpPr autoPageBreaks="0"/>
  </sheetPr>
  <dimension ref="A1:L41"/>
  <sheetViews>
    <sheetView defaultGridColor="0" colorId="22" zoomScaleNormal="100" workbookViewId="0">
      <pane ySplit="1" topLeftCell="A2" activePane="bottomLeft" state="frozen"/>
      <selection pane="bottomLeft"/>
    </sheetView>
  </sheetViews>
  <sheetFormatPr defaultColWidth="12.7109375" defaultRowHeight="12" x14ac:dyDescent="0.2"/>
  <cols>
    <col min="1" max="1" width="12.7109375" style="16"/>
    <col min="2" max="2" width="45.7109375" style="16" bestFit="1" customWidth="1"/>
    <col min="3" max="3" width="13.85546875" style="16" bestFit="1" customWidth="1"/>
    <col min="4" max="4" width="27.7109375" style="16" customWidth="1"/>
    <col min="5" max="5" width="16.42578125" style="16" customWidth="1"/>
    <col min="6" max="6" width="19.42578125" style="16" bestFit="1" customWidth="1"/>
    <col min="7" max="7" width="16.28515625" style="16" bestFit="1" customWidth="1"/>
    <col min="8" max="16384" width="12.7109375" style="16"/>
  </cols>
  <sheetData>
    <row r="1" spans="1:12" s="11" customFormat="1" ht="40.5" customHeight="1" x14ac:dyDescent="0.2">
      <c r="A1" s="121" t="s">
        <v>46</v>
      </c>
      <c r="L1" s="11" t="s">
        <v>13</v>
      </c>
    </row>
    <row r="2" spans="1:12" s="135" customFormat="1" ht="12.75" x14ac:dyDescent="0.2"/>
    <row r="3" spans="1:12" s="135" customFormat="1" ht="12.75" x14ac:dyDescent="0.2"/>
    <row r="4" spans="1:12" s="135" customFormat="1" ht="12.75" x14ac:dyDescent="0.2">
      <c r="B4" s="154" t="s">
        <v>82</v>
      </c>
    </row>
    <row r="5" spans="1:12" s="135" customFormat="1" ht="12.75" x14ac:dyDescent="0.2"/>
    <row r="6" spans="1:12" s="135" customFormat="1" ht="15" x14ac:dyDescent="0.2">
      <c r="B6" s="135" t="s">
        <v>83</v>
      </c>
      <c r="C6" s="143">
        <f>'Spectrum cost inputs'!D16</f>
        <v>0.5</v>
      </c>
      <c r="D6" s="159" t="s">
        <v>410</v>
      </c>
      <c r="E6" s="135" t="s">
        <v>409</v>
      </c>
    </row>
    <row r="7" spans="1:12" s="135" customFormat="1" ht="15" x14ac:dyDescent="0.2">
      <c r="B7" s="135" t="s">
        <v>84</v>
      </c>
      <c r="C7" s="143">
        <f>'Spectrum cost inputs'!D17</f>
        <v>0.5</v>
      </c>
      <c r="D7" s="159" t="s">
        <v>411</v>
      </c>
      <c r="E7" s="135" t="s">
        <v>409</v>
      </c>
    </row>
    <row r="8" spans="1:12" s="135" customFormat="1" ht="15" x14ac:dyDescent="0.2">
      <c r="B8" s="160" t="s">
        <v>85</v>
      </c>
      <c r="C8" s="143">
        <f>'Spectrum cost inputs'!D18</f>
        <v>0.12</v>
      </c>
      <c r="D8" s="159" t="s">
        <v>412</v>
      </c>
      <c r="E8" s="135" t="s">
        <v>408</v>
      </c>
    </row>
    <row r="9" spans="1:12" s="135" customFormat="1" ht="13.5" thickBot="1" x14ac:dyDescent="0.25">
      <c r="D9" s="159"/>
    </row>
    <row r="10" spans="1:12" s="135" customFormat="1" ht="15.75" thickBot="1" x14ac:dyDescent="0.25">
      <c r="B10" s="135" t="s">
        <v>406</v>
      </c>
      <c r="C10" s="168">
        <f>-PMT('Discounted cost_7years'!finance_rate,'Discounted cost_7years'!equipment_lifetime,'Discounted cost_7years'!equipment_capital,,1)</f>
        <v>1173.7056405768335</v>
      </c>
    </row>
    <row r="11" spans="1:12" s="135" customFormat="1" ht="12.75" x14ac:dyDescent="0.2"/>
    <row r="12" spans="1:12" s="135" customFormat="1" ht="12.75" x14ac:dyDescent="0.2">
      <c r="B12" s="139" t="s">
        <v>47</v>
      </c>
    </row>
    <row r="13" spans="1:12" s="135" customFormat="1" ht="12.75" x14ac:dyDescent="0.2"/>
    <row r="14" spans="1:12" s="135" customFormat="1" ht="63.75" x14ac:dyDescent="0.2">
      <c r="C14" s="161" t="s">
        <v>48</v>
      </c>
      <c r="D14" s="161" t="s">
        <v>49</v>
      </c>
      <c r="E14" s="161" t="s">
        <v>58</v>
      </c>
      <c r="F14" s="161" t="s">
        <v>50</v>
      </c>
      <c r="G14" s="161" t="s">
        <v>51</v>
      </c>
      <c r="H14" s="161" t="s">
        <v>52</v>
      </c>
      <c r="I14" s="161" t="s">
        <v>53</v>
      </c>
      <c r="J14" s="161" t="s">
        <v>54</v>
      </c>
      <c r="K14" s="161" t="s">
        <v>55</v>
      </c>
    </row>
    <row r="15" spans="1:12" s="135" customFormat="1" ht="15.75" thickBot="1" x14ac:dyDescent="0.25">
      <c r="C15" s="162" t="s">
        <v>23</v>
      </c>
      <c r="D15" s="162" t="s">
        <v>24</v>
      </c>
      <c r="E15" s="162" t="s">
        <v>23</v>
      </c>
      <c r="F15" s="162" t="s">
        <v>24</v>
      </c>
      <c r="G15" s="162" t="s">
        <v>24</v>
      </c>
      <c r="I15" s="170">
        <f>'Discounted cost_7years'!time_horizon</f>
        <v>20</v>
      </c>
      <c r="K15" s="170">
        <f>'Discounted cost_7years'!time_horizon</f>
        <v>20</v>
      </c>
    </row>
    <row r="16" spans="1:12" s="135" customFormat="1" ht="15.75" thickBot="1" x14ac:dyDescent="0.25">
      <c r="B16" s="135" t="s">
        <v>56</v>
      </c>
      <c r="C16" s="167">
        <f>sitecost_rural</f>
        <v>100000</v>
      </c>
      <c r="D16" s="168">
        <f>'Spectrum cost inputs'!D13/'Spectrum cost inputs'!D5</f>
        <v>333.33333333333331</v>
      </c>
      <c r="E16" s="167">
        <f>Equipment</f>
        <v>7000</v>
      </c>
      <c r="F16" s="168">
        <f>per_installation_cost*$C$10+per_infrastructure_cost*+$C$10+per_maintenance_cost*'Cost calculations'!E16</f>
        <v>2013.7056405768335</v>
      </c>
      <c r="G16" s="169">
        <f>SUMIF($C$15:$F$15, $G$15,C16:F16)</f>
        <v>2347.038973910167</v>
      </c>
      <c r="H16" s="170">
        <f>'Discounted cost_7years'!equipment_lifetime</f>
        <v>7</v>
      </c>
      <c r="I16" s="171">
        <f>ROUNDUP(I$15/H16, 0)</f>
        <v>3</v>
      </c>
      <c r="J16" s="170">
        <f>'Discounted cost_7years'!structure_lifetime</f>
        <v>20</v>
      </c>
      <c r="K16" s="171">
        <f>ROUNDUP(K$15/J16, 0)</f>
        <v>1</v>
      </c>
    </row>
    <row r="17" spans="2:11" s="135" customFormat="1" ht="15.75" thickBot="1" x14ac:dyDescent="0.25">
      <c r="B17" s="135" t="s">
        <v>57</v>
      </c>
      <c r="C17" s="167">
        <f>sitecost_urban</f>
        <v>10000</v>
      </c>
      <c r="D17" s="168">
        <f>'Spectrum cost inputs'!D14/'Spectrum cost inputs'!D6</f>
        <v>5000</v>
      </c>
      <c r="E17" s="167">
        <f>Equipment</f>
        <v>7000</v>
      </c>
      <c r="F17" s="168">
        <f>per_installation_cost*$C$10+per_infrastructure_cost*+$C$10+per_maintenance_cost*'Cost calculations'!E17</f>
        <v>2013.7056405768335</v>
      </c>
      <c r="G17" s="169">
        <f>SUMIF($C$15:$F$15, $G$15,C17:F17)</f>
        <v>7013.7056405768335</v>
      </c>
      <c r="H17" s="170">
        <f>'Discounted cost_7years'!equipment_lifetime</f>
        <v>7</v>
      </c>
      <c r="I17" s="171">
        <f>ROUNDUP(I$15/H17, 0)</f>
        <v>3</v>
      </c>
      <c r="J17" s="170">
        <f>'Discounted cost_7years'!structure_lifetime</f>
        <v>20</v>
      </c>
      <c r="K17" s="171">
        <f>ROUNDUP(K$15/J17, 0)</f>
        <v>1</v>
      </c>
    </row>
    <row r="18" spans="2:11" s="135" customFormat="1" ht="12.75" x14ac:dyDescent="0.2">
      <c r="C18" s="161"/>
      <c r="D18" s="161"/>
      <c r="E18" s="161"/>
      <c r="F18" s="161"/>
      <c r="G18" s="161"/>
      <c r="H18" s="161"/>
      <c r="I18" s="161"/>
      <c r="J18" s="161"/>
      <c r="K18" s="161"/>
    </row>
    <row r="19" spans="2:11" s="135" customFormat="1" ht="12.75" x14ac:dyDescent="0.2">
      <c r="C19" s="161"/>
      <c r="D19" s="161"/>
      <c r="E19" s="161"/>
      <c r="F19" s="161"/>
      <c r="G19" s="161"/>
      <c r="H19" s="161"/>
      <c r="I19" s="161"/>
      <c r="J19" s="161"/>
      <c r="K19" s="161"/>
    </row>
    <row r="20" spans="2:11" s="135" customFormat="1" ht="12.75" x14ac:dyDescent="0.2">
      <c r="C20" s="161"/>
      <c r="D20" s="161"/>
      <c r="E20" s="161"/>
      <c r="F20" s="161"/>
      <c r="G20" s="161"/>
      <c r="H20" s="161"/>
      <c r="I20" s="161"/>
      <c r="J20" s="161"/>
      <c r="K20" s="161"/>
    </row>
    <row r="21" spans="2:11" s="135" customFormat="1" ht="12.75" x14ac:dyDescent="0.2">
      <c r="B21" s="154" t="s">
        <v>404</v>
      </c>
      <c r="C21" s="161"/>
      <c r="D21" s="161"/>
      <c r="E21" s="161"/>
      <c r="F21" s="161"/>
      <c r="G21" s="161"/>
      <c r="H21" s="161"/>
      <c r="I21" s="161"/>
      <c r="J21" s="161"/>
      <c r="K21" s="161"/>
    </row>
    <row r="22" spans="2:11" s="135" customFormat="1" ht="15.75" thickBot="1" x14ac:dyDescent="0.25">
      <c r="C22" s="162" t="s">
        <v>23</v>
      </c>
      <c r="D22" s="162" t="s">
        <v>24</v>
      </c>
      <c r="E22" s="162" t="s">
        <v>23</v>
      </c>
      <c r="F22" s="162" t="s">
        <v>24</v>
      </c>
      <c r="G22" s="162" t="s">
        <v>24</v>
      </c>
      <c r="I22" s="170">
        <f>'Discounted cost_7years'!time_horizon</f>
        <v>20</v>
      </c>
      <c r="K22" s="170">
        <f>'Discounted cost_7years'!time_horizon</f>
        <v>20</v>
      </c>
    </row>
    <row r="23" spans="2:11" s="135" customFormat="1" ht="15.75" thickBot="1" x14ac:dyDescent="0.25">
      <c r="B23" s="135" t="s">
        <v>56</v>
      </c>
      <c r="C23" s="168">
        <f>C16*'Cost Trend calc'!$L$16</f>
        <v>113398.75065063636</v>
      </c>
      <c r="D23" s="168">
        <f>D16*'Cost Trend calc'!$L$16</f>
        <v>377.99583550212117</v>
      </c>
      <c r="E23" s="168">
        <f>Equipment</f>
        <v>7000</v>
      </c>
      <c r="F23" s="168">
        <f>per_installation_cost*$C$10+per_infrastructure_cost*+$C$10+per_maintenance_cost*'Cost calculations'!E23</f>
        <v>2013.7056405768335</v>
      </c>
      <c r="G23" s="168">
        <f>SUMIF($C$22:$F$22, $G$22,C23:F23)</f>
        <v>2391.7014760789548</v>
      </c>
      <c r="H23" s="170">
        <f>'Discounted cost_7years'!equipment_lifetime</f>
        <v>7</v>
      </c>
      <c r="I23" s="171">
        <f>ROUNDUP(I$15/H23, 0)</f>
        <v>3</v>
      </c>
      <c r="J23" s="170">
        <f>'Discounted cost_7years'!structure_lifetime</f>
        <v>20</v>
      </c>
      <c r="K23" s="171">
        <f>ROUNDUP(K$15/J23, 0)</f>
        <v>1</v>
      </c>
    </row>
    <row r="24" spans="2:11" s="135" customFormat="1" ht="15.75" thickBot="1" x14ac:dyDescent="0.25">
      <c r="B24" s="135" t="s">
        <v>57</v>
      </c>
      <c r="C24" s="168">
        <f>C17*'Cost Trend calc'!$L$16</f>
        <v>11339.875065063636</v>
      </c>
      <c r="D24" s="168">
        <f>D17*'Cost Trend calc'!$L$16</f>
        <v>5669.9375325318179</v>
      </c>
      <c r="E24" s="168">
        <f>Equipment</f>
        <v>7000</v>
      </c>
      <c r="F24" s="168">
        <f>per_installation_cost*$C$10+per_infrastructure_cost*+$C$10+per_maintenance_cost*'Cost calculations'!E24</f>
        <v>2013.7056405768335</v>
      </c>
      <c r="G24" s="168">
        <f>SUMIF($C$22:$F$22, $G$22,C24:F24)</f>
        <v>7683.6431731086514</v>
      </c>
      <c r="H24" s="170">
        <f>'Discounted cost_7years'!equipment_lifetime</f>
        <v>7</v>
      </c>
      <c r="I24" s="171">
        <f>ROUNDUP(I$15/H24, 0)</f>
        <v>3</v>
      </c>
      <c r="J24" s="170">
        <f>'Discounted cost_7years'!structure_lifetime</f>
        <v>20</v>
      </c>
      <c r="K24" s="171">
        <f>ROUNDUP(K$15/J24, 0)</f>
        <v>1</v>
      </c>
    </row>
    <row r="25" spans="2:11" s="135" customFormat="1" ht="12.75" x14ac:dyDescent="0.2">
      <c r="B25" s="97" t="s">
        <v>358</v>
      </c>
      <c r="F25" s="97"/>
      <c r="H25" s="229"/>
      <c r="I25" s="230"/>
    </row>
    <row r="26" spans="2:11" s="135" customFormat="1" ht="12.75" x14ac:dyDescent="0.2">
      <c r="H26" s="163"/>
      <c r="I26" s="164"/>
    </row>
    <row r="27" spans="2:11" s="135" customFormat="1" ht="13.5" thickBot="1" x14ac:dyDescent="0.25">
      <c r="B27" s="154" t="s">
        <v>405</v>
      </c>
      <c r="F27" s="149"/>
    </row>
    <row r="28" spans="2:11" s="135" customFormat="1" ht="15.75" thickBot="1" x14ac:dyDescent="0.25">
      <c r="B28" s="135" t="s">
        <v>56</v>
      </c>
      <c r="C28" s="168">
        <f>C16*'Cost Trend calc'!$L$16</f>
        <v>113398.75065063636</v>
      </c>
      <c r="D28" s="168">
        <f>D16*'Cost Trend calc'!$L$16</f>
        <v>377.99583550212117</v>
      </c>
      <c r="E28" s="168">
        <f>Equipment</f>
        <v>7000</v>
      </c>
      <c r="F28" s="168">
        <f>+per_infrastructure_cost*+$C$10+per_maintenance_cost*'Cost calculations'!E28</f>
        <v>1426.8528202884168</v>
      </c>
      <c r="G28" s="168">
        <f>SUMIF($C$22:$F$22, $G$22,C28:F28)</f>
        <v>1804.848655790538</v>
      </c>
      <c r="H28" s="171">
        <f>'Discounted cost_7years'!equipment_lifetime</f>
        <v>7</v>
      </c>
      <c r="I28" s="171">
        <f>ROUNDUP(I$15/H28, 0)</f>
        <v>3</v>
      </c>
      <c r="J28" s="171">
        <f>'Discounted cost_7years'!structure_lifetime</f>
        <v>20</v>
      </c>
      <c r="K28" s="171">
        <f>ROUNDUP(K$15/J28, 0)</f>
        <v>1</v>
      </c>
    </row>
    <row r="29" spans="2:11" s="135" customFormat="1" ht="15.75" thickBot="1" x14ac:dyDescent="0.25">
      <c r="B29" s="135" t="s">
        <v>57</v>
      </c>
      <c r="C29" s="168">
        <f>C17*'Cost Trend calc'!$L$16</f>
        <v>11339.875065063636</v>
      </c>
      <c r="D29" s="168">
        <f>D17*'Cost Trend calc'!$L$16</f>
        <v>5669.9375325318179</v>
      </c>
      <c r="E29" s="168">
        <f>Equipment</f>
        <v>7000</v>
      </c>
      <c r="F29" s="168">
        <f>+per_infrastructure_cost*+$C$10+per_maintenance_cost*'Cost calculations'!E29</f>
        <v>1426.8528202884168</v>
      </c>
      <c r="G29" s="168">
        <f>SUMIF($C$22:$F$22, $G$22,C29:F29)</f>
        <v>7096.7903528202351</v>
      </c>
      <c r="H29" s="171">
        <f>'Discounted cost_7years'!equipment_lifetime</f>
        <v>7</v>
      </c>
      <c r="I29" s="171">
        <f>ROUNDUP(I$15/H29, 0)</f>
        <v>3</v>
      </c>
      <c r="J29" s="171">
        <f>'Discounted cost_7years'!structure_lifetime</f>
        <v>20</v>
      </c>
      <c r="K29" s="171">
        <f>ROUNDUP(K$15/J29, 0)</f>
        <v>1</v>
      </c>
    </row>
    <row r="30" spans="2:11" s="135" customFormat="1" ht="12.75" x14ac:dyDescent="0.2"/>
    <row r="31" spans="2:11" s="135" customFormat="1" ht="12.75" x14ac:dyDescent="0.2"/>
    <row r="32" spans="2:11" s="135" customFormat="1" ht="12.75" x14ac:dyDescent="0.2"/>
    <row r="33" spans="2:8" s="135" customFormat="1" ht="12.75" x14ac:dyDescent="0.2"/>
    <row r="34" spans="2:8" s="135" customFormat="1" ht="12.75" x14ac:dyDescent="0.2">
      <c r="B34" s="139" t="s">
        <v>122</v>
      </c>
      <c r="D34" s="165"/>
      <c r="E34" s="165"/>
      <c r="F34" s="166"/>
    </row>
    <row r="35" spans="2:8" s="135" customFormat="1" ht="25.5" x14ac:dyDescent="0.2">
      <c r="C35" s="161" t="s">
        <v>48</v>
      </c>
      <c r="D35" s="161" t="s">
        <v>49</v>
      </c>
      <c r="E35" s="161" t="s">
        <v>58</v>
      </c>
      <c r="F35" s="161" t="s">
        <v>123</v>
      </c>
      <c r="G35" s="161" t="s">
        <v>110</v>
      </c>
      <c r="H35" s="161"/>
    </row>
    <row r="36" spans="2:8" s="135" customFormat="1" ht="13.5" thickBot="1" x14ac:dyDescent="0.25">
      <c r="C36" s="162" t="s">
        <v>23</v>
      </c>
      <c r="D36" s="162" t="s">
        <v>24</v>
      </c>
      <c r="E36" s="162" t="s">
        <v>23</v>
      </c>
      <c r="F36" s="162" t="s">
        <v>23</v>
      </c>
      <c r="G36" s="162" t="s">
        <v>23</v>
      </c>
    </row>
    <row r="37" spans="2:8" s="135" customFormat="1" ht="15.75" thickBot="1" x14ac:dyDescent="0.25">
      <c r="C37" s="16"/>
      <c r="D37" s="16"/>
      <c r="E37" s="167">
        <f>Equipment</f>
        <v>7000</v>
      </c>
      <c r="F37" s="143">
        <f>per_installation_cost</f>
        <v>0.5</v>
      </c>
      <c r="G37" s="168">
        <f>E37+F37*E37</f>
        <v>10500</v>
      </c>
    </row>
    <row r="38" spans="2:8" s="135" customFormat="1" ht="12.75" x14ac:dyDescent="0.2"/>
    <row r="39" spans="2:8" s="135" customFormat="1" ht="12.75" x14ac:dyDescent="0.2"/>
    <row r="40" spans="2:8" s="135" customFormat="1" ht="12.75" x14ac:dyDescent="0.2"/>
    <row r="41" spans="2:8" s="135" customFormat="1" ht="12.75" x14ac:dyDescent="0.2"/>
  </sheetData>
  <mergeCells count="1">
    <mergeCell ref="H25:I25"/>
  </mergeCells>
  <dataValidations count="1">
    <dataValidation type="list" allowBlank="1" showInputMessage="1" showErrorMessage="1" sqref="C36:G36 C22:G22 C15:G15" xr:uid="{D9402FC9-2145-47D3-8BCC-1BBD96EB460D}">
      <formula1>"CAPEX, OPEX"</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ignoredErrors>
    <ignoredError sqref="C6:C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A3354-ED2C-4DA3-8FB1-64D374DDE9A1}">
  <sheetPr codeName="Sheet24">
    <pageSetUpPr autoPageBreaks="0"/>
  </sheetPr>
  <dimension ref="A1:Y121"/>
  <sheetViews>
    <sheetView defaultGridColor="0" colorId="22" zoomScaleNormal="100" workbookViewId="0">
      <pane ySplit="1" topLeftCell="A2" activePane="bottomLeft" state="frozen"/>
      <selection pane="bottomLeft"/>
    </sheetView>
  </sheetViews>
  <sheetFormatPr defaultColWidth="12.7109375" defaultRowHeight="12" x14ac:dyDescent="0.2"/>
  <cols>
    <col min="1" max="1" width="17.42578125" style="16" customWidth="1"/>
    <col min="2" max="2" width="29.28515625" style="16" customWidth="1"/>
    <col min="3" max="9" width="9.42578125" style="16" customWidth="1"/>
    <col min="10" max="21" width="12.7109375" style="16"/>
    <col min="22" max="22" width="17.140625" style="16" customWidth="1"/>
    <col min="23" max="23" width="18.7109375" style="16" customWidth="1"/>
    <col min="24" max="24" width="17.140625" style="16" customWidth="1"/>
    <col min="25" max="16384" width="12.7109375" style="16"/>
  </cols>
  <sheetData>
    <row r="1" spans="1:12" s="11" customFormat="1" ht="40.5" customHeight="1" x14ac:dyDescent="0.2">
      <c r="A1" s="121" t="s">
        <v>470</v>
      </c>
      <c r="L1" s="11" t="s">
        <v>13</v>
      </c>
    </row>
    <row r="2" spans="1:12" s="135" customFormat="1" ht="12.75" x14ac:dyDescent="0.2"/>
    <row r="3" spans="1:12" s="135" customFormat="1" ht="12.75" x14ac:dyDescent="0.2">
      <c r="B3" s="135" t="s">
        <v>25</v>
      </c>
      <c r="C3" s="147">
        <v>20</v>
      </c>
    </row>
    <row r="4" spans="1:12" s="135" customFormat="1" ht="12.75" x14ac:dyDescent="0.2"/>
    <row r="5" spans="1:12" s="135" customFormat="1" ht="12.75" x14ac:dyDescent="0.2">
      <c r="B5" s="135" t="s">
        <v>59</v>
      </c>
      <c r="C5" s="188">
        <v>5.7000000000000002E-2</v>
      </c>
      <c r="D5" s="159" t="s">
        <v>89</v>
      </c>
      <c r="E5" s="172"/>
      <c r="F5" s="172" t="s">
        <v>124</v>
      </c>
      <c r="I5" s="136" t="s">
        <v>400</v>
      </c>
    </row>
    <row r="6" spans="1:12" s="135" customFormat="1" ht="12.75" x14ac:dyDescent="0.2">
      <c r="B6" s="135" t="s">
        <v>21</v>
      </c>
      <c r="C6" s="188">
        <v>3.5000000000000003E-2</v>
      </c>
      <c r="D6" s="159" t="s">
        <v>22</v>
      </c>
      <c r="E6" s="172"/>
      <c r="F6" s="172" t="s">
        <v>401</v>
      </c>
      <c r="I6" s="136" t="s">
        <v>402</v>
      </c>
    </row>
    <row r="7" spans="1:12" s="135" customFormat="1" ht="12.75" x14ac:dyDescent="0.2">
      <c r="H7" s="173"/>
    </row>
    <row r="8" spans="1:12" s="135" customFormat="1" ht="12.75" x14ac:dyDescent="0.2">
      <c r="B8" s="160" t="s">
        <v>86</v>
      </c>
      <c r="C8" s="191">
        <f>Equipment</f>
        <v>7000</v>
      </c>
      <c r="D8" s="159" t="s">
        <v>90</v>
      </c>
      <c r="H8" s="173"/>
    </row>
    <row r="9" spans="1:12" s="135" customFormat="1" ht="12.75" x14ac:dyDescent="0.2">
      <c r="B9" s="160" t="s">
        <v>369</v>
      </c>
      <c r="C9" s="191">
        <f>'Cost calculations'!G37</f>
        <v>10500</v>
      </c>
      <c r="D9" s="159" t="s">
        <v>370</v>
      </c>
      <c r="H9" s="173"/>
    </row>
    <row r="10" spans="1:12" s="135" customFormat="1" ht="12.75" x14ac:dyDescent="0.2">
      <c r="B10" s="160" t="s">
        <v>87</v>
      </c>
      <c r="C10" s="191">
        <f>'Cost calculations'!C23</f>
        <v>113398.75065063636</v>
      </c>
      <c r="D10" s="159" t="s">
        <v>91</v>
      </c>
      <c r="H10" s="173"/>
    </row>
    <row r="11" spans="1:12" s="135" customFormat="1" ht="12.75" x14ac:dyDescent="0.2">
      <c r="B11" s="160" t="s">
        <v>88</v>
      </c>
      <c r="C11" s="191">
        <f>'Cost calculations'!C24</f>
        <v>11339.875065063636</v>
      </c>
      <c r="D11" s="159" t="s">
        <v>92</v>
      </c>
      <c r="H11" s="173"/>
    </row>
    <row r="12" spans="1:12" s="135" customFormat="1" ht="12.75" x14ac:dyDescent="0.2">
      <c r="B12" s="160"/>
      <c r="D12" s="174"/>
      <c r="H12" s="173"/>
    </row>
    <row r="13" spans="1:12" s="135" customFormat="1" ht="12.75" x14ac:dyDescent="0.2">
      <c r="B13" s="160"/>
      <c r="C13" s="160"/>
      <c r="D13" s="175"/>
      <c r="H13" s="173"/>
    </row>
    <row r="14" spans="1:12" s="135" customFormat="1" ht="12.75" x14ac:dyDescent="0.2">
      <c r="B14" s="160" t="s">
        <v>121</v>
      </c>
      <c r="C14" s="144">
        <f>per_installation_cost</f>
        <v>0.5</v>
      </c>
      <c r="D14" s="174"/>
      <c r="H14" s="173"/>
    </row>
    <row r="15" spans="1:12" s="135" customFormat="1" ht="12.75" x14ac:dyDescent="0.2">
      <c r="B15" s="160"/>
      <c r="D15" s="174"/>
      <c r="H15" s="173"/>
    </row>
    <row r="16" spans="1:12" s="135" customFormat="1" ht="12.75" x14ac:dyDescent="0.2">
      <c r="B16" s="160"/>
      <c r="C16" s="176"/>
      <c r="H16" s="173"/>
    </row>
    <row r="17" spans="2:25" s="135" customFormat="1" ht="12.75" customHeight="1" x14ac:dyDescent="0.2">
      <c r="B17" s="135" t="s">
        <v>43</v>
      </c>
      <c r="C17" s="192">
        <f>'Spectrum cost inputs'!D20</f>
        <v>7</v>
      </c>
      <c r="D17" s="159" t="s">
        <v>93</v>
      </c>
    </row>
    <row r="18" spans="2:25" s="135" customFormat="1" ht="12.75" x14ac:dyDescent="0.2">
      <c r="B18" s="135" t="s">
        <v>45</v>
      </c>
      <c r="C18" s="192">
        <f>'Spectrum cost inputs'!D21</f>
        <v>20</v>
      </c>
      <c r="D18" s="159" t="s">
        <v>94</v>
      </c>
      <c r="F18" s="177"/>
    </row>
    <row r="19" spans="2:25" s="135" customFormat="1" ht="12.75" x14ac:dyDescent="0.2"/>
    <row r="20" spans="2:25" s="135" customFormat="1" ht="12.75" x14ac:dyDescent="0.2">
      <c r="C20" s="231" t="s">
        <v>44</v>
      </c>
      <c r="D20" s="231"/>
      <c r="E20" s="231"/>
      <c r="F20" s="231"/>
      <c r="G20" s="231"/>
      <c r="H20" s="231"/>
      <c r="I20" s="231"/>
      <c r="J20" s="231"/>
      <c r="K20" s="231"/>
      <c r="L20" s="231"/>
      <c r="M20" s="231"/>
      <c r="N20" s="231"/>
      <c r="O20" s="231"/>
      <c r="P20" s="231"/>
      <c r="Q20" s="231"/>
      <c r="R20" s="231"/>
      <c r="S20" s="231"/>
      <c r="T20" s="231"/>
      <c r="U20" s="231"/>
      <c r="V20" s="231"/>
    </row>
    <row r="21" spans="2:25" s="135" customFormat="1" ht="12.75" x14ac:dyDescent="0.2">
      <c r="B21" s="189"/>
      <c r="C21" s="190">
        <v>1</v>
      </c>
      <c r="D21" s="190">
        <v>2</v>
      </c>
      <c r="E21" s="190">
        <v>3</v>
      </c>
      <c r="F21" s="190">
        <v>4</v>
      </c>
      <c r="G21" s="190">
        <v>5</v>
      </c>
      <c r="H21" s="190">
        <v>6</v>
      </c>
      <c r="I21" s="190">
        <v>7</v>
      </c>
      <c r="J21" s="190">
        <v>8</v>
      </c>
      <c r="K21" s="190">
        <v>9</v>
      </c>
      <c r="L21" s="190">
        <v>10</v>
      </c>
      <c r="M21" s="190">
        <v>11</v>
      </c>
      <c r="N21" s="190">
        <v>12</v>
      </c>
      <c r="O21" s="190">
        <v>13</v>
      </c>
      <c r="P21" s="190">
        <v>14</v>
      </c>
      <c r="Q21" s="190">
        <v>15</v>
      </c>
      <c r="R21" s="190">
        <v>16</v>
      </c>
      <c r="S21" s="190">
        <v>17</v>
      </c>
      <c r="T21" s="190">
        <v>18</v>
      </c>
      <c r="U21" s="190">
        <v>19</v>
      </c>
      <c r="V21" s="190">
        <v>20</v>
      </c>
    </row>
    <row r="22" spans="2:25" s="135" customFormat="1" ht="12.75" x14ac:dyDescent="0.2">
      <c r="B22" s="189" t="s">
        <v>60</v>
      </c>
      <c r="C22" s="193">
        <f t="shared" ref="C22:V22" si="0">1/(1+$C5)^(C$21)</f>
        <v>0.94607379375591305</v>
      </c>
      <c r="D22" s="193">
        <f t="shared" si="0"/>
        <v>0.89505562323170573</v>
      </c>
      <c r="E22" s="193">
        <f t="shared" si="0"/>
        <v>0.84678866909338302</v>
      </c>
      <c r="F22" s="193">
        <f t="shared" si="0"/>
        <v>0.80112456867869719</v>
      </c>
      <c r="G22" s="193">
        <f t="shared" si="0"/>
        <v>0.75792295996092451</v>
      </c>
      <c r="H22" s="193">
        <f t="shared" si="0"/>
        <v>0.71705105010494274</v>
      </c>
      <c r="I22" s="193">
        <f t="shared" si="0"/>
        <v>0.67838320728944457</v>
      </c>
      <c r="J22" s="193">
        <f t="shared" si="0"/>
        <v>0.64180057454062855</v>
      </c>
      <c r="K22" s="193">
        <f t="shared" si="0"/>
        <v>0.60719070439037715</v>
      </c>
      <c r="L22" s="193">
        <f t="shared" si="0"/>
        <v>0.57444721323592918</v>
      </c>
      <c r="M22" s="193">
        <f t="shared" si="0"/>
        <v>0.54346945433862748</v>
      </c>
      <c r="N22" s="193">
        <f t="shared" si="0"/>
        <v>0.51416220845660121</v>
      </c>
      <c r="O22" s="193">
        <f t="shared" si="0"/>
        <v>0.4864353911604552</v>
      </c>
      <c r="P22" s="193">
        <f t="shared" si="0"/>
        <v>0.46020377593231337</v>
      </c>
      <c r="Q22" s="193">
        <f t="shared" si="0"/>
        <v>0.43538673219707991</v>
      </c>
      <c r="R22" s="193">
        <f t="shared" si="0"/>
        <v>0.41190797748068098</v>
      </c>
      <c r="S22" s="193">
        <f t="shared" si="0"/>
        <v>0.38969534293347302</v>
      </c>
      <c r="T22" s="193">
        <f t="shared" si="0"/>
        <v>0.36868055149808232</v>
      </c>
      <c r="U22" s="193">
        <f t="shared" si="0"/>
        <v>0.34879900803981301</v>
      </c>
      <c r="V22" s="193">
        <f t="shared" si="0"/>
        <v>0.32998960079452505</v>
      </c>
    </row>
    <row r="23" spans="2:25" s="135" customFormat="1" ht="12.75" x14ac:dyDescent="0.2">
      <c r="B23" s="189" t="s">
        <v>61</v>
      </c>
      <c r="C23" s="194">
        <f t="shared" ref="C23:V23" si="1">1/(1+$C6)^(C$21)</f>
        <v>0.96618357487922713</v>
      </c>
      <c r="D23" s="194">
        <f t="shared" si="1"/>
        <v>0.93351070036640305</v>
      </c>
      <c r="E23" s="194">
        <f t="shared" si="1"/>
        <v>0.90194270566802237</v>
      </c>
      <c r="F23" s="194">
        <f t="shared" si="1"/>
        <v>0.87144222769857238</v>
      </c>
      <c r="G23" s="194">
        <f t="shared" si="1"/>
        <v>0.84197316685852419</v>
      </c>
      <c r="H23" s="194">
        <f t="shared" si="1"/>
        <v>0.81350064430775282</v>
      </c>
      <c r="I23" s="194">
        <f t="shared" si="1"/>
        <v>0.78599096068381913</v>
      </c>
      <c r="J23" s="194">
        <f t="shared" si="1"/>
        <v>0.75941155621625056</v>
      </c>
      <c r="K23" s="194">
        <f t="shared" si="1"/>
        <v>0.73373097218961414</v>
      </c>
      <c r="L23" s="194">
        <f t="shared" si="1"/>
        <v>0.70891881370977217</v>
      </c>
      <c r="M23" s="194">
        <f t="shared" si="1"/>
        <v>0.68494571372924851</v>
      </c>
      <c r="N23" s="194">
        <f t="shared" si="1"/>
        <v>0.66178329828912896</v>
      </c>
      <c r="O23" s="194">
        <f t="shared" si="1"/>
        <v>0.63940415293635666</v>
      </c>
      <c r="P23" s="194">
        <f t="shared" si="1"/>
        <v>0.61778179027667302</v>
      </c>
      <c r="Q23" s="194">
        <f t="shared" si="1"/>
        <v>0.59689061862480497</v>
      </c>
      <c r="R23" s="194">
        <f t="shared" si="1"/>
        <v>0.57670591171478747</v>
      </c>
      <c r="S23" s="194">
        <f t="shared" si="1"/>
        <v>0.55720377943457733</v>
      </c>
      <c r="T23" s="194">
        <f t="shared" si="1"/>
        <v>0.53836113955031628</v>
      </c>
      <c r="U23" s="194">
        <f t="shared" si="1"/>
        <v>0.52015569038677911</v>
      </c>
      <c r="V23" s="194">
        <f t="shared" si="1"/>
        <v>0.50256588443167061</v>
      </c>
      <c r="Y23" s="153"/>
    </row>
    <row r="24" spans="2:25" s="135" customFormat="1" ht="12.75" x14ac:dyDescent="0.2">
      <c r="B24" s="189" t="s">
        <v>62</v>
      </c>
      <c r="C24" s="195" t="s">
        <v>15</v>
      </c>
      <c r="D24" s="195" t="s">
        <v>63</v>
      </c>
      <c r="E24" s="195" t="s">
        <v>63</v>
      </c>
      <c r="F24" s="195" t="s">
        <v>63</v>
      </c>
      <c r="G24" s="195" t="s">
        <v>63</v>
      </c>
      <c r="H24" s="195" t="s">
        <v>63</v>
      </c>
      <c r="I24" s="195" t="s">
        <v>63</v>
      </c>
      <c r="J24" s="195" t="s">
        <v>15</v>
      </c>
      <c r="K24" s="195" t="s">
        <v>63</v>
      </c>
      <c r="L24" s="195" t="s">
        <v>63</v>
      </c>
      <c r="M24" s="195" t="s">
        <v>63</v>
      </c>
      <c r="N24" s="195" t="s">
        <v>63</v>
      </c>
      <c r="O24" s="195" t="s">
        <v>63</v>
      </c>
      <c r="P24" s="195" t="s">
        <v>63</v>
      </c>
      <c r="Q24" s="195" t="s">
        <v>15</v>
      </c>
      <c r="R24" s="195" t="s">
        <v>63</v>
      </c>
      <c r="S24" s="195" t="s">
        <v>63</v>
      </c>
      <c r="T24" s="195" t="s">
        <v>63</v>
      </c>
      <c r="U24" s="195" t="s">
        <v>63</v>
      </c>
      <c r="V24" s="195" t="s">
        <v>63</v>
      </c>
    </row>
    <row r="25" spans="2:25" s="135" customFormat="1" ht="12.75" x14ac:dyDescent="0.2">
      <c r="B25" s="189" t="s">
        <v>64</v>
      </c>
      <c r="C25" s="195" t="s">
        <v>15</v>
      </c>
      <c r="D25" s="195" t="s">
        <v>63</v>
      </c>
      <c r="E25" s="195" t="s">
        <v>63</v>
      </c>
      <c r="F25" s="195" t="s">
        <v>63</v>
      </c>
      <c r="G25" s="195" t="s">
        <v>63</v>
      </c>
      <c r="H25" s="195" t="s">
        <v>63</v>
      </c>
      <c r="I25" s="195" t="s">
        <v>63</v>
      </c>
      <c r="J25" s="195" t="s">
        <v>63</v>
      </c>
      <c r="K25" s="195" t="s">
        <v>63</v>
      </c>
      <c r="L25" s="195" t="s">
        <v>63</v>
      </c>
      <c r="M25" s="195" t="s">
        <v>63</v>
      </c>
      <c r="N25" s="195" t="s">
        <v>63</v>
      </c>
      <c r="O25" s="195" t="s">
        <v>63</v>
      </c>
      <c r="P25" s="195" t="s">
        <v>63</v>
      </c>
      <c r="Q25" s="195" t="s">
        <v>63</v>
      </c>
      <c r="R25" s="195" t="s">
        <v>63</v>
      </c>
      <c r="S25" s="195" t="s">
        <v>63</v>
      </c>
      <c r="T25" s="195" t="s">
        <v>63</v>
      </c>
      <c r="U25" s="195" t="s">
        <v>63</v>
      </c>
      <c r="V25" s="195" t="s">
        <v>63</v>
      </c>
    </row>
    <row r="26" spans="2:25" s="135" customFormat="1" ht="12.75" x14ac:dyDescent="0.2">
      <c r="B26" s="160"/>
    </row>
    <row r="27" spans="2:25" s="135" customFormat="1" ht="12.75" x14ac:dyDescent="0.2">
      <c r="B27" s="160"/>
    </row>
    <row r="28" spans="2:25" s="135" customFormat="1" ht="12.75" x14ac:dyDescent="0.2">
      <c r="B28" s="160"/>
    </row>
    <row r="29" spans="2:25" s="135" customFormat="1" ht="12.75" x14ac:dyDescent="0.2">
      <c r="B29" s="179" t="s">
        <v>356</v>
      </c>
    </row>
    <row r="30" spans="2:25" s="135" customFormat="1" ht="12.75" x14ac:dyDescent="0.2">
      <c r="B30" s="160" t="s">
        <v>354</v>
      </c>
    </row>
    <row r="31" spans="2:25" s="135" customFormat="1" ht="12.75" x14ac:dyDescent="0.2">
      <c r="B31" s="160" t="s">
        <v>368</v>
      </c>
    </row>
    <row r="32" spans="2:25" s="135" customFormat="1" ht="12.75" x14ac:dyDescent="0.2">
      <c r="B32" s="160"/>
    </row>
    <row r="33" spans="1:23" s="135" customFormat="1" ht="12.75" x14ac:dyDescent="0.2">
      <c r="B33" s="154"/>
      <c r="C33" s="135" t="s">
        <v>70</v>
      </c>
    </row>
    <row r="34" spans="1:23" s="135" customFormat="1" ht="12.75" x14ac:dyDescent="0.2">
      <c r="C34" s="178">
        <v>1</v>
      </c>
      <c r="D34" s="178">
        <v>2</v>
      </c>
      <c r="E34" s="178">
        <v>3</v>
      </c>
      <c r="F34" s="178">
        <v>4</v>
      </c>
      <c r="G34" s="178">
        <v>5</v>
      </c>
      <c r="H34" s="178">
        <v>6</v>
      </c>
      <c r="I34" s="178">
        <v>7</v>
      </c>
      <c r="J34" s="178">
        <v>8</v>
      </c>
      <c r="K34" s="178">
        <v>9</v>
      </c>
      <c r="L34" s="178">
        <v>10</v>
      </c>
      <c r="M34" s="178">
        <v>11</v>
      </c>
      <c r="N34" s="178">
        <v>12</v>
      </c>
      <c r="O34" s="178">
        <v>13</v>
      </c>
      <c r="P34" s="178">
        <v>14</v>
      </c>
      <c r="Q34" s="178">
        <v>15</v>
      </c>
      <c r="R34" s="178">
        <v>16</v>
      </c>
      <c r="S34" s="178">
        <v>17</v>
      </c>
      <c r="T34" s="178">
        <v>18</v>
      </c>
      <c r="U34" s="178">
        <v>19</v>
      </c>
      <c r="V34" s="178">
        <v>20</v>
      </c>
    </row>
    <row r="35" spans="1:23" s="135" customFormat="1" ht="12.75" x14ac:dyDescent="0.2">
      <c r="B35" s="154" t="s">
        <v>71</v>
      </c>
      <c r="C35" s="178"/>
      <c r="D35" s="178"/>
      <c r="E35" s="178"/>
      <c r="F35" s="178"/>
      <c r="G35" s="178"/>
      <c r="H35" s="178"/>
      <c r="I35" s="178"/>
      <c r="J35" s="178"/>
      <c r="K35" s="178"/>
      <c r="L35" s="178"/>
      <c r="M35" s="178"/>
      <c r="N35" s="178"/>
      <c r="O35" s="178"/>
      <c r="P35" s="178"/>
      <c r="Q35" s="178"/>
      <c r="R35" s="178"/>
      <c r="S35" s="178"/>
      <c r="T35" s="178"/>
      <c r="U35" s="178"/>
      <c r="V35" s="178"/>
    </row>
    <row r="36" spans="1:23" s="135" customFormat="1" ht="12.75" x14ac:dyDescent="0.2">
      <c r="B36" s="135" t="s">
        <v>111</v>
      </c>
      <c r="C36" s="196">
        <f t="shared" ref="C36:I36" si="2">-PMT(finance_rate,equipment_lifetime,equipment_capital_ins,,1)</f>
        <v>1760.55846086525</v>
      </c>
      <c r="D36" s="196">
        <f t="shared" si="2"/>
        <v>1760.55846086525</v>
      </c>
      <c r="E36" s="196">
        <f t="shared" si="2"/>
        <v>1760.55846086525</v>
      </c>
      <c r="F36" s="196">
        <f t="shared" si="2"/>
        <v>1760.55846086525</v>
      </c>
      <c r="G36" s="196">
        <f t="shared" si="2"/>
        <v>1760.55846086525</v>
      </c>
      <c r="H36" s="196">
        <f t="shared" si="2"/>
        <v>1760.55846086525</v>
      </c>
      <c r="I36" s="196">
        <f t="shared" si="2"/>
        <v>1760.55846086525</v>
      </c>
      <c r="J36" s="196"/>
      <c r="K36" s="196"/>
      <c r="L36" s="196"/>
      <c r="M36" s="196"/>
      <c r="N36" s="196"/>
      <c r="O36" s="196"/>
      <c r="P36" s="196"/>
      <c r="Q36" s="196"/>
      <c r="R36" s="196"/>
      <c r="S36" s="196"/>
      <c r="T36" s="196"/>
      <c r="U36" s="196"/>
      <c r="V36" s="196"/>
      <c r="W36" s="180"/>
    </row>
    <row r="37" spans="1:23" s="135" customFormat="1" ht="12.75" x14ac:dyDescent="0.2">
      <c r="C37" s="196"/>
      <c r="D37" s="196"/>
      <c r="E37" s="196"/>
      <c r="F37" s="196"/>
      <c r="G37" s="196"/>
      <c r="H37" s="196"/>
      <c r="I37" s="196"/>
      <c r="J37" s="196"/>
      <c r="K37" s="196"/>
      <c r="L37" s="196"/>
      <c r="M37" s="196"/>
      <c r="N37" s="196"/>
      <c r="O37" s="196"/>
      <c r="P37" s="196"/>
      <c r="Q37" s="196"/>
      <c r="R37" s="196"/>
      <c r="S37" s="196"/>
      <c r="T37" s="196"/>
      <c r="U37" s="196"/>
      <c r="V37" s="196"/>
      <c r="W37" s="180"/>
    </row>
    <row r="38" spans="1:23" s="135" customFormat="1" ht="12.75" x14ac:dyDescent="0.2">
      <c r="B38" s="154" t="s">
        <v>407</v>
      </c>
      <c r="C38" s="196"/>
      <c r="D38" s="196"/>
      <c r="E38" s="196"/>
      <c r="F38" s="196"/>
      <c r="G38" s="196"/>
      <c r="H38" s="196"/>
      <c r="I38" s="196"/>
      <c r="J38" s="196"/>
      <c r="K38" s="196"/>
      <c r="L38" s="196"/>
      <c r="M38" s="196"/>
      <c r="N38" s="196"/>
      <c r="O38" s="196"/>
      <c r="P38" s="196"/>
      <c r="Q38" s="196"/>
      <c r="R38" s="196"/>
      <c r="S38" s="196"/>
      <c r="T38" s="196"/>
      <c r="U38" s="196"/>
      <c r="V38" s="196"/>
      <c r="W38" s="180"/>
    </row>
    <row r="39" spans="1:23" s="135" customFormat="1" ht="12.75" x14ac:dyDescent="0.2">
      <c r="B39" s="179"/>
      <c r="C39" s="196"/>
      <c r="D39" s="196"/>
      <c r="E39" s="196"/>
      <c r="F39" s="196"/>
      <c r="G39" s="196"/>
      <c r="H39" s="196"/>
      <c r="I39" s="196"/>
      <c r="J39" s="196"/>
      <c r="K39" s="196"/>
      <c r="L39" s="196"/>
      <c r="M39" s="196"/>
      <c r="N39" s="196"/>
      <c r="O39" s="196"/>
      <c r="P39" s="196"/>
      <c r="Q39" s="196"/>
      <c r="R39" s="196"/>
      <c r="S39" s="196"/>
      <c r="T39" s="196"/>
      <c r="U39" s="196"/>
      <c r="V39" s="196"/>
      <c r="W39" s="180"/>
    </row>
    <row r="40" spans="1:23" s="135" customFormat="1" ht="12.75" x14ac:dyDescent="0.2">
      <c r="A40" s="149" t="s">
        <v>120</v>
      </c>
      <c r="B40" s="198" t="s">
        <v>465</v>
      </c>
      <c r="C40" s="196"/>
      <c r="D40" s="196"/>
      <c r="E40" s="196"/>
      <c r="F40" s="196"/>
      <c r="G40" s="196"/>
      <c r="H40" s="196"/>
      <c r="I40" s="196"/>
      <c r="J40" s="196"/>
      <c r="K40" s="196"/>
      <c r="L40" s="196"/>
      <c r="M40" s="196"/>
      <c r="N40" s="196"/>
      <c r="O40" s="196"/>
      <c r="P40" s="196"/>
      <c r="Q40" s="196"/>
      <c r="R40" s="196"/>
      <c r="S40" s="196"/>
      <c r="T40" s="196"/>
      <c r="U40" s="196"/>
      <c r="V40" s="196"/>
      <c r="W40" s="180"/>
    </row>
    <row r="41" spans="1:23" s="135" customFormat="1" ht="12.75" x14ac:dyDescent="0.2">
      <c r="A41" s="149">
        <f t="shared" ref="A41:A48" si="3">equipment_lifetime-LEFT(B41,2)</f>
        <v>7</v>
      </c>
      <c r="B41" s="160" t="s">
        <v>133</v>
      </c>
      <c r="C41" s="196">
        <f t="shared" ref="C41:I48" si="4">IF(C$34&lt;=$A41,equipment_capital_ins/equipment_lifetime,0)</f>
        <v>1500</v>
      </c>
      <c r="D41" s="196">
        <f t="shared" si="4"/>
        <v>1500</v>
      </c>
      <c r="E41" s="196">
        <f t="shared" si="4"/>
        <v>1500</v>
      </c>
      <c r="F41" s="196">
        <f t="shared" si="4"/>
        <v>1500</v>
      </c>
      <c r="G41" s="196">
        <f t="shared" si="4"/>
        <v>1500</v>
      </c>
      <c r="H41" s="196">
        <f t="shared" si="4"/>
        <v>1500</v>
      </c>
      <c r="I41" s="196">
        <f t="shared" si="4"/>
        <v>1500</v>
      </c>
      <c r="J41" s="196"/>
      <c r="K41" s="196"/>
      <c r="L41" s="196"/>
      <c r="M41" s="196"/>
      <c r="N41" s="196"/>
      <c r="O41" s="196"/>
      <c r="P41" s="196"/>
      <c r="Q41" s="196"/>
      <c r="R41" s="196"/>
      <c r="S41" s="196"/>
      <c r="T41" s="196"/>
      <c r="U41" s="196"/>
      <c r="V41" s="196"/>
      <c r="W41" s="180"/>
    </row>
    <row r="42" spans="1:23" s="135" customFormat="1" ht="12.75" x14ac:dyDescent="0.2">
      <c r="A42" s="149">
        <f t="shared" si="3"/>
        <v>6</v>
      </c>
      <c r="B42" s="135" t="s">
        <v>112</v>
      </c>
      <c r="C42" s="196">
        <f t="shared" si="4"/>
        <v>1500</v>
      </c>
      <c r="D42" s="196">
        <f t="shared" si="4"/>
        <v>1500</v>
      </c>
      <c r="E42" s="196">
        <f t="shared" si="4"/>
        <v>1500</v>
      </c>
      <c r="F42" s="196">
        <f t="shared" si="4"/>
        <v>1500</v>
      </c>
      <c r="G42" s="196">
        <f t="shared" si="4"/>
        <v>1500</v>
      </c>
      <c r="H42" s="196">
        <f t="shared" si="4"/>
        <v>1500</v>
      </c>
      <c r="I42" s="196">
        <f t="shared" si="4"/>
        <v>0</v>
      </c>
      <c r="J42" s="196"/>
      <c r="K42" s="196"/>
      <c r="L42" s="196"/>
      <c r="M42" s="196"/>
      <c r="N42" s="196"/>
      <c r="O42" s="196"/>
      <c r="P42" s="196"/>
      <c r="Q42" s="196"/>
      <c r="R42" s="196"/>
      <c r="S42" s="196"/>
      <c r="T42" s="196"/>
      <c r="U42" s="196"/>
      <c r="V42" s="196"/>
      <c r="W42" s="180"/>
    </row>
    <row r="43" spans="1:23" s="135" customFormat="1" ht="12.75" x14ac:dyDescent="0.2">
      <c r="A43" s="149">
        <f t="shared" si="3"/>
        <v>5</v>
      </c>
      <c r="B43" s="160" t="s">
        <v>113</v>
      </c>
      <c r="C43" s="196">
        <f t="shared" si="4"/>
        <v>1500</v>
      </c>
      <c r="D43" s="196">
        <f t="shared" si="4"/>
        <v>1500</v>
      </c>
      <c r="E43" s="196">
        <f t="shared" si="4"/>
        <v>1500</v>
      </c>
      <c r="F43" s="196">
        <f t="shared" si="4"/>
        <v>1500</v>
      </c>
      <c r="G43" s="196">
        <f t="shared" si="4"/>
        <v>1500</v>
      </c>
      <c r="H43" s="196">
        <f t="shared" si="4"/>
        <v>0</v>
      </c>
      <c r="I43" s="196">
        <f t="shared" si="4"/>
        <v>0</v>
      </c>
      <c r="J43" s="196"/>
      <c r="K43" s="196"/>
      <c r="L43" s="196"/>
      <c r="M43" s="196"/>
      <c r="N43" s="196"/>
      <c r="O43" s="196"/>
      <c r="P43" s="196"/>
      <c r="Q43" s="196"/>
      <c r="R43" s="196"/>
      <c r="S43" s="196"/>
      <c r="T43" s="196"/>
      <c r="U43" s="196"/>
      <c r="V43" s="196"/>
      <c r="W43" s="180"/>
    </row>
    <row r="44" spans="1:23" s="135" customFormat="1" ht="12.75" x14ac:dyDescent="0.2">
      <c r="A44" s="149">
        <f t="shared" si="3"/>
        <v>4</v>
      </c>
      <c r="B44" s="135" t="s">
        <v>114</v>
      </c>
      <c r="C44" s="196">
        <f t="shared" si="4"/>
        <v>1500</v>
      </c>
      <c r="D44" s="196">
        <f t="shared" si="4"/>
        <v>1500</v>
      </c>
      <c r="E44" s="196">
        <f t="shared" si="4"/>
        <v>1500</v>
      </c>
      <c r="F44" s="196">
        <f t="shared" si="4"/>
        <v>1500</v>
      </c>
      <c r="G44" s="196">
        <f t="shared" si="4"/>
        <v>0</v>
      </c>
      <c r="H44" s="196">
        <f t="shared" si="4"/>
        <v>0</v>
      </c>
      <c r="I44" s="196">
        <f t="shared" si="4"/>
        <v>0</v>
      </c>
      <c r="J44" s="196"/>
      <c r="K44" s="196"/>
      <c r="L44" s="196"/>
      <c r="M44" s="196"/>
      <c r="N44" s="196"/>
      <c r="O44" s="196"/>
      <c r="P44" s="196"/>
      <c r="Q44" s="196"/>
      <c r="R44" s="196"/>
      <c r="S44" s="196"/>
      <c r="T44" s="196"/>
      <c r="U44" s="196"/>
      <c r="V44" s="196"/>
      <c r="W44" s="180"/>
    </row>
    <row r="45" spans="1:23" s="135" customFormat="1" ht="12.75" x14ac:dyDescent="0.2">
      <c r="A45" s="149">
        <f t="shared" si="3"/>
        <v>3</v>
      </c>
      <c r="B45" s="160" t="s">
        <v>115</v>
      </c>
      <c r="C45" s="196">
        <f t="shared" si="4"/>
        <v>1500</v>
      </c>
      <c r="D45" s="196">
        <f t="shared" si="4"/>
        <v>1500</v>
      </c>
      <c r="E45" s="196">
        <f t="shared" si="4"/>
        <v>1500</v>
      </c>
      <c r="F45" s="196">
        <f t="shared" si="4"/>
        <v>0</v>
      </c>
      <c r="G45" s="196">
        <f t="shared" si="4"/>
        <v>0</v>
      </c>
      <c r="H45" s="196">
        <f t="shared" si="4"/>
        <v>0</v>
      </c>
      <c r="I45" s="196">
        <f t="shared" si="4"/>
        <v>0</v>
      </c>
      <c r="J45" s="196"/>
      <c r="K45" s="196"/>
      <c r="L45" s="196"/>
      <c r="M45" s="196"/>
      <c r="N45" s="196"/>
      <c r="O45" s="196"/>
      <c r="P45" s="196"/>
      <c r="Q45" s="196"/>
      <c r="R45" s="196"/>
      <c r="S45" s="196"/>
      <c r="T45" s="196"/>
      <c r="U45" s="196"/>
      <c r="V45" s="196"/>
      <c r="W45" s="180"/>
    </row>
    <row r="46" spans="1:23" s="135" customFormat="1" ht="12.75" x14ac:dyDescent="0.2">
      <c r="A46" s="149">
        <f t="shared" si="3"/>
        <v>2</v>
      </c>
      <c r="B46" s="135" t="s">
        <v>116</v>
      </c>
      <c r="C46" s="196">
        <f t="shared" si="4"/>
        <v>1500</v>
      </c>
      <c r="D46" s="196">
        <f t="shared" si="4"/>
        <v>1500</v>
      </c>
      <c r="E46" s="196">
        <f t="shared" si="4"/>
        <v>0</v>
      </c>
      <c r="F46" s="196">
        <f t="shared" si="4"/>
        <v>0</v>
      </c>
      <c r="G46" s="196">
        <f t="shared" si="4"/>
        <v>0</v>
      </c>
      <c r="H46" s="196">
        <f t="shared" si="4"/>
        <v>0</v>
      </c>
      <c r="I46" s="196">
        <f t="shared" si="4"/>
        <v>0</v>
      </c>
      <c r="J46" s="196"/>
      <c r="K46" s="196"/>
      <c r="L46" s="196"/>
      <c r="M46" s="196"/>
      <c r="N46" s="196"/>
      <c r="O46" s="196"/>
      <c r="P46" s="196"/>
      <c r="Q46" s="196"/>
      <c r="R46" s="196"/>
      <c r="S46" s="196"/>
      <c r="T46" s="196"/>
      <c r="U46" s="196"/>
      <c r="V46" s="196"/>
      <c r="W46" s="180"/>
    </row>
    <row r="47" spans="1:23" s="135" customFormat="1" ht="12.75" x14ac:dyDescent="0.2">
      <c r="A47" s="149">
        <f t="shared" si="3"/>
        <v>1</v>
      </c>
      <c r="B47" s="160" t="s">
        <v>117</v>
      </c>
      <c r="C47" s="196">
        <f t="shared" si="4"/>
        <v>1500</v>
      </c>
      <c r="D47" s="196">
        <f t="shared" si="4"/>
        <v>0</v>
      </c>
      <c r="E47" s="196">
        <f t="shared" si="4"/>
        <v>0</v>
      </c>
      <c r="F47" s="196">
        <f t="shared" si="4"/>
        <v>0</v>
      </c>
      <c r="G47" s="196">
        <f t="shared" si="4"/>
        <v>0</v>
      </c>
      <c r="H47" s="196">
        <f t="shared" si="4"/>
        <v>0</v>
      </c>
      <c r="I47" s="196">
        <f t="shared" si="4"/>
        <v>0</v>
      </c>
      <c r="J47" s="196"/>
      <c r="K47" s="196"/>
      <c r="L47" s="196"/>
      <c r="M47" s="196"/>
      <c r="N47" s="196"/>
      <c r="O47" s="196"/>
      <c r="P47" s="196"/>
      <c r="Q47" s="196"/>
      <c r="R47" s="196"/>
      <c r="S47" s="196"/>
      <c r="T47" s="196"/>
      <c r="U47" s="196"/>
      <c r="V47" s="196"/>
      <c r="W47" s="180"/>
    </row>
    <row r="48" spans="1:23" s="135" customFormat="1" ht="12.75" x14ac:dyDescent="0.2">
      <c r="A48" s="149">
        <f t="shared" si="3"/>
        <v>0</v>
      </c>
      <c r="B48" s="135" t="s">
        <v>118</v>
      </c>
      <c r="C48" s="196">
        <f t="shared" si="4"/>
        <v>0</v>
      </c>
      <c r="D48" s="196">
        <f t="shared" si="4"/>
        <v>0</v>
      </c>
      <c r="E48" s="196">
        <f t="shared" si="4"/>
        <v>0</v>
      </c>
      <c r="F48" s="196">
        <f t="shared" si="4"/>
        <v>0</v>
      </c>
      <c r="G48" s="196">
        <f t="shared" si="4"/>
        <v>0</v>
      </c>
      <c r="H48" s="196">
        <f t="shared" si="4"/>
        <v>0</v>
      </c>
      <c r="I48" s="196">
        <f t="shared" si="4"/>
        <v>0</v>
      </c>
      <c r="J48" s="196"/>
      <c r="K48" s="196"/>
      <c r="L48" s="196"/>
      <c r="M48" s="196"/>
      <c r="N48" s="196"/>
      <c r="O48" s="196"/>
      <c r="P48" s="196"/>
      <c r="Q48" s="196"/>
      <c r="R48" s="196"/>
      <c r="S48" s="196"/>
      <c r="T48" s="196"/>
      <c r="U48" s="196"/>
      <c r="V48" s="196"/>
      <c r="W48" s="180"/>
    </row>
    <row r="49" spans="1:23" s="135" customFormat="1" ht="12.75" x14ac:dyDescent="0.2">
      <c r="A49" s="149"/>
      <c r="C49" s="196"/>
      <c r="D49" s="196"/>
      <c r="E49" s="196"/>
      <c r="F49" s="196"/>
      <c r="G49" s="196"/>
      <c r="H49" s="196"/>
      <c r="I49" s="196"/>
      <c r="J49" s="196"/>
      <c r="K49" s="196"/>
      <c r="L49" s="196"/>
      <c r="M49" s="196"/>
      <c r="N49" s="196"/>
      <c r="O49" s="196"/>
      <c r="P49" s="196"/>
      <c r="Q49" s="196"/>
      <c r="R49" s="196"/>
      <c r="S49" s="196"/>
      <c r="T49" s="196"/>
      <c r="U49" s="196"/>
      <c r="V49" s="196"/>
      <c r="W49" s="180"/>
    </row>
    <row r="50" spans="1:23" s="135" customFormat="1" ht="12.75" x14ac:dyDescent="0.2">
      <c r="A50" s="149"/>
      <c r="B50" s="198" t="s">
        <v>464</v>
      </c>
      <c r="C50" s="196"/>
      <c r="D50" s="196"/>
      <c r="E50" s="196"/>
      <c r="F50" s="196"/>
      <c r="G50" s="196"/>
      <c r="H50" s="196"/>
      <c r="I50" s="196"/>
      <c r="J50" s="196"/>
      <c r="K50" s="196"/>
      <c r="L50" s="196"/>
      <c r="M50" s="196"/>
      <c r="N50" s="196"/>
      <c r="O50" s="196"/>
      <c r="P50" s="196"/>
      <c r="Q50" s="196"/>
      <c r="R50" s="196"/>
      <c r="S50" s="196"/>
      <c r="T50" s="196"/>
      <c r="U50" s="196"/>
      <c r="V50" s="196"/>
      <c r="W50" s="180"/>
    </row>
    <row r="51" spans="1:23" s="135" customFormat="1" ht="12.75" x14ac:dyDescent="0.2">
      <c r="A51" s="149"/>
      <c r="B51" s="160" t="s">
        <v>133</v>
      </c>
      <c r="C51" s="196">
        <f>SUM(C41:$I41)*finance_rate</f>
        <v>598.5</v>
      </c>
      <c r="D51" s="196">
        <f>SUM(D41:$I41)*finance_rate</f>
        <v>513</v>
      </c>
      <c r="E51" s="196">
        <f>SUM(E41:$I41)*finance_rate</f>
        <v>427.5</v>
      </c>
      <c r="F51" s="196">
        <f>SUM(F41:$I41)*finance_rate</f>
        <v>342</v>
      </c>
      <c r="G51" s="196">
        <f>SUM(G41:$I41)*finance_rate</f>
        <v>256.5</v>
      </c>
      <c r="H51" s="196">
        <f>SUM(H41:$I41)*finance_rate</f>
        <v>171</v>
      </c>
      <c r="I51" s="196">
        <f>SUM(I41:$I41)*finance_rate</f>
        <v>85.5</v>
      </c>
      <c r="J51" s="196"/>
      <c r="K51" s="196"/>
      <c r="L51" s="196"/>
      <c r="M51" s="196"/>
      <c r="N51" s="196"/>
      <c r="O51" s="196"/>
      <c r="P51" s="196"/>
      <c r="Q51" s="196"/>
      <c r="R51" s="196"/>
      <c r="S51" s="196"/>
      <c r="T51" s="196"/>
      <c r="U51" s="196"/>
      <c r="V51" s="196"/>
      <c r="W51" s="180"/>
    </row>
    <row r="52" spans="1:23" s="135" customFormat="1" ht="12.75" x14ac:dyDescent="0.2">
      <c r="A52" s="149"/>
      <c r="B52" s="135" t="s">
        <v>112</v>
      </c>
      <c r="C52" s="196">
        <f>SUM(C42:$I42)*finance_rate</f>
        <v>513</v>
      </c>
      <c r="D52" s="196">
        <f>SUM(D42:$I42)*finance_rate</f>
        <v>427.5</v>
      </c>
      <c r="E52" s="196">
        <f>SUM(E42:$I42)*finance_rate</f>
        <v>342</v>
      </c>
      <c r="F52" s="196">
        <f>SUM(F42:$I42)*finance_rate</f>
        <v>256.5</v>
      </c>
      <c r="G52" s="196">
        <f>SUM(G42:$I42)*finance_rate</f>
        <v>171</v>
      </c>
      <c r="H52" s="196">
        <f>SUM(H42:$I42)*finance_rate</f>
        <v>85.5</v>
      </c>
      <c r="I52" s="196">
        <f>SUM(I42:$I42)*finance_rate</f>
        <v>0</v>
      </c>
      <c r="J52" s="196"/>
      <c r="K52" s="196"/>
      <c r="L52" s="196"/>
      <c r="M52" s="196"/>
      <c r="N52" s="196"/>
      <c r="O52" s="196"/>
      <c r="P52" s="196"/>
      <c r="Q52" s="196"/>
      <c r="R52" s="196"/>
      <c r="S52" s="196"/>
      <c r="T52" s="196"/>
      <c r="U52" s="196"/>
      <c r="V52" s="196"/>
      <c r="W52" s="180"/>
    </row>
    <row r="53" spans="1:23" s="135" customFormat="1" ht="12.75" x14ac:dyDescent="0.2">
      <c r="A53" s="149"/>
      <c r="B53" s="160" t="s">
        <v>113</v>
      </c>
      <c r="C53" s="196">
        <f>SUM(C43:$I43)*finance_rate</f>
        <v>427.5</v>
      </c>
      <c r="D53" s="196">
        <f>SUM(D43:$I43)*finance_rate</f>
        <v>342</v>
      </c>
      <c r="E53" s="196">
        <f>SUM(E43:$I43)*finance_rate</f>
        <v>256.5</v>
      </c>
      <c r="F53" s="196">
        <f>SUM(F43:$I43)*finance_rate</f>
        <v>171</v>
      </c>
      <c r="G53" s="196">
        <f>SUM(G43:$I43)*finance_rate</f>
        <v>85.5</v>
      </c>
      <c r="H53" s="196">
        <f>SUM(H43:$I43)*finance_rate</f>
        <v>0</v>
      </c>
      <c r="I53" s="196">
        <f>SUM(I43:$I43)*finance_rate</f>
        <v>0</v>
      </c>
      <c r="J53" s="196"/>
      <c r="K53" s="196"/>
      <c r="L53" s="196"/>
      <c r="M53" s="196"/>
      <c r="N53" s="196"/>
      <c r="O53" s="196"/>
      <c r="P53" s="196"/>
      <c r="Q53" s="196"/>
      <c r="R53" s="196"/>
      <c r="S53" s="196"/>
      <c r="T53" s="196"/>
      <c r="U53" s="196"/>
      <c r="V53" s="196"/>
      <c r="W53" s="180"/>
    </row>
    <row r="54" spans="1:23" s="135" customFormat="1" ht="12.75" x14ac:dyDescent="0.2">
      <c r="A54" s="149"/>
      <c r="B54" s="135" t="s">
        <v>114</v>
      </c>
      <c r="C54" s="196">
        <f>SUM(C44:$I44)*finance_rate</f>
        <v>342</v>
      </c>
      <c r="D54" s="196">
        <f>SUM(D44:$I44)*finance_rate</f>
        <v>256.5</v>
      </c>
      <c r="E54" s="196">
        <f>SUM(E44:$I44)*finance_rate</f>
        <v>171</v>
      </c>
      <c r="F54" s="196">
        <f>SUM(F44:$I44)*finance_rate</f>
        <v>85.5</v>
      </c>
      <c r="G54" s="196">
        <f>SUM(G44:$I44)*finance_rate</f>
        <v>0</v>
      </c>
      <c r="H54" s="196">
        <f>SUM(H44:$I44)*finance_rate</f>
        <v>0</v>
      </c>
      <c r="I54" s="196">
        <f>SUM(I44:$I44)*finance_rate</f>
        <v>0</v>
      </c>
      <c r="J54" s="196"/>
      <c r="K54" s="196"/>
      <c r="L54" s="196"/>
      <c r="M54" s="196"/>
      <c r="N54" s="196"/>
      <c r="O54" s="196"/>
      <c r="P54" s="196"/>
      <c r="Q54" s="196"/>
      <c r="R54" s="196"/>
      <c r="S54" s="196"/>
      <c r="T54" s="196"/>
      <c r="U54" s="196"/>
      <c r="V54" s="196"/>
      <c r="W54" s="180"/>
    </row>
    <row r="55" spans="1:23" s="135" customFormat="1" ht="12.75" x14ac:dyDescent="0.2">
      <c r="A55" s="149"/>
      <c r="B55" s="160" t="s">
        <v>115</v>
      </c>
      <c r="C55" s="196">
        <f>SUM(C45:$I45)*finance_rate</f>
        <v>256.5</v>
      </c>
      <c r="D55" s="196">
        <f>SUM(D45:$I45)*finance_rate</f>
        <v>171</v>
      </c>
      <c r="E55" s="196">
        <f>SUM(E45:$I45)*finance_rate</f>
        <v>85.5</v>
      </c>
      <c r="F55" s="196">
        <f>SUM(F45:$I45)*finance_rate</f>
        <v>0</v>
      </c>
      <c r="G55" s="196">
        <f>SUM(G45:$I45)*finance_rate</f>
        <v>0</v>
      </c>
      <c r="H55" s="196">
        <f>SUM(H45:$I45)*finance_rate</f>
        <v>0</v>
      </c>
      <c r="I55" s="196">
        <f>SUM(I45:$I45)*finance_rate</f>
        <v>0</v>
      </c>
      <c r="J55" s="196"/>
      <c r="K55" s="196"/>
      <c r="L55" s="196"/>
      <c r="M55" s="196"/>
      <c r="N55" s="196"/>
      <c r="O55" s="196"/>
      <c r="P55" s="196"/>
      <c r="Q55" s="196"/>
      <c r="R55" s="196"/>
      <c r="S55" s="196"/>
      <c r="T55" s="196"/>
      <c r="U55" s="196"/>
      <c r="V55" s="196"/>
      <c r="W55" s="180"/>
    </row>
    <row r="56" spans="1:23" s="135" customFormat="1" ht="12.75" x14ac:dyDescent="0.2">
      <c r="A56" s="149"/>
      <c r="B56" s="135" t="s">
        <v>116</v>
      </c>
      <c r="C56" s="196">
        <f>SUM(C46:$I46)*finance_rate</f>
        <v>171</v>
      </c>
      <c r="D56" s="196">
        <f>SUM(D46:$I46)*finance_rate</f>
        <v>85.5</v>
      </c>
      <c r="E56" s="196">
        <f>SUM(E46:$I46)*finance_rate</f>
        <v>0</v>
      </c>
      <c r="F56" s="196">
        <f>SUM(F46:$I46)*finance_rate</f>
        <v>0</v>
      </c>
      <c r="G56" s="196">
        <f>SUM(G46:$I46)*finance_rate</f>
        <v>0</v>
      </c>
      <c r="H56" s="196">
        <f>SUM(H46:$I46)*finance_rate</f>
        <v>0</v>
      </c>
      <c r="I56" s="196">
        <f>SUM(I46:$I46)*finance_rate</f>
        <v>0</v>
      </c>
      <c r="J56" s="196"/>
      <c r="K56" s="196"/>
      <c r="L56" s="196"/>
      <c r="M56" s="196"/>
      <c r="N56" s="196"/>
      <c r="O56" s="196"/>
      <c r="P56" s="196"/>
      <c r="Q56" s="196"/>
      <c r="R56" s="196"/>
      <c r="S56" s="196"/>
      <c r="T56" s="196"/>
      <c r="U56" s="196"/>
      <c r="V56" s="196"/>
      <c r="W56" s="180"/>
    </row>
    <row r="57" spans="1:23" s="135" customFormat="1" ht="12.75" x14ac:dyDescent="0.2">
      <c r="A57" s="149"/>
      <c r="B57" s="160" t="s">
        <v>117</v>
      </c>
      <c r="C57" s="196">
        <f>SUM(C47:$I47)*finance_rate</f>
        <v>85.5</v>
      </c>
      <c r="D57" s="196">
        <f>SUM(D47:$I47)*finance_rate</f>
        <v>0</v>
      </c>
      <c r="E57" s="196">
        <f>SUM(E47:$I47)*finance_rate</f>
        <v>0</v>
      </c>
      <c r="F57" s="196">
        <f>SUM(F47:$I47)*finance_rate</f>
        <v>0</v>
      </c>
      <c r="G57" s="196">
        <f>SUM(G47:$I47)*finance_rate</f>
        <v>0</v>
      </c>
      <c r="H57" s="196">
        <f>SUM(H47:$I47)*finance_rate</f>
        <v>0</v>
      </c>
      <c r="I57" s="196">
        <f>SUM(I47:$I47)*finance_rate</f>
        <v>0</v>
      </c>
      <c r="J57" s="196"/>
      <c r="K57" s="196"/>
      <c r="L57" s="196"/>
      <c r="M57" s="196"/>
      <c r="N57" s="196"/>
      <c r="O57" s="196"/>
      <c r="P57" s="196"/>
      <c r="Q57" s="196"/>
      <c r="R57" s="196"/>
      <c r="S57" s="196"/>
      <c r="T57" s="196"/>
      <c r="U57" s="196"/>
      <c r="V57" s="196"/>
      <c r="W57" s="180"/>
    </row>
    <row r="58" spans="1:23" s="135" customFormat="1" ht="12.75" x14ac:dyDescent="0.2">
      <c r="A58" s="149"/>
      <c r="B58" s="135" t="s">
        <v>118</v>
      </c>
      <c r="C58" s="196">
        <f>SUM(C48:$I48)*finance_rate</f>
        <v>0</v>
      </c>
      <c r="D58" s="196">
        <f>SUM(D48:$I48)*finance_rate</f>
        <v>0</v>
      </c>
      <c r="E58" s="196">
        <f>SUM(E48:$I48)*finance_rate</f>
        <v>0</v>
      </c>
      <c r="F58" s="196">
        <f>SUM(F48:$I48)*finance_rate</f>
        <v>0</v>
      </c>
      <c r="G58" s="196">
        <f>SUM(G48:$I48)*finance_rate</f>
        <v>0</v>
      </c>
      <c r="H58" s="196">
        <f>SUM(H48:$I48)*finance_rate</f>
        <v>0</v>
      </c>
      <c r="I58" s="196">
        <f>SUM(I48:$I48)*finance_rate</f>
        <v>0</v>
      </c>
      <c r="J58" s="196"/>
      <c r="K58" s="196"/>
      <c r="L58" s="196"/>
      <c r="M58" s="196"/>
      <c r="N58" s="196"/>
      <c r="O58" s="196"/>
      <c r="P58" s="196"/>
      <c r="Q58" s="196"/>
      <c r="R58" s="196"/>
      <c r="S58" s="196"/>
      <c r="T58" s="196"/>
      <c r="U58" s="196"/>
      <c r="V58" s="196"/>
      <c r="W58" s="180"/>
    </row>
    <row r="59" spans="1:23" s="135" customFormat="1" ht="12.75" x14ac:dyDescent="0.2">
      <c r="A59" s="149"/>
      <c r="C59" s="196"/>
      <c r="D59" s="196"/>
      <c r="E59" s="196"/>
      <c r="F59" s="196"/>
      <c r="G59" s="196"/>
      <c r="H59" s="196"/>
      <c r="I59" s="196"/>
      <c r="J59" s="196"/>
      <c r="K59" s="196"/>
      <c r="L59" s="196"/>
      <c r="M59" s="196"/>
      <c r="N59" s="196"/>
      <c r="O59" s="196"/>
      <c r="P59" s="196"/>
      <c r="Q59" s="196"/>
      <c r="R59" s="196"/>
      <c r="S59" s="196"/>
      <c r="T59" s="196"/>
      <c r="U59" s="196"/>
      <c r="V59" s="196"/>
      <c r="W59" s="180"/>
    </row>
    <row r="60" spans="1:23" s="135" customFormat="1" ht="12.75" x14ac:dyDescent="0.2">
      <c r="A60" s="149"/>
      <c r="B60" s="198" t="s">
        <v>466</v>
      </c>
      <c r="C60" s="196"/>
      <c r="D60" s="196"/>
      <c r="E60" s="196"/>
      <c r="F60" s="196"/>
      <c r="G60" s="196"/>
      <c r="H60" s="196"/>
      <c r="I60" s="196"/>
      <c r="J60" s="196"/>
      <c r="K60" s="196"/>
      <c r="L60" s="196"/>
      <c r="M60" s="196"/>
      <c r="N60" s="196"/>
      <c r="O60" s="196"/>
      <c r="P60" s="196"/>
      <c r="Q60" s="196"/>
      <c r="R60" s="196"/>
      <c r="S60" s="196"/>
      <c r="T60" s="196"/>
      <c r="U60" s="196"/>
      <c r="V60" s="196"/>
      <c r="W60" s="180"/>
    </row>
    <row r="61" spans="1:23" s="135" customFormat="1" ht="12.75" x14ac:dyDescent="0.2">
      <c r="A61" s="149"/>
      <c r="B61" s="160" t="s">
        <v>133</v>
      </c>
      <c r="C61" s="196">
        <f t="shared" ref="C61:I68" si="5">C41+C51</f>
        <v>2098.5</v>
      </c>
      <c r="D61" s="196">
        <f t="shared" si="5"/>
        <v>2013</v>
      </c>
      <c r="E61" s="196">
        <f t="shared" si="5"/>
        <v>1927.5</v>
      </c>
      <c r="F61" s="196">
        <f t="shared" si="5"/>
        <v>1842</v>
      </c>
      <c r="G61" s="196">
        <f t="shared" si="5"/>
        <v>1756.5</v>
      </c>
      <c r="H61" s="196">
        <f t="shared" si="5"/>
        <v>1671</v>
      </c>
      <c r="I61" s="196">
        <f t="shared" si="5"/>
        <v>1585.5</v>
      </c>
      <c r="J61" s="196"/>
      <c r="K61" s="196"/>
      <c r="L61" s="196"/>
      <c r="M61" s="196"/>
      <c r="N61" s="196"/>
      <c r="O61" s="196"/>
      <c r="P61" s="196"/>
      <c r="Q61" s="196"/>
      <c r="R61" s="196"/>
      <c r="S61" s="196"/>
      <c r="T61" s="196"/>
      <c r="U61" s="196"/>
      <c r="V61" s="196"/>
      <c r="W61" s="180"/>
    </row>
    <row r="62" spans="1:23" s="135" customFormat="1" ht="12.75" x14ac:dyDescent="0.2">
      <c r="A62" s="149"/>
      <c r="B62" s="135" t="s">
        <v>112</v>
      </c>
      <c r="C62" s="196">
        <f t="shared" si="5"/>
        <v>2013</v>
      </c>
      <c r="D62" s="196">
        <f t="shared" si="5"/>
        <v>1927.5</v>
      </c>
      <c r="E62" s="196">
        <f t="shared" si="5"/>
        <v>1842</v>
      </c>
      <c r="F62" s="196">
        <f t="shared" si="5"/>
        <v>1756.5</v>
      </c>
      <c r="G62" s="196">
        <f t="shared" si="5"/>
        <v>1671</v>
      </c>
      <c r="H62" s="196">
        <f t="shared" si="5"/>
        <v>1585.5</v>
      </c>
      <c r="I62" s="196">
        <f t="shared" si="5"/>
        <v>0</v>
      </c>
      <c r="J62" s="196"/>
      <c r="K62" s="196"/>
      <c r="L62" s="196"/>
      <c r="M62" s="196"/>
      <c r="N62" s="196"/>
      <c r="O62" s="196"/>
      <c r="P62" s="196"/>
      <c r="Q62" s="196"/>
      <c r="R62" s="196"/>
      <c r="S62" s="196"/>
      <c r="T62" s="196"/>
      <c r="U62" s="196"/>
      <c r="V62" s="196"/>
      <c r="W62" s="180"/>
    </row>
    <row r="63" spans="1:23" s="135" customFormat="1" ht="12.75" x14ac:dyDescent="0.2">
      <c r="A63" s="149"/>
      <c r="B63" s="160" t="s">
        <v>113</v>
      </c>
      <c r="C63" s="196">
        <f t="shared" si="5"/>
        <v>1927.5</v>
      </c>
      <c r="D63" s="196">
        <f t="shared" si="5"/>
        <v>1842</v>
      </c>
      <c r="E63" s="196">
        <f t="shared" si="5"/>
        <v>1756.5</v>
      </c>
      <c r="F63" s="196">
        <f t="shared" si="5"/>
        <v>1671</v>
      </c>
      <c r="G63" s="196">
        <f t="shared" si="5"/>
        <v>1585.5</v>
      </c>
      <c r="H63" s="196">
        <f t="shared" si="5"/>
        <v>0</v>
      </c>
      <c r="I63" s="196">
        <f t="shared" si="5"/>
        <v>0</v>
      </c>
      <c r="J63" s="196"/>
      <c r="K63" s="196"/>
      <c r="L63" s="196"/>
      <c r="M63" s="196"/>
      <c r="N63" s="196"/>
      <c r="O63" s="196"/>
      <c r="P63" s="196"/>
      <c r="Q63" s="196"/>
      <c r="R63" s="196"/>
      <c r="S63" s="196"/>
      <c r="T63" s="196"/>
      <c r="U63" s="196"/>
      <c r="V63" s="196"/>
      <c r="W63" s="180"/>
    </row>
    <row r="64" spans="1:23" s="135" customFormat="1" ht="12.75" x14ac:dyDescent="0.2">
      <c r="A64" s="149"/>
      <c r="B64" s="135" t="s">
        <v>114</v>
      </c>
      <c r="C64" s="196">
        <f t="shared" si="5"/>
        <v>1842</v>
      </c>
      <c r="D64" s="196">
        <f t="shared" si="5"/>
        <v>1756.5</v>
      </c>
      <c r="E64" s="196">
        <f t="shared" si="5"/>
        <v>1671</v>
      </c>
      <c r="F64" s="196">
        <f t="shared" si="5"/>
        <v>1585.5</v>
      </c>
      <c r="G64" s="196">
        <f t="shared" si="5"/>
        <v>0</v>
      </c>
      <c r="H64" s="196">
        <f t="shared" si="5"/>
        <v>0</v>
      </c>
      <c r="I64" s="196">
        <f t="shared" si="5"/>
        <v>0</v>
      </c>
      <c r="J64" s="196"/>
      <c r="K64" s="196"/>
      <c r="L64" s="196"/>
      <c r="M64" s="196"/>
      <c r="N64" s="196"/>
      <c r="O64" s="196"/>
      <c r="P64" s="196"/>
      <c r="Q64" s="196"/>
      <c r="R64" s="196"/>
      <c r="S64" s="196"/>
      <c r="T64" s="196"/>
      <c r="U64" s="196"/>
      <c r="V64" s="196"/>
      <c r="W64" s="180"/>
    </row>
    <row r="65" spans="1:24" s="135" customFormat="1" ht="12.75" x14ac:dyDescent="0.2">
      <c r="A65" s="149"/>
      <c r="B65" s="160" t="s">
        <v>115</v>
      </c>
      <c r="C65" s="196">
        <f t="shared" si="5"/>
        <v>1756.5</v>
      </c>
      <c r="D65" s="196">
        <f t="shared" si="5"/>
        <v>1671</v>
      </c>
      <c r="E65" s="196">
        <f t="shared" si="5"/>
        <v>1585.5</v>
      </c>
      <c r="F65" s="196">
        <f t="shared" si="5"/>
        <v>0</v>
      </c>
      <c r="G65" s="196">
        <f t="shared" si="5"/>
        <v>0</v>
      </c>
      <c r="H65" s="196">
        <f t="shared" si="5"/>
        <v>0</v>
      </c>
      <c r="I65" s="196">
        <f t="shared" si="5"/>
        <v>0</v>
      </c>
      <c r="J65" s="196"/>
      <c r="K65" s="196"/>
      <c r="L65" s="196"/>
      <c r="M65" s="196"/>
      <c r="N65" s="196"/>
      <c r="O65" s="196"/>
      <c r="P65" s="196"/>
      <c r="Q65" s="196"/>
      <c r="R65" s="196"/>
      <c r="S65" s="196"/>
      <c r="T65" s="196"/>
      <c r="U65" s="196"/>
      <c r="V65" s="196"/>
      <c r="W65" s="180"/>
    </row>
    <row r="66" spans="1:24" s="135" customFormat="1" ht="12.75" x14ac:dyDescent="0.2">
      <c r="A66" s="149"/>
      <c r="B66" s="135" t="s">
        <v>116</v>
      </c>
      <c r="C66" s="196">
        <f t="shared" si="5"/>
        <v>1671</v>
      </c>
      <c r="D66" s="196">
        <f t="shared" si="5"/>
        <v>1585.5</v>
      </c>
      <c r="E66" s="196">
        <f t="shared" si="5"/>
        <v>0</v>
      </c>
      <c r="F66" s="196">
        <f t="shared" si="5"/>
        <v>0</v>
      </c>
      <c r="G66" s="196">
        <f t="shared" si="5"/>
        <v>0</v>
      </c>
      <c r="H66" s="196">
        <f t="shared" si="5"/>
        <v>0</v>
      </c>
      <c r="I66" s="196">
        <f t="shared" si="5"/>
        <v>0</v>
      </c>
      <c r="J66" s="196"/>
      <c r="K66" s="196"/>
      <c r="L66" s="196"/>
      <c r="M66" s="196"/>
      <c r="N66" s="196"/>
      <c r="O66" s="196"/>
      <c r="P66" s="196"/>
      <c r="Q66" s="196"/>
      <c r="R66" s="196"/>
      <c r="S66" s="196"/>
      <c r="T66" s="196"/>
      <c r="U66" s="196"/>
      <c r="V66" s="196"/>
      <c r="W66" s="180"/>
    </row>
    <row r="67" spans="1:24" s="135" customFormat="1" ht="12.75" x14ac:dyDescent="0.2">
      <c r="A67" s="149"/>
      <c r="B67" s="160" t="s">
        <v>117</v>
      </c>
      <c r="C67" s="196">
        <f t="shared" si="5"/>
        <v>1585.5</v>
      </c>
      <c r="D67" s="196">
        <f t="shared" si="5"/>
        <v>0</v>
      </c>
      <c r="E67" s="196">
        <f t="shared" si="5"/>
        <v>0</v>
      </c>
      <c r="F67" s="196">
        <f t="shared" si="5"/>
        <v>0</v>
      </c>
      <c r="G67" s="196">
        <f t="shared" si="5"/>
        <v>0</v>
      </c>
      <c r="H67" s="196">
        <f t="shared" si="5"/>
        <v>0</v>
      </c>
      <c r="I67" s="196">
        <f t="shared" si="5"/>
        <v>0</v>
      </c>
      <c r="J67" s="196"/>
      <c r="K67" s="196"/>
      <c r="L67" s="196"/>
      <c r="M67" s="196"/>
      <c r="N67" s="196"/>
      <c r="O67" s="196"/>
      <c r="P67" s="196"/>
      <c r="Q67" s="196"/>
      <c r="R67" s="196"/>
      <c r="S67" s="196"/>
      <c r="T67" s="196"/>
      <c r="U67" s="196"/>
      <c r="V67" s="196"/>
      <c r="W67" s="180"/>
    </row>
    <row r="68" spans="1:24" s="135" customFormat="1" ht="12.75" x14ac:dyDescent="0.2">
      <c r="A68" s="149"/>
      <c r="B68" s="135" t="s">
        <v>118</v>
      </c>
      <c r="C68" s="196">
        <f t="shared" si="5"/>
        <v>0</v>
      </c>
      <c r="D68" s="196">
        <f t="shared" si="5"/>
        <v>0</v>
      </c>
      <c r="E68" s="196">
        <f t="shared" si="5"/>
        <v>0</v>
      </c>
      <c r="F68" s="196">
        <f t="shared" si="5"/>
        <v>0</v>
      </c>
      <c r="G68" s="196">
        <f t="shared" si="5"/>
        <v>0</v>
      </c>
      <c r="H68" s="196">
        <f t="shared" si="5"/>
        <v>0</v>
      </c>
      <c r="I68" s="196">
        <f t="shared" si="5"/>
        <v>0</v>
      </c>
      <c r="J68" s="196"/>
      <c r="K68" s="196"/>
      <c r="L68" s="196"/>
      <c r="M68" s="196"/>
      <c r="N68" s="196"/>
      <c r="O68" s="196"/>
      <c r="P68" s="196"/>
      <c r="Q68" s="196"/>
      <c r="R68" s="196"/>
      <c r="S68" s="196"/>
      <c r="T68" s="196"/>
      <c r="U68" s="196"/>
      <c r="V68" s="196"/>
      <c r="W68" s="181" t="s">
        <v>357</v>
      </c>
      <c r="X68" s="182" t="s">
        <v>119</v>
      </c>
    </row>
    <row r="69" spans="1:24" s="135" customFormat="1" ht="12.75" x14ac:dyDescent="0.2">
      <c r="C69" s="196"/>
      <c r="D69" s="196"/>
      <c r="E69" s="196"/>
      <c r="F69" s="196"/>
      <c r="G69" s="196"/>
      <c r="H69" s="196"/>
      <c r="I69" s="196"/>
      <c r="J69" s="196"/>
      <c r="K69" s="196"/>
      <c r="L69" s="196"/>
      <c r="M69" s="196"/>
      <c r="N69" s="196"/>
      <c r="O69" s="196"/>
      <c r="P69" s="196"/>
      <c r="Q69" s="196"/>
      <c r="R69" s="196"/>
      <c r="S69" s="196"/>
      <c r="T69" s="196"/>
      <c r="U69" s="196"/>
      <c r="V69" s="196"/>
      <c r="W69" s="183"/>
      <c r="X69" s="183"/>
    </row>
    <row r="70" spans="1:24" s="135" customFormat="1" ht="12.75" x14ac:dyDescent="0.2">
      <c r="B70" s="198" t="s">
        <v>77</v>
      </c>
      <c r="C70" s="196"/>
      <c r="D70" s="196"/>
      <c r="E70" s="196"/>
      <c r="F70" s="196"/>
      <c r="G70" s="196"/>
      <c r="H70" s="196"/>
      <c r="I70" s="196"/>
      <c r="J70" s="196"/>
      <c r="K70" s="196"/>
      <c r="L70" s="196"/>
      <c r="M70" s="196"/>
      <c r="N70" s="196"/>
      <c r="O70" s="196"/>
      <c r="P70" s="196"/>
      <c r="Q70" s="196"/>
      <c r="R70" s="196"/>
      <c r="S70" s="196"/>
      <c r="T70" s="196"/>
      <c r="U70" s="196"/>
      <c r="V70" s="196"/>
      <c r="W70" s="183"/>
      <c r="X70" s="183"/>
    </row>
    <row r="71" spans="1:24" s="135" customFormat="1" ht="12.75" x14ac:dyDescent="0.2">
      <c r="B71" s="135" t="s">
        <v>133</v>
      </c>
      <c r="C71" s="196">
        <f>C61*INDEX($C$23:$V$23, 1, MATCH(C$34,$C$21:$V$21,0))</f>
        <v>2027.5362318840582</v>
      </c>
      <c r="D71" s="196">
        <f t="shared" ref="C71:I78" si="6">D61*INDEX($C$23:$V$23, 1, MATCH(D$34,$C$21:$V$21,0))</f>
        <v>1879.1570398375693</v>
      </c>
      <c r="E71" s="196">
        <f t="shared" si="6"/>
        <v>1738.4945651751132</v>
      </c>
      <c r="F71" s="196">
        <f t="shared" si="6"/>
        <v>1605.1965834207704</v>
      </c>
      <c r="G71" s="196">
        <f t="shared" si="6"/>
        <v>1478.9258675869978</v>
      </c>
      <c r="H71" s="196">
        <f t="shared" si="6"/>
        <v>1359.359576638255</v>
      </c>
      <c r="I71" s="196">
        <f t="shared" si="6"/>
        <v>1246.1886681641952</v>
      </c>
      <c r="J71" s="196"/>
      <c r="K71" s="196"/>
      <c r="L71" s="196"/>
      <c r="M71" s="196"/>
      <c r="N71" s="196"/>
      <c r="O71" s="196"/>
      <c r="P71" s="196"/>
      <c r="Q71" s="196"/>
      <c r="R71" s="196"/>
      <c r="S71" s="196"/>
      <c r="T71" s="196"/>
      <c r="U71" s="196"/>
      <c r="V71" s="196"/>
      <c r="W71" s="184">
        <f>SUM(C71:V71)</f>
        <v>11334.85853270696</v>
      </c>
      <c r="X71" s="184">
        <f>SUM(H71:V71)</f>
        <v>2605.5482448024504</v>
      </c>
    </row>
    <row r="72" spans="1:24" s="135" customFormat="1" ht="12.75" x14ac:dyDescent="0.2">
      <c r="A72" s="180"/>
      <c r="B72" s="135" t="s">
        <v>112</v>
      </c>
      <c r="C72" s="196">
        <f t="shared" si="6"/>
        <v>1944.9275362318842</v>
      </c>
      <c r="D72" s="196">
        <f t="shared" si="6"/>
        <v>1799.3418749562418</v>
      </c>
      <c r="E72" s="196">
        <f t="shared" si="6"/>
        <v>1661.3784638404973</v>
      </c>
      <c r="F72" s="196">
        <f t="shared" si="6"/>
        <v>1530.6882729525423</v>
      </c>
      <c r="G72" s="196">
        <f t="shared" si="6"/>
        <v>1406.9371618205939</v>
      </c>
      <c r="H72" s="196">
        <f t="shared" si="6"/>
        <v>1289.8052715499421</v>
      </c>
      <c r="I72" s="196">
        <f t="shared" si="6"/>
        <v>0</v>
      </c>
      <c r="J72" s="196"/>
      <c r="K72" s="196"/>
      <c r="L72" s="196"/>
      <c r="M72" s="196"/>
      <c r="N72" s="196"/>
      <c r="O72" s="196"/>
      <c r="P72" s="196"/>
      <c r="Q72" s="196"/>
      <c r="R72" s="196"/>
      <c r="S72" s="196"/>
      <c r="T72" s="196"/>
      <c r="U72" s="196"/>
      <c r="V72" s="196"/>
      <c r="W72" s="184">
        <f>SUM(C72:V72)</f>
        <v>9633.0785813517014</v>
      </c>
      <c r="X72" s="184">
        <f t="shared" ref="X72:X77" si="7">SUM(H72:V72)</f>
        <v>1289.8052715499421</v>
      </c>
    </row>
    <row r="73" spans="1:24" s="135" customFormat="1" ht="12.75" x14ac:dyDescent="0.2">
      <c r="A73" s="180"/>
      <c r="B73" s="160" t="s">
        <v>113</v>
      </c>
      <c r="C73" s="196">
        <f t="shared" si="6"/>
        <v>1862.3188405797102</v>
      </c>
      <c r="D73" s="196">
        <f t="shared" si="6"/>
        <v>1719.5267100749145</v>
      </c>
      <c r="E73" s="196">
        <f t="shared" si="6"/>
        <v>1584.2623625058814</v>
      </c>
      <c r="F73" s="196">
        <f t="shared" si="6"/>
        <v>1456.1799624843145</v>
      </c>
      <c r="G73" s="196">
        <f t="shared" si="6"/>
        <v>1334.94845605419</v>
      </c>
      <c r="H73" s="196">
        <f t="shared" si="6"/>
        <v>0</v>
      </c>
      <c r="I73" s="196">
        <f t="shared" si="6"/>
        <v>0</v>
      </c>
      <c r="J73" s="196"/>
      <c r="K73" s="196"/>
      <c r="L73" s="196"/>
      <c r="M73" s="196"/>
      <c r="N73" s="196"/>
      <c r="O73" s="196"/>
      <c r="P73" s="196"/>
      <c r="Q73" s="196"/>
      <c r="R73" s="196"/>
      <c r="S73" s="196"/>
      <c r="T73" s="196"/>
      <c r="U73" s="196"/>
      <c r="V73" s="196"/>
      <c r="W73" s="184">
        <f t="shared" ref="W73:W77" si="8">SUM(C73:V73)</f>
        <v>7957.2363316990104</v>
      </c>
      <c r="X73" s="184">
        <f t="shared" si="7"/>
        <v>0</v>
      </c>
    </row>
    <row r="74" spans="1:24" s="135" customFormat="1" ht="12.75" x14ac:dyDescent="0.2">
      <c r="B74" s="135" t="s">
        <v>114</v>
      </c>
      <c r="C74" s="196">
        <f t="shared" si="6"/>
        <v>1779.7101449275365</v>
      </c>
      <c r="D74" s="196">
        <f t="shared" si="6"/>
        <v>1639.711545193587</v>
      </c>
      <c r="E74" s="196">
        <f t="shared" si="6"/>
        <v>1507.1462611712655</v>
      </c>
      <c r="F74" s="196">
        <f t="shared" si="6"/>
        <v>1381.6716520160865</v>
      </c>
      <c r="G74" s="196">
        <f t="shared" si="6"/>
        <v>0</v>
      </c>
      <c r="H74" s="196">
        <f t="shared" si="6"/>
        <v>0</v>
      </c>
      <c r="I74" s="196">
        <f t="shared" si="6"/>
        <v>0</v>
      </c>
      <c r="J74" s="196"/>
      <c r="K74" s="196"/>
      <c r="L74" s="196"/>
      <c r="M74" s="196"/>
      <c r="N74" s="196"/>
      <c r="O74" s="196"/>
      <c r="P74" s="196"/>
      <c r="Q74" s="196"/>
      <c r="R74" s="196"/>
      <c r="S74" s="196"/>
      <c r="T74" s="196"/>
      <c r="U74" s="196"/>
      <c r="V74" s="196"/>
      <c r="W74" s="184">
        <f t="shared" si="8"/>
        <v>6308.2396033084751</v>
      </c>
      <c r="X74" s="184">
        <f t="shared" si="7"/>
        <v>0</v>
      </c>
    </row>
    <row r="75" spans="1:24" s="135" customFormat="1" ht="12.75" x14ac:dyDescent="0.2">
      <c r="B75" s="160" t="s">
        <v>115</v>
      </c>
      <c r="C75" s="196">
        <f t="shared" si="6"/>
        <v>1697.1014492753625</v>
      </c>
      <c r="D75" s="196">
        <f t="shared" si="6"/>
        <v>1559.8963803122595</v>
      </c>
      <c r="E75" s="196">
        <f t="shared" si="6"/>
        <v>1430.0301598366495</v>
      </c>
      <c r="F75" s="196">
        <f t="shared" si="6"/>
        <v>0</v>
      </c>
      <c r="G75" s="196">
        <f t="shared" si="6"/>
        <v>0</v>
      </c>
      <c r="H75" s="196">
        <f t="shared" si="6"/>
        <v>0</v>
      </c>
      <c r="I75" s="196">
        <f t="shared" si="6"/>
        <v>0</v>
      </c>
      <c r="J75" s="196"/>
      <c r="K75" s="196"/>
      <c r="L75" s="196"/>
      <c r="M75" s="196"/>
      <c r="N75" s="196"/>
      <c r="O75" s="196"/>
      <c r="P75" s="196"/>
      <c r="Q75" s="196"/>
      <c r="R75" s="196"/>
      <c r="S75" s="196"/>
      <c r="T75" s="196"/>
      <c r="U75" s="196"/>
      <c r="V75" s="196"/>
      <c r="W75" s="184">
        <f t="shared" si="8"/>
        <v>4687.0279894242713</v>
      </c>
      <c r="X75" s="184">
        <f t="shared" si="7"/>
        <v>0</v>
      </c>
    </row>
    <row r="76" spans="1:24" s="135" customFormat="1" ht="12.75" x14ac:dyDescent="0.2">
      <c r="B76" s="135" t="s">
        <v>116</v>
      </c>
      <c r="C76" s="196">
        <f t="shared" si="6"/>
        <v>1614.4927536231885</v>
      </c>
      <c r="D76" s="196">
        <f t="shared" si="6"/>
        <v>1480.0812154309319</v>
      </c>
      <c r="E76" s="196">
        <f t="shared" si="6"/>
        <v>0</v>
      </c>
      <c r="F76" s="196">
        <f t="shared" si="6"/>
        <v>0</v>
      </c>
      <c r="G76" s="196">
        <f t="shared" si="6"/>
        <v>0</v>
      </c>
      <c r="H76" s="196">
        <f t="shared" si="6"/>
        <v>0</v>
      </c>
      <c r="I76" s="196">
        <f t="shared" si="6"/>
        <v>0</v>
      </c>
      <c r="J76" s="196"/>
      <c r="K76" s="196"/>
      <c r="L76" s="196"/>
      <c r="M76" s="196"/>
      <c r="N76" s="196"/>
      <c r="O76" s="196"/>
      <c r="P76" s="196"/>
      <c r="Q76" s="196"/>
      <c r="R76" s="196"/>
      <c r="S76" s="196"/>
      <c r="T76" s="196"/>
      <c r="U76" s="196"/>
      <c r="V76" s="196"/>
      <c r="W76" s="184">
        <f t="shared" si="8"/>
        <v>3094.5739690541204</v>
      </c>
      <c r="X76" s="184">
        <f t="shared" si="7"/>
        <v>0</v>
      </c>
    </row>
    <row r="77" spans="1:24" s="135" customFormat="1" ht="12.75" x14ac:dyDescent="0.2">
      <c r="B77" s="160" t="s">
        <v>117</v>
      </c>
      <c r="C77" s="196">
        <f t="shared" si="6"/>
        <v>1531.8840579710145</v>
      </c>
      <c r="D77" s="196">
        <f t="shared" si="6"/>
        <v>0</v>
      </c>
      <c r="E77" s="196">
        <f t="shared" si="6"/>
        <v>0</v>
      </c>
      <c r="F77" s="196">
        <f t="shared" si="6"/>
        <v>0</v>
      </c>
      <c r="G77" s="196">
        <f t="shared" si="6"/>
        <v>0</v>
      </c>
      <c r="H77" s="196">
        <f t="shared" si="6"/>
        <v>0</v>
      </c>
      <c r="I77" s="196">
        <f t="shared" si="6"/>
        <v>0</v>
      </c>
      <c r="J77" s="196"/>
      <c r="K77" s="196"/>
      <c r="L77" s="196"/>
      <c r="M77" s="196"/>
      <c r="N77" s="196"/>
      <c r="O77" s="196"/>
      <c r="P77" s="196"/>
      <c r="Q77" s="196"/>
      <c r="R77" s="196"/>
      <c r="S77" s="196"/>
      <c r="T77" s="196"/>
      <c r="U77" s="196"/>
      <c r="V77" s="196"/>
      <c r="W77" s="184">
        <f t="shared" si="8"/>
        <v>1531.8840579710145</v>
      </c>
      <c r="X77" s="184">
        <f t="shared" si="7"/>
        <v>0</v>
      </c>
    </row>
    <row r="78" spans="1:24" s="135" customFormat="1" ht="12.75" x14ac:dyDescent="0.2">
      <c r="B78" s="135" t="s">
        <v>118</v>
      </c>
      <c r="C78" s="196">
        <f t="shared" si="6"/>
        <v>0</v>
      </c>
      <c r="D78" s="196">
        <f t="shared" si="6"/>
        <v>0</v>
      </c>
      <c r="E78" s="196">
        <f t="shared" si="6"/>
        <v>0</v>
      </c>
      <c r="F78" s="196">
        <f t="shared" si="6"/>
        <v>0</v>
      </c>
      <c r="G78" s="196">
        <f t="shared" si="6"/>
        <v>0</v>
      </c>
      <c r="H78" s="196">
        <f t="shared" si="6"/>
        <v>0</v>
      </c>
      <c r="I78" s="196">
        <f t="shared" si="6"/>
        <v>0</v>
      </c>
      <c r="J78" s="196"/>
      <c r="K78" s="196"/>
      <c r="L78" s="196"/>
      <c r="M78" s="196"/>
      <c r="N78" s="196"/>
      <c r="O78" s="196"/>
      <c r="P78" s="196"/>
      <c r="Q78" s="196"/>
      <c r="R78" s="196"/>
      <c r="S78" s="196"/>
      <c r="T78" s="196"/>
      <c r="U78" s="196"/>
      <c r="V78" s="196"/>
      <c r="W78" s="184"/>
      <c r="X78" s="184"/>
    </row>
    <row r="79" spans="1:24" s="135" customFormat="1" ht="12.75" x14ac:dyDescent="0.2">
      <c r="A79" s="180"/>
      <c r="B79" s="180"/>
      <c r="C79" s="196"/>
      <c r="D79" s="196"/>
      <c r="E79" s="196"/>
      <c r="F79" s="196"/>
      <c r="G79" s="196"/>
      <c r="H79" s="196"/>
      <c r="I79" s="196"/>
      <c r="J79" s="196"/>
      <c r="K79" s="196"/>
      <c r="L79" s="196"/>
      <c r="M79" s="196"/>
      <c r="N79" s="196"/>
      <c r="O79" s="196"/>
      <c r="P79" s="196"/>
      <c r="Q79" s="196"/>
      <c r="R79" s="196"/>
      <c r="S79" s="196"/>
      <c r="T79" s="196"/>
      <c r="U79" s="196"/>
      <c r="V79" s="196"/>
      <c r="W79" s="196"/>
      <c r="X79" s="196"/>
    </row>
    <row r="80" spans="1:24" s="135" customFormat="1" ht="12.75" x14ac:dyDescent="0.2">
      <c r="B80" s="97" t="s">
        <v>467</v>
      </c>
      <c r="J80" s="196"/>
      <c r="K80" s="196"/>
      <c r="L80" s="196"/>
      <c r="M80" s="196"/>
      <c r="N80" s="196"/>
      <c r="O80" s="196"/>
      <c r="P80" s="196"/>
      <c r="Q80" s="196"/>
      <c r="R80" s="196"/>
      <c r="S80" s="196"/>
      <c r="T80" s="196"/>
      <c r="U80" s="196"/>
      <c r="V80" s="196"/>
      <c r="W80" s="196" t="s">
        <v>403</v>
      </c>
      <c r="X80" s="196"/>
    </row>
    <row r="81" spans="1:24" s="135" customFormat="1" ht="12.75" x14ac:dyDescent="0.2">
      <c r="E81" s="97"/>
      <c r="W81" s="169">
        <f>AVERAGE(W71:W77)</f>
        <v>6363.8427236450789</v>
      </c>
      <c r="X81" s="169">
        <f>AVERAGE(X71:X77)</f>
        <v>556.47907376462751</v>
      </c>
    </row>
    <row r="82" spans="1:24" s="135" customFormat="1" ht="12.75" x14ac:dyDescent="0.2">
      <c r="B82" s="160"/>
    </row>
    <row r="83" spans="1:24" s="135" customFormat="1" ht="12.75" x14ac:dyDescent="0.2">
      <c r="B83" s="160"/>
    </row>
    <row r="84" spans="1:24" s="135" customFormat="1" ht="12.75" x14ac:dyDescent="0.2">
      <c r="B84" s="179" t="s">
        <v>78</v>
      </c>
      <c r="C84" s="173"/>
      <c r="D84" s="173"/>
    </row>
    <row r="85" spans="1:24" s="135" customFormat="1" ht="12.75" x14ac:dyDescent="0.2">
      <c r="B85" s="154"/>
      <c r="C85" s="173"/>
    </row>
    <row r="86" spans="1:24" s="135" customFormat="1" ht="12.75" x14ac:dyDescent="0.2">
      <c r="B86" s="154"/>
      <c r="C86" s="178">
        <v>1</v>
      </c>
      <c r="D86" s="178">
        <v>2</v>
      </c>
      <c r="E86" s="178">
        <v>3</v>
      </c>
      <c r="F86" s="178">
        <v>4</v>
      </c>
      <c r="G86" s="178">
        <v>5</v>
      </c>
      <c r="H86" s="178">
        <v>6</v>
      </c>
      <c r="I86" s="178">
        <v>7</v>
      </c>
      <c r="J86" s="178">
        <v>8</v>
      </c>
      <c r="K86" s="178">
        <v>9</v>
      </c>
      <c r="L86" s="178">
        <v>10</v>
      </c>
      <c r="M86" s="178">
        <v>11</v>
      </c>
      <c r="N86" s="178">
        <v>12</v>
      </c>
      <c r="O86" s="178">
        <v>13</v>
      </c>
      <c r="P86" s="178">
        <v>14</v>
      </c>
      <c r="Q86" s="178">
        <v>15</v>
      </c>
      <c r="R86" s="178">
        <v>16</v>
      </c>
      <c r="S86" s="178">
        <v>17</v>
      </c>
      <c r="T86" s="178">
        <v>18</v>
      </c>
      <c r="U86" s="178">
        <v>19</v>
      </c>
      <c r="V86" s="178">
        <v>20</v>
      </c>
    </row>
    <row r="87" spans="1:24" s="135" customFormat="1" ht="12.75" x14ac:dyDescent="0.2">
      <c r="A87" s="232" t="s">
        <v>56</v>
      </c>
      <c r="B87" s="135" t="s">
        <v>66</v>
      </c>
      <c r="C87" s="200">
        <f>C61</f>
        <v>2098.5</v>
      </c>
      <c r="D87" s="200">
        <f t="shared" ref="D87:I87" si="9">D61</f>
        <v>2013</v>
      </c>
      <c r="E87" s="200">
        <f t="shared" si="9"/>
        <v>1927.5</v>
      </c>
      <c r="F87" s="200">
        <f t="shared" si="9"/>
        <v>1842</v>
      </c>
      <c r="G87" s="200">
        <f t="shared" si="9"/>
        <v>1756.5</v>
      </c>
      <c r="H87" s="200">
        <f t="shared" si="9"/>
        <v>1671</v>
      </c>
      <c r="I87" s="200">
        <f t="shared" si="9"/>
        <v>1585.5</v>
      </c>
      <c r="J87" s="201">
        <f>C87</f>
        <v>2098.5</v>
      </c>
      <c r="K87" s="201">
        <f t="shared" ref="K87:V87" si="10">D87</f>
        <v>2013</v>
      </c>
      <c r="L87" s="201">
        <f t="shared" si="10"/>
        <v>1927.5</v>
      </c>
      <c r="M87" s="201">
        <f t="shared" si="10"/>
        <v>1842</v>
      </c>
      <c r="N87" s="201">
        <f t="shared" si="10"/>
        <v>1756.5</v>
      </c>
      <c r="O87" s="201">
        <f t="shared" si="10"/>
        <v>1671</v>
      </c>
      <c r="P87" s="201">
        <f t="shared" si="10"/>
        <v>1585.5</v>
      </c>
      <c r="Q87" s="200">
        <f t="shared" si="10"/>
        <v>2098.5</v>
      </c>
      <c r="R87" s="200">
        <f t="shared" si="10"/>
        <v>2013</v>
      </c>
      <c r="S87" s="200">
        <f t="shared" si="10"/>
        <v>1927.5</v>
      </c>
      <c r="T87" s="200">
        <f t="shared" si="10"/>
        <v>1842</v>
      </c>
      <c r="U87" s="200">
        <f t="shared" si="10"/>
        <v>1756.5</v>
      </c>
      <c r="V87" s="200">
        <f t="shared" si="10"/>
        <v>1671</v>
      </c>
      <c r="W87" s="180">
        <f t="shared" ref="W87" si="11">SUM(C87:V87)</f>
        <v>37096.5</v>
      </c>
    </row>
    <row r="88" spans="1:24" s="135" customFormat="1" ht="12.75" x14ac:dyDescent="0.2">
      <c r="A88" s="232"/>
      <c r="B88" s="135" t="s">
        <v>67</v>
      </c>
      <c r="C88" s="199">
        <f>Cost_SiteRural!C41</f>
        <v>12133.666319618093</v>
      </c>
      <c r="D88" s="199">
        <f>Cost_SiteRural!D41</f>
        <v>11810.47988026378</v>
      </c>
      <c r="E88" s="199">
        <f>Cost_SiteRural!E41</f>
        <v>11487.293440909467</v>
      </c>
      <c r="F88" s="199">
        <f>Cost_SiteRural!F41</f>
        <v>11164.107001555152</v>
      </c>
      <c r="G88" s="199">
        <f>Cost_SiteRural!G41</f>
        <v>10840.920562200838</v>
      </c>
      <c r="H88" s="199">
        <f>Cost_SiteRural!H41</f>
        <v>10517.734122846523</v>
      </c>
      <c r="I88" s="199">
        <f>Cost_SiteRural!I41</f>
        <v>10194.547683492208</v>
      </c>
      <c r="J88" s="199">
        <f>Cost_SiteRural!J41</f>
        <v>9871.3612441378955</v>
      </c>
      <c r="K88" s="199">
        <f>Cost_SiteRural!K41</f>
        <v>9548.1748047835808</v>
      </c>
      <c r="L88" s="199">
        <f>Cost_SiteRural!L41</f>
        <v>9224.988365429268</v>
      </c>
      <c r="M88" s="199">
        <f>Cost_SiteRural!M41</f>
        <v>8901.8019260749534</v>
      </c>
      <c r="N88" s="199">
        <f>Cost_SiteRural!N41</f>
        <v>8578.6154867206405</v>
      </c>
      <c r="O88" s="199">
        <f>Cost_SiteRural!O41</f>
        <v>8255.4290473663277</v>
      </c>
      <c r="P88" s="199">
        <f>Cost_SiteRural!P41</f>
        <v>7932.2426080120131</v>
      </c>
      <c r="Q88" s="199">
        <f>Cost_SiteRural!Q41</f>
        <v>7609.0561686576993</v>
      </c>
      <c r="R88" s="199">
        <f>Cost_SiteRural!R41</f>
        <v>7285.8697293033856</v>
      </c>
      <c r="S88" s="199">
        <f>Cost_SiteRural!S41</f>
        <v>6962.6832899490728</v>
      </c>
      <c r="T88" s="199">
        <f>Cost_SiteRural!T41</f>
        <v>6639.4968505947591</v>
      </c>
      <c r="U88" s="199">
        <f>Cost_SiteRural!U41</f>
        <v>6316.3104112404453</v>
      </c>
      <c r="V88" s="199">
        <f>Cost_SiteRural!V41</f>
        <v>5993.1239718861316</v>
      </c>
      <c r="W88" s="180">
        <f>SUM(C88:V88)</f>
        <v>181267.90291504221</v>
      </c>
      <c r="X88" s="185"/>
    </row>
    <row r="89" spans="1:24" s="135" customFormat="1" ht="12.75" x14ac:dyDescent="0.2">
      <c r="A89" s="232"/>
      <c r="B89" s="135" t="s">
        <v>134</v>
      </c>
      <c r="C89" s="199">
        <f>'Cost calculations'!$G$28</f>
        <v>1804.848655790538</v>
      </c>
      <c r="D89" s="199">
        <f>'Cost calculations'!$G$28</f>
        <v>1804.848655790538</v>
      </c>
      <c r="E89" s="199">
        <f>'Cost calculations'!$G$28</f>
        <v>1804.848655790538</v>
      </c>
      <c r="F89" s="199">
        <f>'Cost calculations'!$G$28</f>
        <v>1804.848655790538</v>
      </c>
      <c r="G89" s="199">
        <f>'Cost calculations'!$G$28</f>
        <v>1804.848655790538</v>
      </c>
      <c r="H89" s="199">
        <f>'Cost calculations'!$G$28</f>
        <v>1804.848655790538</v>
      </c>
      <c r="I89" s="199">
        <f>'Cost calculations'!$G$28</f>
        <v>1804.848655790538</v>
      </c>
      <c r="J89" s="199">
        <f>'Cost calculations'!$G$28</f>
        <v>1804.848655790538</v>
      </c>
      <c r="K89" s="199">
        <f>'Cost calculations'!$G$28</f>
        <v>1804.848655790538</v>
      </c>
      <c r="L89" s="199">
        <f>'Cost calculations'!$G$28</f>
        <v>1804.848655790538</v>
      </c>
      <c r="M89" s="199">
        <f>'Cost calculations'!$G$28</f>
        <v>1804.848655790538</v>
      </c>
      <c r="N89" s="199">
        <f>'Cost calculations'!$G$28</f>
        <v>1804.848655790538</v>
      </c>
      <c r="O89" s="199">
        <f>'Cost calculations'!$G$28</f>
        <v>1804.848655790538</v>
      </c>
      <c r="P89" s="199">
        <f>'Cost calculations'!$G$28</f>
        <v>1804.848655790538</v>
      </c>
      <c r="Q89" s="199">
        <f>'Cost calculations'!$G$28</f>
        <v>1804.848655790538</v>
      </c>
      <c r="R89" s="199">
        <f>'Cost calculations'!$G$28</f>
        <v>1804.848655790538</v>
      </c>
      <c r="S89" s="199">
        <f>'Cost calculations'!$G$28</f>
        <v>1804.848655790538</v>
      </c>
      <c r="T89" s="199">
        <f>'Cost calculations'!$G$28</f>
        <v>1804.848655790538</v>
      </c>
      <c r="U89" s="199">
        <f>'Cost calculations'!$G$28</f>
        <v>1804.848655790538</v>
      </c>
      <c r="V89" s="199">
        <f>'Cost calculations'!$G$28</f>
        <v>1804.848655790538</v>
      </c>
      <c r="W89" s="180">
        <f>SUM(C89:V89)</f>
        <v>36096.973115810761</v>
      </c>
    </row>
    <row r="90" spans="1:24" s="135" customFormat="1" ht="12.75" x14ac:dyDescent="0.2">
      <c r="A90" s="232"/>
      <c r="C90" s="180"/>
      <c r="D90" s="180"/>
      <c r="E90" s="180"/>
      <c r="F90" s="180"/>
      <c r="G90" s="180"/>
      <c r="H90" s="180"/>
      <c r="I90" s="180"/>
      <c r="J90" s="180"/>
      <c r="K90" s="180"/>
      <c r="L90" s="180"/>
      <c r="M90" s="180"/>
      <c r="N90" s="180"/>
      <c r="O90" s="180"/>
      <c r="P90" s="180"/>
      <c r="Q90" s="180"/>
      <c r="R90" s="180"/>
      <c r="S90" s="180"/>
      <c r="T90" s="180"/>
      <c r="U90" s="180"/>
      <c r="V90" s="180"/>
    </row>
    <row r="91" spans="1:24" s="135" customFormat="1" ht="12.75" x14ac:dyDescent="0.2">
      <c r="A91" s="232"/>
      <c r="B91" s="135" t="s">
        <v>51</v>
      </c>
      <c r="C91" s="196">
        <f>SUM(C87,C88:C89)</f>
        <v>16037.014975408631</v>
      </c>
      <c r="D91" s="196">
        <f t="shared" ref="D91:V91" si="12">SUM(D87,D88:D89)</f>
        <v>15628.328536054318</v>
      </c>
      <c r="E91" s="196">
        <f t="shared" si="12"/>
        <v>15219.642096700005</v>
      </c>
      <c r="F91" s="196">
        <f t="shared" si="12"/>
        <v>14810.95565734569</v>
      </c>
      <c r="G91" s="196">
        <f t="shared" si="12"/>
        <v>14402.269217991376</v>
      </c>
      <c r="H91" s="196">
        <f t="shared" si="12"/>
        <v>13993.582778637061</v>
      </c>
      <c r="I91" s="196">
        <f t="shared" si="12"/>
        <v>13584.896339282746</v>
      </c>
      <c r="J91" s="196">
        <f t="shared" si="12"/>
        <v>13774.709899928434</v>
      </c>
      <c r="K91" s="196">
        <f t="shared" si="12"/>
        <v>13366.023460574119</v>
      </c>
      <c r="L91" s="196">
        <f t="shared" si="12"/>
        <v>12957.337021219806</v>
      </c>
      <c r="M91" s="196">
        <f t="shared" si="12"/>
        <v>12548.650581865491</v>
      </c>
      <c r="N91" s="196">
        <f t="shared" si="12"/>
        <v>12139.964142511179</v>
      </c>
      <c r="O91" s="196">
        <f t="shared" si="12"/>
        <v>11731.277703156866</v>
      </c>
      <c r="P91" s="196">
        <f t="shared" si="12"/>
        <v>11322.591263802551</v>
      </c>
      <c r="Q91" s="196">
        <f t="shared" si="12"/>
        <v>11512.404824448236</v>
      </c>
      <c r="R91" s="196">
        <f t="shared" si="12"/>
        <v>11103.718385093924</v>
      </c>
      <c r="S91" s="196">
        <f t="shared" si="12"/>
        <v>10695.031945739611</v>
      </c>
      <c r="T91" s="196">
        <f t="shared" si="12"/>
        <v>10286.345506385296</v>
      </c>
      <c r="U91" s="196">
        <f t="shared" si="12"/>
        <v>9877.6590670309834</v>
      </c>
      <c r="V91" s="196">
        <f t="shared" si="12"/>
        <v>9468.9726276766705</v>
      </c>
      <c r="W91" s="180">
        <f t="shared" ref="W91" si="13">SUM(C91:V91)</f>
        <v>254461.37603085302</v>
      </c>
    </row>
    <row r="92" spans="1:24" s="135" customFormat="1" ht="12.75" x14ac:dyDescent="0.2">
      <c r="A92" s="232"/>
      <c r="B92" s="135" t="s">
        <v>69</v>
      </c>
      <c r="C92" s="196">
        <f t="shared" ref="C92:V92" si="14">C91*INDEX($C$23:$V$23, 1, MATCH(C21,$C$21:$V$21,0))</f>
        <v>15494.700459332011</v>
      </c>
      <c r="D92" s="196">
        <f t="shared" si="14"/>
        <v>14589.211917248309</v>
      </c>
      <c r="E92" s="196">
        <f t="shared" si="14"/>
        <v>13727.245171996536</v>
      </c>
      <c r="F92" s="196">
        <f t="shared" si="14"/>
        <v>12906.892192382102</v>
      </c>
      <c r="G92" s="196">
        <f t="shared" si="14"/>
        <v>12126.324223421239</v>
      </c>
      <c r="H92" s="196">
        <f t="shared" si="14"/>
        <v>11383.788606595122</v>
      </c>
      <c r="I92" s="196">
        <f t="shared" si="14"/>
        <v>10677.605724502944</v>
      </c>
      <c r="J92" s="196">
        <f t="shared" si="14"/>
        <v>10460.673881532044</v>
      </c>
      <c r="K92" s="196">
        <f t="shared" si="14"/>
        <v>9807.0653880362388</v>
      </c>
      <c r="L92" s="196">
        <f t="shared" si="14"/>
        <v>9185.6999899208586</v>
      </c>
      <c r="M92" s="196">
        <f t="shared" si="14"/>
        <v>8595.1444291348089</v>
      </c>
      <c r="N92" s="196">
        <f t="shared" si="14"/>
        <v>8034.0255113428047</v>
      </c>
      <c r="O92" s="196">
        <f t="shared" si="14"/>
        <v>7501.0276826481831</v>
      </c>
      <c r="P92" s="196">
        <f t="shared" si="14"/>
        <v>6994.8907015229579</v>
      </c>
      <c r="Q92" s="196">
        <f t="shared" si="14"/>
        <v>6871.6464375240976</v>
      </c>
      <c r="R92" s="196">
        <f t="shared" si="14"/>
        <v>6403.5800346998385</v>
      </c>
      <c r="S92" s="196">
        <f t="shared" si="14"/>
        <v>5959.3122213396528</v>
      </c>
      <c r="T92" s="196">
        <f t="shared" si="14"/>
        <v>5537.7686886258634</v>
      </c>
      <c r="U92" s="196">
        <f t="shared" si="14"/>
        <v>5137.9205714167292</v>
      </c>
      <c r="V92" s="196">
        <f t="shared" si="14"/>
        <v>4758.7826032876055</v>
      </c>
    </row>
    <row r="93" spans="1:24" s="135" customFormat="1" ht="12.75" x14ac:dyDescent="0.2">
      <c r="A93" s="186"/>
      <c r="C93" s="140"/>
      <c r="D93" s="140"/>
      <c r="E93" s="140"/>
      <c r="F93" s="140"/>
      <c r="G93" s="140"/>
      <c r="H93" s="140"/>
      <c r="I93" s="140"/>
      <c r="J93" s="140"/>
      <c r="K93" s="140"/>
      <c r="L93" s="140"/>
      <c r="M93" s="140"/>
      <c r="N93" s="140"/>
      <c r="O93" s="140"/>
      <c r="P93" s="140"/>
      <c r="Q93" s="140"/>
      <c r="R93" s="140"/>
      <c r="S93" s="140"/>
      <c r="T93" s="140"/>
      <c r="U93" s="140"/>
      <c r="V93" s="140"/>
      <c r="W93" s="140"/>
    </row>
    <row r="94" spans="1:24" s="135" customFormat="1" ht="12.75" x14ac:dyDescent="0.2">
      <c r="A94" s="186"/>
      <c r="C94" s="140"/>
      <c r="D94" s="140"/>
      <c r="E94" s="140"/>
      <c r="F94" s="140"/>
      <c r="G94" s="140"/>
      <c r="H94" s="140"/>
      <c r="I94" s="140"/>
      <c r="J94" s="140"/>
      <c r="K94" s="140"/>
      <c r="L94" s="140"/>
      <c r="M94" s="140"/>
      <c r="N94" s="140"/>
      <c r="O94" s="140"/>
      <c r="P94" s="140"/>
      <c r="Q94" s="140"/>
      <c r="R94" s="140"/>
      <c r="S94" s="140"/>
      <c r="T94" s="140"/>
      <c r="U94" s="140"/>
      <c r="V94" s="187" t="s">
        <v>468</v>
      </c>
      <c r="W94" s="169">
        <f>SUM(C92:V92)</f>
        <v>186153.30643650991</v>
      </c>
    </row>
    <row r="95" spans="1:24" s="135" customFormat="1" ht="12.75" x14ac:dyDescent="0.2">
      <c r="A95" s="186"/>
      <c r="C95" s="140"/>
      <c r="D95" s="140"/>
      <c r="E95" s="140"/>
      <c r="F95" s="140"/>
      <c r="G95" s="140"/>
      <c r="H95" s="140"/>
      <c r="I95" s="140"/>
      <c r="J95" s="140"/>
      <c r="K95" s="140"/>
      <c r="L95" s="140"/>
      <c r="M95" s="140"/>
      <c r="N95" s="140"/>
      <c r="O95" s="140"/>
      <c r="P95" s="140"/>
      <c r="Q95" s="140"/>
      <c r="R95" s="140"/>
      <c r="S95" s="140"/>
      <c r="T95" s="140"/>
      <c r="U95" s="140"/>
      <c r="V95" s="187"/>
      <c r="W95" s="140"/>
    </row>
    <row r="96" spans="1:24" s="135" customFormat="1" ht="12.75" x14ac:dyDescent="0.2"/>
    <row r="97" spans="1:24" s="135" customFormat="1" ht="12.75" x14ac:dyDescent="0.2">
      <c r="A97" s="232" t="s">
        <v>57</v>
      </c>
      <c r="B97" s="135" t="s">
        <v>66</v>
      </c>
      <c r="C97" s="200">
        <f>C61</f>
        <v>2098.5</v>
      </c>
      <c r="D97" s="200">
        <f t="shared" ref="D97:I97" si="15">D61</f>
        <v>2013</v>
      </c>
      <c r="E97" s="200">
        <f t="shared" si="15"/>
        <v>1927.5</v>
      </c>
      <c r="F97" s="200">
        <f t="shared" si="15"/>
        <v>1842</v>
      </c>
      <c r="G97" s="200">
        <f t="shared" si="15"/>
        <v>1756.5</v>
      </c>
      <c r="H97" s="200">
        <f t="shared" si="15"/>
        <v>1671</v>
      </c>
      <c r="I97" s="200">
        <f t="shared" si="15"/>
        <v>1585.5</v>
      </c>
      <c r="J97" s="201">
        <f>C97</f>
        <v>2098.5</v>
      </c>
      <c r="K97" s="201">
        <f t="shared" ref="K97" si="16">D97</f>
        <v>2013</v>
      </c>
      <c r="L97" s="201">
        <f t="shared" ref="L97" si="17">E97</f>
        <v>1927.5</v>
      </c>
      <c r="M97" s="201">
        <f t="shared" ref="M97" si="18">F97</f>
        <v>1842</v>
      </c>
      <c r="N97" s="201">
        <f t="shared" ref="N97" si="19">G97</f>
        <v>1756.5</v>
      </c>
      <c r="O97" s="201">
        <f t="shared" ref="O97" si="20">H97</f>
        <v>1671</v>
      </c>
      <c r="P97" s="201">
        <f t="shared" ref="P97" si="21">I97</f>
        <v>1585.5</v>
      </c>
      <c r="Q97" s="200">
        <f t="shared" ref="Q97" si="22">J97</f>
        <v>2098.5</v>
      </c>
      <c r="R97" s="200">
        <f t="shared" ref="R97" si="23">K97</f>
        <v>2013</v>
      </c>
      <c r="S97" s="200">
        <f t="shared" ref="S97" si="24">L97</f>
        <v>1927.5</v>
      </c>
      <c r="T97" s="200">
        <f t="shared" ref="T97" si="25">M97</f>
        <v>1842</v>
      </c>
      <c r="U97" s="200">
        <f t="shared" ref="U97" si="26">N97</f>
        <v>1756.5</v>
      </c>
      <c r="V97" s="200">
        <f t="shared" ref="V97" si="27">O97</f>
        <v>1671</v>
      </c>
      <c r="W97" s="180">
        <f t="shared" ref="W97:W101" si="28">SUM(C97:V97)</f>
        <v>37096.5</v>
      </c>
    </row>
    <row r="98" spans="1:24" s="135" customFormat="1" ht="12.75" x14ac:dyDescent="0.2">
      <c r="A98" s="232"/>
      <c r="B98" s="135" t="s">
        <v>67</v>
      </c>
      <c r="C98" s="199">
        <f>Cost_SiteUrban!C41</f>
        <v>1213.3666319618092</v>
      </c>
      <c r="D98" s="199">
        <f>Cost_SiteUrban!D41</f>
        <v>1181.0479880263779</v>
      </c>
      <c r="E98" s="199">
        <f>Cost_SiteUrban!E41</f>
        <v>1148.7293440909466</v>
      </c>
      <c r="F98" s="199">
        <f>Cost_SiteUrban!F41</f>
        <v>1116.4107001555151</v>
      </c>
      <c r="G98" s="199">
        <f>Cost_SiteUrban!G41</f>
        <v>1084.0920562200836</v>
      </c>
      <c r="H98" s="199">
        <f>Cost_SiteUrban!H41</f>
        <v>1051.7734122846523</v>
      </c>
      <c r="I98" s="199">
        <f>Cost_SiteUrban!I41</f>
        <v>1019.454768349221</v>
      </c>
      <c r="J98" s="199">
        <f>Cost_SiteUrban!J41</f>
        <v>987.13612441378962</v>
      </c>
      <c r="K98" s="199">
        <f>Cost_SiteUrban!K41</f>
        <v>954.81748047835822</v>
      </c>
      <c r="L98" s="199">
        <f>Cost_SiteUrban!L41</f>
        <v>922.49883654292694</v>
      </c>
      <c r="M98" s="199">
        <f>Cost_SiteUrban!M41</f>
        <v>890.18019260749543</v>
      </c>
      <c r="N98" s="199">
        <f>Cost_SiteUrban!N41</f>
        <v>857.86154867206415</v>
      </c>
      <c r="O98" s="199">
        <f>Cost_SiteUrban!O41</f>
        <v>825.54290473663275</v>
      </c>
      <c r="P98" s="199">
        <f>Cost_SiteUrban!P41</f>
        <v>793.22426080120135</v>
      </c>
      <c r="Q98" s="199">
        <f>Cost_SiteUrban!Q41</f>
        <v>760.90561686576996</v>
      </c>
      <c r="R98" s="199">
        <f>Cost_SiteUrban!R41</f>
        <v>728.58697293033856</v>
      </c>
      <c r="S98" s="199">
        <f>Cost_SiteUrban!S41</f>
        <v>696.26832899490728</v>
      </c>
      <c r="T98" s="199">
        <f>Cost_SiteUrban!T41</f>
        <v>663.94968505947588</v>
      </c>
      <c r="U98" s="199">
        <f>Cost_SiteUrban!U41</f>
        <v>631.63104112404449</v>
      </c>
      <c r="V98" s="199">
        <f>Cost_SiteUrban!V41</f>
        <v>599.3123971886132</v>
      </c>
      <c r="W98" s="180">
        <f t="shared" si="28"/>
        <v>18126.790291504221</v>
      </c>
    </row>
    <row r="99" spans="1:24" s="135" customFormat="1" ht="12.75" x14ac:dyDescent="0.2">
      <c r="A99" s="232"/>
      <c r="B99" s="135" t="s">
        <v>68</v>
      </c>
      <c r="C99" s="199">
        <f>'Cost calculations'!$G$29</f>
        <v>7096.7903528202351</v>
      </c>
      <c r="D99" s="199">
        <f>'Cost calculations'!$G$29</f>
        <v>7096.7903528202351</v>
      </c>
      <c r="E99" s="199">
        <f>'Cost calculations'!$G$29</f>
        <v>7096.7903528202351</v>
      </c>
      <c r="F99" s="199">
        <f>'Cost calculations'!$G$29</f>
        <v>7096.7903528202351</v>
      </c>
      <c r="G99" s="199">
        <f>'Cost calculations'!$G$29</f>
        <v>7096.7903528202351</v>
      </c>
      <c r="H99" s="199">
        <f>'Cost calculations'!$G$29</f>
        <v>7096.7903528202351</v>
      </c>
      <c r="I99" s="199">
        <f>'Cost calculations'!$G$29</f>
        <v>7096.7903528202351</v>
      </c>
      <c r="J99" s="199">
        <f>'Cost calculations'!$G$29</f>
        <v>7096.7903528202351</v>
      </c>
      <c r="K99" s="199">
        <f>'Cost calculations'!$G$29</f>
        <v>7096.7903528202351</v>
      </c>
      <c r="L99" s="199">
        <f>'Cost calculations'!$G$29</f>
        <v>7096.7903528202351</v>
      </c>
      <c r="M99" s="199">
        <f>'Cost calculations'!$G$29</f>
        <v>7096.7903528202351</v>
      </c>
      <c r="N99" s="199">
        <f>'Cost calculations'!$G$29</f>
        <v>7096.7903528202351</v>
      </c>
      <c r="O99" s="199">
        <f>'Cost calculations'!$G$29</f>
        <v>7096.7903528202351</v>
      </c>
      <c r="P99" s="199">
        <f>'Cost calculations'!$G$29</f>
        <v>7096.7903528202351</v>
      </c>
      <c r="Q99" s="199">
        <f>'Cost calculations'!$G$29</f>
        <v>7096.7903528202351</v>
      </c>
      <c r="R99" s="199">
        <f>'Cost calculations'!$G$29</f>
        <v>7096.7903528202351</v>
      </c>
      <c r="S99" s="199">
        <f>'Cost calculations'!$G$29</f>
        <v>7096.7903528202351</v>
      </c>
      <c r="T99" s="199">
        <f>'Cost calculations'!$G$29</f>
        <v>7096.7903528202351</v>
      </c>
      <c r="U99" s="199">
        <f>'Cost calculations'!$G$29</f>
        <v>7096.7903528202351</v>
      </c>
      <c r="V99" s="199">
        <f>'Cost calculations'!$G$29</f>
        <v>7096.7903528202351</v>
      </c>
      <c r="W99" s="180">
        <f t="shared" si="28"/>
        <v>141935.80705640468</v>
      </c>
    </row>
    <row r="100" spans="1:24" s="135" customFormat="1" ht="12.75" x14ac:dyDescent="0.2">
      <c r="A100" s="232"/>
      <c r="C100" s="180"/>
      <c r="D100" s="180"/>
      <c r="E100" s="180"/>
      <c r="F100" s="180"/>
      <c r="G100" s="180"/>
      <c r="H100" s="180"/>
      <c r="I100" s="180"/>
      <c r="J100" s="180"/>
      <c r="K100" s="180"/>
      <c r="L100" s="180"/>
      <c r="M100" s="180"/>
      <c r="N100" s="180"/>
      <c r="O100" s="180"/>
      <c r="P100" s="180"/>
      <c r="Q100" s="180"/>
      <c r="R100" s="180"/>
      <c r="S100" s="180"/>
      <c r="T100" s="180"/>
      <c r="U100" s="180"/>
      <c r="V100" s="180"/>
    </row>
    <row r="101" spans="1:24" s="135" customFormat="1" ht="12.75" x14ac:dyDescent="0.2">
      <c r="A101" s="232"/>
      <c r="B101" s="135" t="s">
        <v>51</v>
      </c>
      <c r="C101" s="196">
        <f>SUM(C97,C98:C99)</f>
        <v>10408.656984782045</v>
      </c>
      <c r="D101" s="196">
        <f t="shared" ref="D101:V101" si="29">SUM(D97,D98:D99)</f>
        <v>10290.838340846612</v>
      </c>
      <c r="E101" s="196">
        <f t="shared" si="29"/>
        <v>10173.019696911182</v>
      </c>
      <c r="F101" s="196">
        <f t="shared" si="29"/>
        <v>10055.20105297575</v>
      </c>
      <c r="G101" s="196">
        <f t="shared" si="29"/>
        <v>9937.3824090403177</v>
      </c>
      <c r="H101" s="196">
        <f t="shared" si="29"/>
        <v>9819.5637651048874</v>
      </c>
      <c r="I101" s="196">
        <f t="shared" si="29"/>
        <v>9701.745121169457</v>
      </c>
      <c r="J101" s="196">
        <f t="shared" si="29"/>
        <v>10182.426477234025</v>
      </c>
      <c r="K101" s="196">
        <f t="shared" si="29"/>
        <v>10064.607833298593</v>
      </c>
      <c r="L101" s="196">
        <f t="shared" si="29"/>
        <v>9946.7891893631622</v>
      </c>
      <c r="M101" s="196">
        <f t="shared" si="29"/>
        <v>9828.97054542773</v>
      </c>
      <c r="N101" s="196">
        <f t="shared" si="29"/>
        <v>9711.1519014922997</v>
      </c>
      <c r="O101" s="196">
        <f t="shared" si="29"/>
        <v>9593.3332575568675</v>
      </c>
      <c r="P101" s="196">
        <f t="shared" si="29"/>
        <v>9475.5146136214353</v>
      </c>
      <c r="Q101" s="196">
        <f t="shared" si="29"/>
        <v>9956.1959696860049</v>
      </c>
      <c r="R101" s="196">
        <f t="shared" si="29"/>
        <v>9838.3773257505745</v>
      </c>
      <c r="S101" s="196">
        <f t="shared" si="29"/>
        <v>9720.5586818151423</v>
      </c>
      <c r="T101" s="196">
        <f t="shared" si="29"/>
        <v>9602.7400378797101</v>
      </c>
      <c r="U101" s="196">
        <f t="shared" si="29"/>
        <v>9484.9213939442798</v>
      </c>
      <c r="V101" s="196">
        <f t="shared" si="29"/>
        <v>9367.1027500088494</v>
      </c>
      <c r="W101" s="180">
        <f t="shared" si="28"/>
        <v>197159.09734790889</v>
      </c>
    </row>
    <row r="102" spans="1:24" s="135" customFormat="1" ht="12.75" x14ac:dyDescent="0.2">
      <c r="A102" s="232"/>
      <c r="B102" s="135" t="s">
        <v>69</v>
      </c>
      <c r="C102" s="196">
        <f t="shared" ref="C102:V102" si="30">C101*INDEX($C$23:$V$23, 1, MATCH(C86,$C$21:$V$21,0))</f>
        <v>10056.673415248353</v>
      </c>
      <c r="D102" s="196">
        <f t="shared" si="30"/>
        <v>9606.6077069211551</v>
      </c>
      <c r="E102" s="196">
        <f t="shared" si="30"/>
        <v>9175.4809102461568</v>
      </c>
      <c r="F102" s="196">
        <f t="shared" si="30"/>
        <v>8762.5268055622182</v>
      </c>
      <c r="G102" s="196">
        <f t="shared" si="30"/>
        <v>8367.0093372238662</v>
      </c>
      <c r="H102" s="196">
        <f t="shared" si="30"/>
        <v>7988.2214497338891</v>
      </c>
      <c r="I102" s="196">
        <f t="shared" si="30"/>
        <v>7625.4839680975365</v>
      </c>
      <c r="J102" s="196">
        <f t="shared" si="30"/>
        <v>7732.6523371338444</v>
      </c>
      <c r="K102" s="196">
        <f t="shared" si="30"/>
        <v>7384.7144902333821</v>
      </c>
      <c r="L102" s="196">
        <f t="shared" si="30"/>
        <v>7051.4659923445197</v>
      </c>
      <c r="M102" s="196">
        <f t="shared" si="30"/>
        <v>6732.3112454617576</v>
      </c>
      <c r="N102" s="196">
        <f t="shared" si="30"/>
        <v>6426.6781355563207</v>
      </c>
      <c r="O102" s="196">
        <f t="shared" si="30"/>
        <v>6134.0171253843282</v>
      </c>
      <c r="P102" s="196">
        <f t="shared" si="30"/>
        <v>5853.8003817958279</v>
      </c>
      <c r="Q102" s="196">
        <f t="shared" si="30"/>
        <v>5942.7599714956696</v>
      </c>
      <c r="R102" s="196">
        <f t="shared" si="30"/>
        <v>5673.8503654410779</v>
      </c>
      <c r="S102" s="196">
        <f t="shared" si="30"/>
        <v>5416.3320357229904</v>
      </c>
      <c r="T102" s="196">
        <f t="shared" si="30"/>
        <v>5169.7420695983683</v>
      </c>
      <c r="U102" s="196">
        <f t="shared" si="30"/>
        <v>4933.6358359314181</v>
      </c>
      <c r="V102" s="196">
        <f t="shared" si="30"/>
        <v>4707.5862781205315</v>
      </c>
    </row>
    <row r="103" spans="1:24" s="135" customFormat="1" ht="12.75" x14ac:dyDescent="0.2">
      <c r="A103" s="186"/>
      <c r="C103" s="140"/>
      <c r="D103" s="140"/>
      <c r="E103" s="140"/>
      <c r="F103" s="140"/>
      <c r="G103" s="140"/>
      <c r="H103" s="140"/>
      <c r="I103" s="140"/>
      <c r="J103" s="140"/>
      <c r="K103" s="140"/>
      <c r="L103" s="140"/>
      <c r="M103" s="140"/>
      <c r="N103" s="140"/>
      <c r="O103" s="140"/>
      <c r="P103" s="140"/>
      <c r="Q103" s="140"/>
      <c r="R103" s="140"/>
      <c r="S103" s="140"/>
      <c r="T103" s="140"/>
      <c r="U103" s="140"/>
      <c r="V103" s="140"/>
      <c r="W103" s="140"/>
    </row>
    <row r="104" spans="1:24" ht="12.75" x14ac:dyDescent="0.2">
      <c r="A104" s="85"/>
      <c r="C104" s="21"/>
      <c r="D104" s="21"/>
      <c r="E104" s="21"/>
      <c r="F104" s="21"/>
      <c r="G104" s="21"/>
      <c r="H104" s="21"/>
      <c r="I104" s="21"/>
      <c r="J104" s="21"/>
      <c r="K104" s="21"/>
      <c r="L104" s="21"/>
      <c r="M104" s="21"/>
      <c r="N104" s="21"/>
      <c r="O104" s="21"/>
      <c r="P104" s="21"/>
      <c r="Q104" s="21"/>
      <c r="R104" s="21"/>
      <c r="S104" s="21"/>
      <c r="T104" s="21"/>
      <c r="U104" s="21"/>
      <c r="V104" s="29" t="s">
        <v>469</v>
      </c>
      <c r="W104" s="169">
        <f>SUM(C102:V102)</f>
        <v>140741.54985725321</v>
      </c>
      <c r="X104" s="158"/>
    </row>
    <row r="105" spans="1:24" ht="12.75" x14ac:dyDescent="0.2">
      <c r="C105" s="25"/>
      <c r="D105" s="26"/>
      <c r="W105" s="158"/>
      <c r="X105" s="158"/>
    </row>
    <row r="106" spans="1:24" ht="12.75" x14ac:dyDescent="0.2">
      <c r="E106" s="27"/>
      <c r="F106" s="27"/>
      <c r="W106" s="158"/>
      <c r="X106" s="158"/>
    </row>
    <row r="115" spans="3:9" x14ac:dyDescent="0.2">
      <c r="C115" s="27"/>
    </row>
    <row r="116" spans="3:9" x14ac:dyDescent="0.2">
      <c r="C116" s="27"/>
      <c r="D116" s="27"/>
      <c r="E116" s="27"/>
      <c r="F116" s="27"/>
      <c r="G116" s="27"/>
      <c r="H116" s="27"/>
      <c r="I116" s="27"/>
    </row>
    <row r="117" spans="3:9" x14ac:dyDescent="0.2">
      <c r="C117" s="26"/>
      <c r="D117" s="26"/>
      <c r="E117" s="26"/>
      <c r="F117" s="26"/>
      <c r="G117" s="26"/>
      <c r="H117" s="26"/>
      <c r="I117" s="26"/>
    </row>
    <row r="118" spans="3:9" x14ac:dyDescent="0.2">
      <c r="C118" s="26"/>
      <c r="D118" s="26"/>
      <c r="E118" s="26"/>
      <c r="F118" s="26"/>
      <c r="G118" s="26"/>
      <c r="H118" s="26"/>
      <c r="I118" s="26"/>
    </row>
    <row r="121" spans="3:9" x14ac:dyDescent="0.2">
      <c r="D121" s="26"/>
      <c r="E121" s="26"/>
      <c r="F121" s="26"/>
      <c r="G121" s="26"/>
      <c r="H121" s="26"/>
      <c r="I121" s="26"/>
    </row>
  </sheetData>
  <mergeCells count="3">
    <mergeCell ref="C20:V20"/>
    <mergeCell ref="A87:A92"/>
    <mergeCell ref="A97:A102"/>
  </mergeCells>
  <dataValidations count="1">
    <dataValidation type="list" allowBlank="1" showInputMessage="1" showErrorMessage="1" sqref="C24:V25 C35:V35" xr:uid="{A3F83449-8544-4280-8883-7F993718D215}">
      <formula1>"Yes, No"</formula1>
    </dataValidation>
  </dataValidations>
  <hyperlinks>
    <hyperlink ref="I5" r:id="rId1" xr:uid="{C5217753-7600-49B7-93DA-BBF7D48EF8E0}"/>
    <hyperlink ref="I6" r:id="rId2" xr:uid="{490C42E8-5B92-4370-BE7D-C64DDB5B832D}"/>
  </hyperlinks>
  <pageMargins left="0.70866141732283472" right="0.70866141732283472" top="0.51181102362204722" bottom="0.51181102362204722" header="0.51181102362204722" footer="0.35433070866141736"/>
  <pageSetup paperSize="9" orientation="landscape" horizontalDpi="4294967292" verticalDpi="4294967292" r:id="rId3"/>
  <headerFooter alignWithMargins="0"/>
  <ignoredErrors>
    <ignoredError sqref="C17:C18 C87:V89 C97:V99 C91:V9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45</vt:i4>
      </vt:variant>
    </vt:vector>
  </HeadingPairs>
  <TitlesOfParts>
    <vt:vector size="61" baseType="lpstr">
      <vt:lpstr>Contents</vt:lpstr>
      <vt:lpstr>Styles</vt:lpstr>
      <vt:lpstr>Inputs ---&gt;</vt:lpstr>
      <vt:lpstr>Spectrum cost inputs</vt:lpstr>
      <vt:lpstr>MCT Cost Trends</vt:lpstr>
      <vt:lpstr>Calculations ---&gt;</vt:lpstr>
      <vt:lpstr>Cost Trend calc</vt:lpstr>
      <vt:lpstr>Cost calculations</vt:lpstr>
      <vt:lpstr>Discounted cost_7years</vt:lpstr>
      <vt:lpstr>Discounted cost_15years</vt:lpstr>
      <vt:lpstr>Cost_SiteRural</vt:lpstr>
      <vt:lpstr>Cost_SiteUrban</vt:lpstr>
      <vt:lpstr>Composite cost scenarios</vt:lpstr>
      <vt:lpstr>Costs By HDA grouping</vt:lpstr>
      <vt:lpstr>Final OutputCosts ---&gt;</vt:lpstr>
      <vt:lpstr>FinalOutputTables</vt:lpstr>
      <vt:lpstr>'Discounted cost_7years'!annualised_equip_cost_hop_urban</vt:lpstr>
      <vt:lpstr>Cost_SiteRural!discount_rate</vt:lpstr>
      <vt:lpstr>Cost_SiteUrban!discount_rate</vt:lpstr>
      <vt:lpstr>'Discounted cost_15years'!discount_rate</vt:lpstr>
      <vt:lpstr>'Discounted cost_7years'!discount_rate</vt:lpstr>
      <vt:lpstr>Equipment</vt:lpstr>
      <vt:lpstr>Cost_SiteRural!equipment_capital</vt:lpstr>
      <vt:lpstr>Cost_SiteUrban!equipment_capital</vt:lpstr>
      <vt:lpstr>'Discounted cost_15years'!equipment_capital</vt:lpstr>
      <vt:lpstr>'Discounted cost_7years'!equipment_capital</vt:lpstr>
      <vt:lpstr>'Discounted cost_7years'!equipment_capital_ins</vt:lpstr>
      <vt:lpstr>equipment_capital_ins</vt:lpstr>
      <vt:lpstr>'Discounted cost_15years'!equipment_lifetime</vt:lpstr>
      <vt:lpstr>'Discounted cost_7years'!equipment_lifetime</vt:lpstr>
      <vt:lpstr>'Discounted cost_15years'!equipment_lifetime_15</vt:lpstr>
      <vt:lpstr>Cost_SiteRural!finance_rate</vt:lpstr>
      <vt:lpstr>Cost_SiteUrban!finance_rate</vt:lpstr>
      <vt:lpstr>'Discounted cost_15years'!finance_rate</vt:lpstr>
      <vt:lpstr>'Discounted cost_7years'!finance_rate</vt:lpstr>
      <vt:lpstr>'Discounted cost_15years'!npc_rural_hop</vt:lpstr>
      <vt:lpstr>'Discounted cost_7years'!npc_rural_hop</vt:lpstr>
      <vt:lpstr>'Discounted cost_15years'!npc_urban_hop</vt:lpstr>
      <vt:lpstr>'Discounted cost_7years'!npc_urban_hop</vt:lpstr>
      <vt:lpstr>per_infrastructure_cost</vt:lpstr>
      <vt:lpstr>per_installation_cost</vt:lpstr>
      <vt:lpstr>per_maintenance_cost</vt:lpstr>
      <vt:lpstr>Cost_SiteRural!rural_site_capital</vt:lpstr>
      <vt:lpstr>Cost_SiteUrban!rural_site_capital</vt:lpstr>
      <vt:lpstr>'Discounted cost_15years'!rural_site_capital</vt:lpstr>
      <vt:lpstr>'Discounted cost_7years'!rural_site_capital</vt:lpstr>
      <vt:lpstr>sitecost_rural</vt:lpstr>
      <vt:lpstr>sitecost_urban</vt:lpstr>
      <vt:lpstr>Cost_SiteRural!structure_lifetime</vt:lpstr>
      <vt:lpstr>Cost_SiteUrban!structure_lifetime</vt:lpstr>
      <vt:lpstr>'Discounted cost_15years'!structure_lifetime</vt:lpstr>
      <vt:lpstr>'Discounted cost_7years'!structure_lifetime</vt:lpstr>
      <vt:lpstr>Cost_SiteRural!time_horizon</vt:lpstr>
      <vt:lpstr>Cost_SiteUrban!time_horizon</vt:lpstr>
      <vt:lpstr>'Discounted cost_15years'!time_horizon</vt:lpstr>
      <vt:lpstr>'Discounted cost_7years'!time_horizon</vt:lpstr>
      <vt:lpstr>Cost_SiteRural!urban_site_capital</vt:lpstr>
      <vt:lpstr>Cost_SiteUrban!urban_site_capital</vt:lpstr>
      <vt:lpstr>'Discounted cost_15years'!urban_site_capital</vt:lpstr>
      <vt:lpstr>'Discounted cost_7years'!urban_site_capital</vt:lpstr>
      <vt:lpstr>Workbook.Title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2022-05-27T12:07:44Z</dcterms:created>
  <dcterms:modified xsi:type="dcterms:W3CDTF">2022-05-27T12:11:26Z</dcterms:modified>
</cp:coreProperties>
</file>