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defaultThemeVersion="166925"/>
  <xr:revisionPtr revIDLastSave="0" documentId="13_ncr:1_{D12748F9-7E25-4C32-9E5C-A5D8B6E035F4}" xr6:coauthVersionLast="47" xr6:coauthVersionMax="47" xr10:uidLastSave="{00000000-0000-0000-0000-000000000000}"/>
  <bookViews>
    <workbookView xWindow="-98" yWindow="-98" windowWidth="21795" windowHeight="13875" tabRatio="797" firstSheet="5" activeTab="11" xr2:uid="{EB5B80FB-B168-4D64-8701-D18D8BA9540E}"/>
  </bookViews>
  <sheets>
    <sheet name="Contents" sheetId="53" r:id="rId1"/>
    <sheet name="Style Guideline" sheetId="52" r:id="rId2"/>
    <sheet name="Outputs" sheetId="22" r:id="rId3"/>
    <sheet name="Total costs and revenues" sheetId="44" r:id="rId4"/>
    <sheet name="Total costs and revenues 2026" sheetId="29" r:id="rId5"/>
    <sheet name="Total costs and revenues 2021" sheetId="39" r:id="rId6"/>
    <sheet name="Copper inputs --&gt;" sheetId="11" r:id="rId7"/>
    <sheet name="Copper Weighted Price" sheetId="27" r:id="rId8"/>
    <sheet name="Top Down inputs" sheetId="10" r:id="rId9"/>
    <sheet name="Re-scaled copper costs" sheetId="51" r:id="rId10"/>
    <sheet name="Additional &gt;&gt;" sheetId="34" r:id="rId11"/>
    <sheet name="Fibre Premium Calculation" sheetId="50" r:id="rId12"/>
  </sheets>
  <externalReferences>
    <externalReference r:id="rId13"/>
    <externalReference r:id="rId14"/>
    <externalReference r:id="rId15"/>
    <externalReference r:id="rId16"/>
  </externalReferences>
  <definedNames>
    <definedName name="Activity1">'[1]Auto-Switch CPS variant'!$A$9</definedName>
    <definedName name="Activity10">'[1]Auto-Switch CPS variant'!$A$63</definedName>
    <definedName name="Activity11">'[1]Auto-Switch CPS variant'!$A$70</definedName>
    <definedName name="Activity12">'[1]Auto-Switch CPS variant'!$A$75</definedName>
    <definedName name="Activity13">'[1]Auto-Switch CPS variant'!$A$80</definedName>
    <definedName name="Activity14">'[1]Auto-Switch CPS variant'!$A$85</definedName>
    <definedName name="Activity2">'[1]Auto-Switch CPS variant'!$A$14</definedName>
    <definedName name="Activity3">'[1]Auto-Switch CPS variant'!$A$23</definedName>
    <definedName name="Activity4">'[1]Auto-Switch CPS variant'!$A$28</definedName>
    <definedName name="Activity5">'[1]Auto-Switch CPS variant'!$A$31</definedName>
    <definedName name="Activity6">'[1]Auto-Switch CPS variant'!$A$34</definedName>
    <definedName name="Activity7">'[1]Auto-Switch CPS variant'!$A$42</definedName>
    <definedName name="Activity8">'[1]Auto-Switch CPS variant'!$A$50</definedName>
    <definedName name="Activity9">'[1]Auto-Switch CPS variant'!$A$58</definedName>
    <definedName name="CIQWBGuid" hidden="1">"DCF Area 3 RAB v3.xlsx"</definedName>
    <definedName name="cost_savings">#REF!</definedName>
    <definedName name="CRM_stack">'[1]MP cost summary'!$Q$16</definedName>
    <definedName name="CVE_FTTC" localSheetId="7">'Copper Weighted Price'!$B$13</definedName>
    <definedName name="CVE_FTTC">#REF!</definedName>
    <definedName name="CVE_Legacy" localSheetId="7">'Copper Weighted Price'!$B$12</definedName>
    <definedName name="CVE_Legacy">#REF!</definedName>
    <definedName name="deployment_bands">'[2]RAB calc - cumulative'!$C$23:$K$23</definedName>
    <definedName name="Fcast_CPI" localSheetId="7">'Copper Weighted Price'!$B$11</definedName>
    <definedName name="Fcast_CPI">#REF!</definedName>
    <definedName name="Fibre_takeup">#REF!</definedName>
    <definedName name="GPLActivity1">[1]GPL!$A$9</definedName>
    <definedName name="GPLActivity10">[1]GPL!$A$69</definedName>
    <definedName name="GPLActivity11">[1]GPL!$A$74</definedName>
    <definedName name="GPLActivity12">[1]GPL!$A$81</definedName>
    <definedName name="GPLActivity13">[1]GPL!$A$86</definedName>
    <definedName name="GPLActivity14">[1]GPL!$A$91</definedName>
    <definedName name="GPLActivity15">[1]GPL!$A$96</definedName>
    <definedName name="GPLActivity16">[1]GPL!#REF!</definedName>
    <definedName name="GPLActivity17">[1]GPL!#REF!</definedName>
    <definedName name="GPLActivity18">[1]GPL!#REF!</definedName>
    <definedName name="GPLActivity2">[1]GPL!$A$20</definedName>
    <definedName name="GPLActivity3">[1]GPL!$A$24</definedName>
    <definedName name="GPLActivity4">[1]GPL!$A$33</definedName>
    <definedName name="GPLActivity5">[1]GPL!$A$39</definedName>
    <definedName name="GPLActivity6">[1]GPL!$A$42</definedName>
    <definedName name="GPLActivity7">[1]GPL!$A$45</definedName>
    <definedName name="GPLActivity8">[1]GPL!$A$53</definedName>
    <definedName name="GPLActivity9">[1]GPL!$A$61</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loading_factor">'[1]Salary . staff rates'!$B$33</definedName>
    <definedName name="million">1000000</definedName>
    <definedName name="months_in_year">12</definedName>
    <definedName name="NPV_central">#REF!</definedName>
    <definedName name="NPV_high">#REF!</definedName>
    <definedName name="NPV_low">#REF!</definedName>
    <definedName name="passthrough">'[2]RAB calc - cumulative'!$C$8</definedName>
    <definedName name="percent_recovery_preswitch">'[2]RAB calc - cumulative'!$C$10</definedName>
    <definedName name="scenario_choice">'[1]MP cost summary'!$E$15</definedName>
    <definedName name="sensitivity">'[1]Control panel'!$B$7</definedName>
    <definedName name="switchoff_year">'[2]RAB calc - cumulative'!$C$6</definedName>
    <definedName name="TD_service_codes">'Top Down inputs'!$A$5:$A$44</definedName>
    <definedName name="total_lines">'[2]RAB calc - cumulative'!$C$14</definedName>
    <definedName name="wacc">'[2]RAB calc - cumulative'!$C$12</definedName>
    <definedName name="wacc_copper">#REF!</definedName>
    <definedName name="wacc_fibre">#REF!</definedName>
    <definedName name="WLA_Opex_Efficiency" localSheetId="7">'Copper Weighted Price'!$B$14</definedName>
    <definedName name="WLA_Opex_Efficiency">#REF!</definedName>
    <definedName name="working_days">'[1]Salary . staff rates'!$B$31</definedName>
  </definedNames>
  <calcPr calcId="191029" calcMode="manual"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8" i="27" l="1"/>
  <c r="F148" i="27"/>
  <c r="G148" i="27"/>
  <c r="E149" i="27"/>
  <c r="F149" i="27"/>
  <c r="G149" i="27"/>
  <c r="E150" i="27"/>
  <c r="F150" i="27"/>
  <c r="G150" i="27"/>
  <c r="E151" i="27"/>
  <c r="F151" i="27"/>
  <c r="G151" i="27"/>
  <c r="E152" i="27"/>
  <c r="F152" i="27"/>
  <c r="G152" i="27"/>
  <c r="E153" i="27"/>
  <c r="F153" i="27"/>
  <c r="G153" i="27"/>
  <c r="E154" i="27"/>
  <c r="F154" i="27"/>
  <c r="G154" i="27"/>
  <c r="E155" i="27"/>
  <c r="F155" i="27"/>
  <c r="G155" i="27"/>
  <c r="E156" i="27"/>
  <c r="F156" i="27"/>
  <c r="G156" i="27"/>
  <c r="E157" i="27"/>
  <c r="F157" i="27"/>
  <c r="G157" i="27"/>
  <c r="E158" i="27"/>
  <c r="F158" i="27"/>
  <c r="G158" i="27"/>
  <c r="E159" i="27"/>
  <c r="F159" i="27"/>
  <c r="G159" i="27"/>
  <c r="E160" i="27"/>
  <c r="F160" i="27"/>
  <c r="G160" i="27"/>
  <c r="E161" i="27"/>
  <c r="F161" i="27"/>
  <c r="G161" i="27"/>
  <c r="E162" i="27"/>
  <c r="F162" i="27"/>
  <c r="G162" i="27"/>
  <c r="E163" i="27"/>
  <c r="F163" i="27"/>
  <c r="G163" i="27"/>
  <c r="E164" i="27"/>
  <c r="F164" i="27"/>
  <c r="G164" i="27"/>
  <c r="E165" i="27"/>
  <c r="F165" i="27"/>
  <c r="G165" i="27"/>
  <c r="E166" i="27"/>
  <c r="F166" i="27"/>
  <c r="G166" i="27"/>
  <c r="E167" i="27"/>
  <c r="F167" i="27"/>
  <c r="G167" i="27"/>
  <c r="E168" i="27"/>
  <c r="F168" i="27"/>
  <c r="G168" i="27"/>
  <c r="E169" i="27"/>
  <c r="F169" i="27"/>
  <c r="G169" i="27"/>
  <c r="E170" i="27"/>
  <c r="F170" i="27"/>
  <c r="G170" i="27"/>
  <c r="E171" i="27"/>
  <c r="F171" i="27"/>
  <c r="G171" i="27"/>
  <c r="E172" i="27"/>
  <c r="F172" i="27"/>
  <c r="G172" i="27"/>
  <c r="E173" i="27"/>
  <c r="F173" i="27"/>
  <c r="G173" i="27"/>
  <c r="E174" i="27"/>
  <c r="F174" i="27"/>
  <c r="G174" i="27"/>
  <c r="E175" i="27"/>
  <c r="F175" i="27"/>
  <c r="G175" i="27"/>
  <c r="E176" i="27"/>
  <c r="F176" i="27"/>
  <c r="G176" i="27"/>
  <c r="E177" i="27"/>
  <c r="F177" i="27"/>
  <c r="G177" i="27"/>
  <c r="E178" i="27"/>
  <c r="F178" i="27"/>
  <c r="G178" i="27"/>
  <c r="E179" i="27"/>
  <c r="F179" i="27"/>
  <c r="G179" i="27"/>
  <c r="E180" i="27"/>
  <c r="F180" i="27"/>
  <c r="G180" i="27"/>
  <c r="E181" i="27"/>
  <c r="F181" i="27"/>
  <c r="G181" i="27"/>
  <c r="E182" i="27"/>
  <c r="F182" i="27"/>
  <c r="G182" i="27"/>
  <c r="E183" i="27"/>
  <c r="F183" i="27"/>
  <c r="G183" i="27"/>
  <c r="E184" i="27"/>
  <c r="F184" i="27"/>
  <c r="G184" i="27"/>
  <c r="E185" i="27"/>
  <c r="F185" i="27"/>
  <c r="G185" i="27"/>
  <c r="E186" i="27"/>
  <c r="F186" i="27"/>
  <c r="G186" i="27"/>
  <c r="E187" i="27"/>
  <c r="F187" i="27"/>
  <c r="G187" i="27"/>
  <c r="E106" i="27"/>
  <c r="F106" i="27"/>
  <c r="G106" i="27"/>
  <c r="E107" i="27"/>
  <c r="F107" i="27"/>
  <c r="G107" i="27"/>
  <c r="E108" i="27"/>
  <c r="F108" i="27"/>
  <c r="G108" i="27"/>
  <c r="E109" i="27"/>
  <c r="F109" i="27"/>
  <c r="G109" i="27"/>
  <c r="E110" i="27"/>
  <c r="F110" i="27"/>
  <c r="G110" i="27"/>
  <c r="E111" i="27"/>
  <c r="F111" i="27"/>
  <c r="G111" i="27"/>
  <c r="E112" i="27"/>
  <c r="F112" i="27"/>
  <c r="G112" i="27"/>
  <c r="E113" i="27"/>
  <c r="F113" i="27"/>
  <c r="G113" i="27"/>
  <c r="E114" i="27"/>
  <c r="F114" i="27"/>
  <c r="G114" i="27"/>
  <c r="E115" i="27"/>
  <c r="F115" i="27"/>
  <c r="G115" i="27"/>
  <c r="E116" i="27"/>
  <c r="F116" i="27"/>
  <c r="G116" i="27"/>
  <c r="E117" i="27"/>
  <c r="F117" i="27"/>
  <c r="G117" i="27"/>
  <c r="E118" i="27"/>
  <c r="F118" i="27"/>
  <c r="G118" i="27"/>
  <c r="E119" i="27"/>
  <c r="F119" i="27"/>
  <c r="G119" i="27"/>
  <c r="E120" i="27"/>
  <c r="F120" i="27"/>
  <c r="G120" i="27"/>
  <c r="E121" i="27"/>
  <c r="F121" i="27"/>
  <c r="G121" i="27"/>
  <c r="E122" i="27"/>
  <c r="F122" i="27"/>
  <c r="G122" i="27"/>
  <c r="E123" i="27"/>
  <c r="F123" i="27"/>
  <c r="G123" i="27"/>
  <c r="E124" i="27"/>
  <c r="F124" i="27"/>
  <c r="G124" i="27"/>
  <c r="E125" i="27"/>
  <c r="F125" i="27"/>
  <c r="G125" i="27"/>
  <c r="E126" i="27"/>
  <c r="F126" i="27"/>
  <c r="G126" i="27"/>
  <c r="E127" i="27"/>
  <c r="F127" i="27"/>
  <c r="G127" i="27"/>
  <c r="E128" i="27"/>
  <c r="F128" i="27"/>
  <c r="G128" i="27"/>
  <c r="E129" i="27"/>
  <c r="F129" i="27"/>
  <c r="G129" i="27"/>
  <c r="E130" i="27"/>
  <c r="F130" i="27"/>
  <c r="G130" i="27"/>
  <c r="E131" i="27"/>
  <c r="F131" i="27"/>
  <c r="G131" i="27"/>
  <c r="E132" i="27"/>
  <c r="F132" i="27"/>
  <c r="G132" i="27"/>
  <c r="E133" i="27"/>
  <c r="F133" i="27"/>
  <c r="G133" i="27"/>
  <c r="E134" i="27"/>
  <c r="F134" i="27"/>
  <c r="G134" i="27"/>
  <c r="E135" i="27"/>
  <c r="F135" i="27"/>
  <c r="G135" i="27"/>
  <c r="E136" i="27"/>
  <c r="F136" i="27"/>
  <c r="G136" i="27"/>
  <c r="E137" i="27"/>
  <c r="F137" i="27"/>
  <c r="G137" i="27"/>
  <c r="E138" i="27"/>
  <c r="F138" i="27"/>
  <c r="G138" i="27"/>
  <c r="E139" i="27"/>
  <c r="F139" i="27"/>
  <c r="G139" i="27"/>
  <c r="E140" i="27"/>
  <c r="F140" i="27"/>
  <c r="G140" i="27"/>
  <c r="E141" i="27"/>
  <c r="F141" i="27"/>
  <c r="G141" i="27"/>
  <c r="E142" i="27"/>
  <c r="F142" i="27"/>
  <c r="G142" i="27"/>
  <c r="E143" i="27"/>
  <c r="F143" i="27"/>
  <c r="G143" i="27"/>
  <c r="E144" i="27"/>
  <c r="F144" i="27"/>
  <c r="G144" i="27"/>
  <c r="E145" i="27"/>
  <c r="F145" i="27"/>
  <c r="G145" i="27"/>
  <c r="B143" i="10" l="1"/>
  <c r="C2" i="51"/>
  <c r="E94" i="10"/>
  <c r="D94" i="10"/>
  <c r="C94" i="10"/>
  <c r="E93" i="10"/>
  <c r="D93" i="10"/>
  <c r="C93" i="10"/>
  <c r="E92" i="10"/>
  <c r="D92" i="10"/>
  <c r="C92" i="10"/>
  <c r="F89" i="10"/>
  <c r="E89" i="10"/>
  <c r="D89" i="10"/>
  <c r="F88" i="10"/>
  <c r="E88" i="10"/>
  <c r="D88" i="10"/>
  <c r="F87" i="10"/>
  <c r="E87" i="10"/>
  <c r="D87" i="10"/>
  <c r="F86" i="10"/>
  <c r="E86" i="10"/>
  <c r="D86" i="10"/>
  <c r="F85" i="10"/>
  <c r="E85" i="10"/>
  <c r="D85" i="10"/>
  <c r="F84" i="10"/>
  <c r="E84" i="10"/>
  <c r="D84" i="10"/>
  <c r="F83" i="10"/>
  <c r="E83" i="10"/>
  <c r="D83" i="10"/>
  <c r="F82" i="10"/>
  <c r="E82" i="10"/>
  <c r="D82" i="10"/>
  <c r="F81" i="10"/>
  <c r="E81" i="10"/>
  <c r="D81" i="10"/>
  <c r="F80" i="10"/>
  <c r="E80" i="10"/>
  <c r="D80" i="10"/>
  <c r="F79" i="10"/>
  <c r="E79" i="10"/>
  <c r="D79" i="10"/>
  <c r="F78" i="10"/>
  <c r="E78" i="10"/>
  <c r="D78" i="10"/>
  <c r="F77" i="10"/>
  <c r="E77" i="10"/>
  <c r="D77" i="10"/>
  <c r="F76" i="10"/>
  <c r="E76" i="10"/>
  <c r="D76" i="10"/>
  <c r="F75" i="10"/>
  <c r="E75" i="10"/>
  <c r="D75" i="10"/>
  <c r="F74" i="10"/>
  <c r="E74" i="10"/>
  <c r="D74" i="10"/>
  <c r="F73" i="10"/>
  <c r="E73" i="10"/>
  <c r="D73" i="10"/>
  <c r="F72" i="10"/>
  <c r="E72" i="10"/>
  <c r="D72" i="10"/>
  <c r="F71" i="10"/>
  <c r="E71" i="10"/>
  <c r="D71" i="10"/>
  <c r="F70" i="10"/>
  <c r="E70" i="10"/>
  <c r="D70" i="10"/>
  <c r="F69" i="10"/>
  <c r="E69" i="10"/>
  <c r="D69" i="10"/>
  <c r="F68" i="10"/>
  <c r="E68" i="10"/>
  <c r="D68" i="10"/>
  <c r="F67" i="10"/>
  <c r="E67" i="10"/>
  <c r="D67" i="10"/>
  <c r="F66" i="10"/>
  <c r="E66" i="10"/>
  <c r="D66" i="10"/>
  <c r="F65" i="10"/>
  <c r="E65" i="10"/>
  <c r="D65" i="10"/>
  <c r="F64" i="10"/>
  <c r="E64" i="10"/>
  <c r="D64" i="10"/>
  <c r="F63" i="10"/>
  <c r="E63" i="10"/>
  <c r="D63" i="10"/>
  <c r="F62" i="10"/>
  <c r="E62" i="10"/>
  <c r="D62" i="10"/>
  <c r="F61" i="10"/>
  <c r="E61" i="10"/>
  <c r="D61" i="10"/>
  <c r="F60" i="10"/>
  <c r="E60" i="10"/>
  <c r="D60" i="10"/>
  <c r="F59" i="10"/>
  <c r="E59" i="10"/>
  <c r="D59" i="10"/>
  <c r="F58" i="10"/>
  <c r="E58" i="10"/>
  <c r="D58" i="10"/>
  <c r="F57" i="10"/>
  <c r="E57" i="10"/>
  <c r="D57" i="10"/>
  <c r="F56" i="10"/>
  <c r="E56" i="10"/>
  <c r="D56" i="10"/>
  <c r="F55" i="10"/>
  <c r="E55" i="10"/>
  <c r="D55" i="10"/>
  <c r="F54" i="10"/>
  <c r="E54" i="10"/>
  <c r="D54" i="10"/>
  <c r="F53" i="10"/>
  <c r="E53" i="10"/>
  <c r="D53" i="10"/>
  <c r="F52" i="10"/>
  <c r="E52" i="10"/>
  <c r="D52" i="10"/>
  <c r="F51" i="10"/>
  <c r="E51" i="10"/>
  <c r="D51" i="10"/>
  <c r="F50" i="10"/>
  <c r="E50" i="10"/>
  <c r="D50" i="10"/>
  <c r="F44" i="10"/>
  <c r="E44" i="10"/>
  <c r="D44" i="10"/>
  <c r="F43" i="10"/>
  <c r="E43" i="10"/>
  <c r="D43" i="10"/>
  <c r="F42" i="10"/>
  <c r="E42" i="10"/>
  <c r="D42" i="10"/>
  <c r="F41" i="10"/>
  <c r="E41" i="10"/>
  <c r="D41" i="10"/>
  <c r="F40" i="10"/>
  <c r="E40" i="10"/>
  <c r="D40" i="10"/>
  <c r="F39" i="10"/>
  <c r="E39" i="10"/>
  <c r="D39" i="10"/>
  <c r="F38" i="10"/>
  <c r="E38" i="10"/>
  <c r="D38" i="10"/>
  <c r="F37" i="10"/>
  <c r="E37" i="10"/>
  <c r="D37" i="10"/>
  <c r="F36" i="10"/>
  <c r="E36" i="10"/>
  <c r="D36" i="10"/>
  <c r="F35" i="10"/>
  <c r="E35" i="10"/>
  <c r="D35" i="10"/>
  <c r="F34" i="10"/>
  <c r="E34" i="10"/>
  <c r="D34" i="10"/>
  <c r="F33" i="10"/>
  <c r="E33" i="10"/>
  <c r="D33" i="10"/>
  <c r="F32" i="10"/>
  <c r="E32" i="10"/>
  <c r="D32" i="10"/>
  <c r="F31" i="10"/>
  <c r="E31" i="10"/>
  <c r="D31" i="10"/>
  <c r="F30" i="10"/>
  <c r="E30" i="10"/>
  <c r="D30" i="10"/>
  <c r="F29" i="10"/>
  <c r="E29" i="10"/>
  <c r="D29" i="10"/>
  <c r="F28" i="10"/>
  <c r="E28" i="10"/>
  <c r="D28" i="10"/>
  <c r="F27" i="10"/>
  <c r="E27" i="10"/>
  <c r="D27" i="10"/>
  <c r="F26" i="10"/>
  <c r="E26" i="10"/>
  <c r="D26" i="10"/>
  <c r="F25" i="10"/>
  <c r="E25" i="10"/>
  <c r="D25" i="10"/>
  <c r="F24" i="10"/>
  <c r="E24" i="10"/>
  <c r="D24" i="10"/>
  <c r="F23" i="10"/>
  <c r="E23" i="10"/>
  <c r="D23" i="10"/>
  <c r="F22" i="10"/>
  <c r="E22" i="10"/>
  <c r="D22" i="10"/>
  <c r="F21" i="10"/>
  <c r="E21" i="10"/>
  <c r="D21" i="10"/>
  <c r="F20" i="10"/>
  <c r="E20" i="10"/>
  <c r="D20" i="10"/>
  <c r="F19" i="10"/>
  <c r="E19" i="10"/>
  <c r="D19" i="10"/>
  <c r="F18" i="10"/>
  <c r="E18" i="10"/>
  <c r="D18" i="10"/>
  <c r="F17" i="10"/>
  <c r="E17" i="10"/>
  <c r="D17" i="10"/>
  <c r="F16" i="10"/>
  <c r="E16" i="10"/>
  <c r="D16" i="10"/>
  <c r="F15" i="10"/>
  <c r="E15" i="10"/>
  <c r="D15" i="10"/>
  <c r="F14" i="10"/>
  <c r="E14" i="10"/>
  <c r="D14" i="10"/>
  <c r="F13" i="10"/>
  <c r="E13" i="10"/>
  <c r="D13" i="10"/>
  <c r="F12" i="10"/>
  <c r="E12" i="10"/>
  <c r="D12" i="10"/>
  <c r="F11" i="10"/>
  <c r="E11" i="10"/>
  <c r="D11" i="10"/>
  <c r="F10" i="10"/>
  <c r="E10" i="10"/>
  <c r="D10" i="10"/>
  <c r="F9" i="10"/>
  <c r="E9" i="10"/>
  <c r="D9" i="10"/>
  <c r="F8" i="10"/>
  <c r="E8" i="10"/>
  <c r="D8" i="10"/>
  <c r="F7" i="10"/>
  <c r="E7" i="10"/>
  <c r="D7" i="10"/>
  <c r="F6" i="10"/>
  <c r="E6" i="10"/>
  <c r="D6" i="10"/>
  <c r="F5" i="10"/>
  <c r="E5" i="10"/>
  <c r="D5" i="10"/>
  <c r="U94" i="10" l="1"/>
  <c r="R113" i="39" l="1"/>
  <c r="S113" i="39"/>
  <c r="T113" i="39"/>
  <c r="U113" i="39"/>
  <c r="V113" i="39"/>
  <c r="B4" i="51" l="1" a="1"/>
  <c r="F90" i="51"/>
  <c r="G90" i="51"/>
  <c r="H90" i="51"/>
  <c r="I90" i="51"/>
  <c r="J90" i="51"/>
  <c r="K90" i="51"/>
  <c r="L90" i="51"/>
  <c r="M90" i="51"/>
  <c r="E90" i="51"/>
  <c r="G37" i="51" l="1"/>
  <c r="G29" i="51"/>
  <c r="G21" i="51"/>
  <c r="G13" i="51"/>
  <c r="G5" i="51"/>
  <c r="G36" i="51"/>
  <c r="G28" i="51"/>
  <c r="G20" i="51"/>
  <c r="G12" i="51"/>
  <c r="G43" i="51"/>
  <c r="G35" i="51"/>
  <c r="G27" i="51"/>
  <c r="G19" i="51"/>
  <c r="G11" i="51"/>
  <c r="G42" i="51"/>
  <c r="G34" i="51"/>
  <c r="G26" i="51"/>
  <c r="G18" i="51"/>
  <c r="G10" i="51"/>
  <c r="G41" i="51"/>
  <c r="G33" i="51"/>
  <c r="G25" i="51"/>
  <c r="G17" i="51"/>
  <c r="G9" i="51"/>
  <c r="G40" i="51"/>
  <c r="G32" i="51"/>
  <c r="G24" i="51"/>
  <c r="G16" i="51"/>
  <c r="G8" i="51"/>
  <c r="G39" i="51"/>
  <c r="G31" i="51"/>
  <c r="G23" i="51"/>
  <c r="G15" i="51"/>
  <c r="G7" i="51"/>
  <c r="G38" i="51"/>
  <c r="G30" i="51"/>
  <c r="G22" i="51"/>
  <c r="G14" i="51"/>
  <c r="G6" i="51"/>
  <c r="B4" i="51"/>
  <c r="G4" i="51" s="1"/>
  <c r="K27" i="50"/>
  <c r="L27" i="50"/>
  <c r="M27" i="50"/>
  <c r="N27" i="50"/>
  <c r="O27" i="50"/>
  <c r="L28" i="50"/>
  <c r="M28" i="50"/>
  <c r="N28" i="50"/>
  <c r="O28" i="50"/>
  <c r="Q28" i="50" l="1"/>
  <c r="K28" i="50" s="1"/>
  <c r="Q27" i="50"/>
  <c r="H8" i="39" l="1"/>
  <c r="S98" i="10" l="1" a="1"/>
  <c r="S98" i="10" l="1"/>
  <c r="L20" i="50" l="1"/>
  <c r="M20" i="50"/>
  <c r="N20" i="50"/>
  <c r="O20" i="50"/>
  <c r="L21" i="50"/>
  <c r="M21" i="50"/>
  <c r="N21" i="50"/>
  <c r="O21" i="50"/>
  <c r="L22" i="50"/>
  <c r="M22" i="50"/>
  <c r="N22" i="50"/>
  <c r="O22" i="50"/>
  <c r="L23" i="50"/>
  <c r="M23" i="50"/>
  <c r="N23" i="50"/>
  <c r="O23" i="50"/>
  <c r="L24" i="50"/>
  <c r="M24" i="50"/>
  <c r="N24" i="50"/>
  <c r="O24" i="50"/>
  <c r="L25" i="50"/>
  <c r="M25" i="50"/>
  <c r="N25" i="50"/>
  <c r="O25" i="50"/>
  <c r="L26" i="50"/>
  <c r="M26" i="50"/>
  <c r="N26" i="50"/>
  <c r="O26" i="50"/>
  <c r="M19" i="50"/>
  <c r="N19" i="50"/>
  <c r="O19" i="50"/>
  <c r="L19" i="50"/>
  <c r="L6" i="50"/>
  <c r="M6" i="50"/>
  <c r="N6" i="50"/>
  <c r="L7" i="50"/>
  <c r="M7" i="50"/>
  <c r="N7" i="50"/>
  <c r="L8" i="50"/>
  <c r="M8" i="50"/>
  <c r="N8" i="50"/>
  <c r="L9" i="50"/>
  <c r="M9" i="50"/>
  <c r="N9" i="50"/>
  <c r="L10" i="50"/>
  <c r="M10" i="50"/>
  <c r="N10" i="50"/>
  <c r="L11" i="50"/>
  <c r="M11" i="50"/>
  <c r="N11" i="50"/>
  <c r="L12" i="50"/>
  <c r="M12" i="50"/>
  <c r="N12" i="50"/>
  <c r="M5" i="50"/>
  <c r="N5" i="50"/>
  <c r="L5" i="50"/>
  <c r="I143" i="29"/>
  <c r="D50" i="50" l="1"/>
  <c r="J36" i="50"/>
  <c r="J40" i="50"/>
  <c r="J44" i="50"/>
  <c r="J37" i="50"/>
  <c r="J41" i="50"/>
  <c r="J45" i="50"/>
  <c r="J42" i="50"/>
  <c r="J38" i="50"/>
  <c r="J39" i="50"/>
  <c r="J43" i="50"/>
  <c r="K44" i="50"/>
  <c r="K42" i="50"/>
  <c r="K36" i="50"/>
  <c r="K40" i="50"/>
  <c r="K37" i="50"/>
  <c r="K41" i="50"/>
  <c r="K45" i="50"/>
  <c r="K38" i="50"/>
  <c r="K39" i="50"/>
  <c r="K43" i="50"/>
  <c r="I36" i="50"/>
  <c r="I37" i="50"/>
  <c r="I41" i="50"/>
  <c r="I45" i="50"/>
  <c r="I38" i="50"/>
  <c r="I42" i="50"/>
  <c r="I40" i="50"/>
  <c r="I39" i="50"/>
  <c r="I43" i="50"/>
  <c r="I44" i="50"/>
  <c r="H40" i="50"/>
  <c r="H41" i="50"/>
  <c r="H36" i="50"/>
  <c r="H45" i="50"/>
  <c r="H43" i="50"/>
  <c r="H44" i="50"/>
  <c r="H39" i="50"/>
  <c r="H42" i="50"/>
  <c r="H37" i="50"/>
  <c r="H38" i="50"/>
  <c r="F50" i="50"/>
  <c r="E50" i="50"/>
  <c r="Q19" i="50"/>
  <c r="K19" i="50" s="1"/>
  <c r="Q20" i="50"/>
  <c r="K20" i="50" s="1"/>
  <c r="Q24" i="50"/>
  <c r="K24" i="50" s="1"/>
  <c r="P7" i="50"/>
  <c r="K7" i="50" s="1"/>
  <c r="Q21" i="50"/>
  <c r="K21" i="50" s="1"/>
  <c r="P6" i="50"/>
  <c r="K6" i="50" s="1"/>
  <c r="Q25" i="50"/>
  <c r="K25" i="50" s="1"/>
  <c r="Q22" i="50"/>
  <c r="K22" i="50" s="1"/>
  <c r="Q23" i="50"/>
  <c r="K23" i="50" s="1"/>
  <c r="Q26" i="50"/>
  <c r="K26" i="50" s="1"/>
  <c r="P10" i="50"/>
  <c r="K10" i="50" s="1"/>
  <c r="P8" i="50"/>
  <c r="K8" i="50" s="1"/>
  <c r="P12" i="50"/>
  <c r="K12" i="50" s="1"/>
  <c r="P5" i="50"/>
  <c r="K5" i="50" s="1"/>
  <c r="P11" i="50"/>
  <c r="K11" i="50" s="1"/>
  <c r="P9" i="50"/>
  <c r="K9" i="50" s="1"/>
  <c r="H50" i="50" l="1"/>
  <c r="I50" i="50"/>
  <c r="K50" i="50"/>
  <c r="J50" i="50"/>
  <c r="G50" i="50"/>
  <c r="C50" i="50"/>
  <c r="B14" i="27" l="1" a="1"/>
  <c r="B14" i="27" s="1"/>
  <c r="E128" i="39" l="1"/>
  <c r="C129" i="39"/>
  <c r="C67" i="29" l="1"/>
  <c r="D67" i="29"/>
  <c r="E67" i="29"/>
  <c r="F67" i="29"/>
  <c r="G67" i="29"/>
  <c r="H67" i="29"/>
  <c r="I67" i="29"/>
  <c r="J67" i="29"/>
  <c r="K67" i="29"/>
  <c r="L67" i="29"/>
  <c r="M67" i="29"/>
  <c r="N67" i="29"/>
  <c r="O67" i="29"/>
  <c r="P67" i="29"/>
  <c r="Q67" i="29"/>
  <c r="R67" i="29"/>
  <c r="S67" i="29"/>
  <c r="T67" i="29"/>
  <c r="U67" i="29"/>
  <c r="V67" i="29"/>
  <c r="C68" i="29"/>
  <c r="D68" i="29"/>
  <c r="E68" i="29"/>
  <c r="F68" i="29"/>
  <c r="G68" i="29"/>
  <c r="H68" i="29"/>
  <c r="I68" i="29"/>
  <c r="J68" i="29"/>
  <c r="K68" i="29"/>
  <c r="L68" i="29"/>
  <c r="M68" i="29"/>
  <c r="N68" i="29"/>
  <c r="O68" i="29"/>
  <c r="P68" i="29"/>
  <c r="Q68" i="29"/>
  <c r="R68" i="29"/>
  <c r="S68" i="29"/>
  <c r="T68" i="29"/>
  <c r="U68" i="29"/>
  <c r="V68" i="29"/>
  <c r="D285" i="29" l="1"/>
  <c r="E285" i="29"/>
  <c r="F285" i="29"/>
  <c r="C285" i="29"/>
  <c r="D276" i="29"/>
  <c r="E276" i="29"/>
  <c r="F276" i="29"/>
  <c r="C276" i="29"/>
  <c r="D265" i="29"/>
  <c r="E265" i="29"/>
  <c r="F265" i="29"/>
  <c r="C265" i="29"/>
  <c r="D256" i="29"/>
  <c r="E256" i="29"/>
  <c r="F256" i="29"/>
  <c r="C256" i="29"/>
  <c r="D245" i="29"/>
  <c r="E245" i="29"/>
  <c r="F245" i="29"/>
  <c r="C245" i="29"/>
  <c r="E236" i="29"/>
  <c r="F236" i="29"/>
  <c r="D236" i="29"/>
  <c r="C236" i="29"/>
  <c r="R316" i="29" l="1"/>
  <c r="S316" i="29"/>
  <c r="T316" i="29"/>
  <c r="U316" i="29"/>
  <c r="V316" i="29"/>
  <c r="R300" i="29"/>
  <c r="S300" i="29"/>
  <c r="T300" i="29"/>
  <c r="U300" i="29"/>
  <c r="V300" i="29"/>
  <c r="C256" i="39" l="1"/>
  <c r="R315" i="29"/>
  <c r="S315" i="29"/>
  <c r="T315" i="29"/>
  <c r="U315" i="29"/>
  <c r="V315" i="29"/>
  <c r="R299" i="29"/>
  <c r="S299" i="29"/>
  <c r="T299" i="29"/>
  <c r="U299" i="29"/>
  <c r="V299" i="29"/>
  <c r="D112" i="29"/>
  <c r="G128" i="29"/>
  <c r="F128" i="29"/>
  <c r="E128" i="29"/>
  <c r="D128" i="29"/>
  <c r="C128" i="29"/>
  <c r="E100" i="44" l="1"/>
  <c r="D100" i="44"/>
  <c r="F100" i="44"/>
  <c r="G100" i="44"/>
  <c r="H100" i="44"/>
  <c r="E106" i="44"/>
  <c r="E112" i="44" l="1"/>
  <c r="C129" i="29"/>
  <c r="D101" i="44" l="1"/>
  <c r="C112" i="39" l="1"/>
  <c r="D45" i="44" s="1"/>
  <c r="D129" i="29"/>
  <c r="V305" i="39"/>
  <c r="U305" i="39"/>
  <c r="T305" i="39"/>
  <c r="S305" i="39"/>
  <c r="R305" i="39"/>
  <c r="V296" i="39"/>
  <c r="U296" i="39"/>
  <c r="T296" i="39"/>
  <c r="S296" i="39"/>
  <c r="R296" i="39"/>
  <c r="V285" i="39"/>
  <c r="U285" i="39"/>
  <c r="T285" i="39"/>
  <c r="S285" i="39"/>
  <c r="R285" i="39"/>
  <c r="Q285" i="39"/>
  <c r="P285" i="39"/>
  <c r="O285" i="39"/>
  <c r="N285" i="39"/>
  <c r="M285" i="39"/>
  <c r="L285" i="39"/>
  <c r="K285" i="39"/>
  <c r="J285" i="39"/>
  <c r="I285" i="39"/>
  <c r="H285" i="39"/>
  <c r="G285" i="39"/>
  <c r="F285" i="39"/>
  <c r="E285" i="39"/>
  <c r="D285" i="39"/>
  <c r="C285" i="39"/>
  <c r="V276" i="39"/>
  <c r="U276" i="39"/>
  <c r="T276" i="39"/>
  <c r="S276" i="39"/>
  <c r="R276" i="39"/>
  <c r="Q276" i="39"/>
  <c r="P276" i="39"/>
  <c r="O276" i="39"/>
  <c r="N276" i="39"/>
  <c r="M276" i="39"/>
  <c r="L276" i="39"/>
  <c r="K276" i="39"/>
  <c r="J276" i="39"/>
  <c r="I276" i="39"/>
  <c r="H276" i="39"/>
  <c r="G276" i="39"/>
  <c r="F276" i="39"/>
  <c r="E276" i="39"/>
  <c r="D276" i="39"/>
  <c r="C276" i="39"/>
  <c r="V265" i="39"/>
  <c r="U265" i="39"/>
  <c r="T265" i="39"/>
  <c r="S265" i="39"/>
  <c r="R265" i="39"/>
  <c r="Q265" i="39"/>
  <c r="P265" i="39"/>
  <c r="O265" i="39"/>
  <c r="N265" i="39"/>
  <c r="M265" i="39"/>
  <c r="L265" i="39"/>
  <c r="K265" i="39"/>
  <c r="J265" i="39"/>
  <c r="I265" i="39"/>
  <c r="H265" i="39"/>
  <c r="G265" i="39"/>
  <c r="F265" i="39"/>
  <c r="E265" i="39"/>
  <c r="D265" i="39"/>
  <c r="C265" i="39"/>
  <c r="V256" i="39"/>
  <c r="U256" i="39"/>
  <c r="T256" i="39"/>
  <c r="S256" i="39"/>
  <c r="R256" i="39"/>
  <c r="Q256" i="39"/>
  <c r="P256" i="39"/>
  <c r="O256" i="39"/>
  <c r="N256" i="39"/>
  <c r="M256" i="39"/>
  <c r="L256" i="39"/>
  <c r="K256" i="39"/>
  <c r="J256" i="39"/>
  <c r="I256" i="39"/>
  <c r="H256" i="39"/>
  <c r="G256" i="39"/>
  <c r="F256" i="39"/>
  <c r="E256" i="39"/>
  <c r="D256" i="39"/>
  <c r="V245" i="39"/>
  <c r="U245" i="39"/>
  <c r="T245" i="39"/>
  <c r="S245" i="39"/>
  <c r="R245" i="39"/>
  <c r="Q245" i="39"/>
  <c r="P245" i="39"/>
  <c r="O245" i="39"/>
  <c r="N245" i="39"/>
  <c r="M245" i="39"/>
  <c r="L245" i="39"/>
  <c r="K245" i="39"/>
  <c r="J245" i="39"/>
  <c r="I245" i="39"/>
  <c r="H245" i="39"/>
  <c r="G245" i="39"/>
  <c r="F245" i="39"/>
  <c r="E245" i="39"/>
  <c r="D245" i="39"/>
  <c r="C245" i="39"/>
  <c r="V236" i="39"/>
  <c r="U236" i="39"/>
  <c r="T236" i="39"/>
  <c r="S236" i="39"/>
  <c r="R236" i="39"/>
  <c r="Q236" i="39"/>
  <c r="P236" i="39"/>
  <c r="O236" i="39"/>
  <c r="N236" i="39"/>
  <c r="M236" i="39"/>
  <c r="L236" i="39"/>
  <c r="K236" i="39"/>
  <c r="J236" i="39"/>
  <c r="I236" i="39"/>
  <c r="H236" i="39"/>
  <c r="G236" i="39"/>
  <c r="F236" i="39"/>
  <c r="E236" i="39"/>
  <c r="D236" i="39"/>
  <c r="C236" i="39"/>
  <c r="C139" i="39"/>
  <c r="D138" i="39"/>
  <c r="V129" i="39"/>
  <c r="U129" i="39"/>
  <c r="T129" i="39"/>
  <c r="U40" i="44" s="1"/>
  <c r="S129" i="39"/>
  <c r="R129" i="39"/>
  <c r="Q129" i="39"/>
  <c r="R40" i="44" s="1"/>
  <c r="P129" i="39"/>
  <c r="Q40" i="44" s="1"/>
  <c r="O129" i="39"/>
  <c r="P40" i="44" s="1"/>
  <c r="N129" i="39"/>
  <c r="O40" i="44" s="1"/>
  <c r="M129" i="39"/>
  <c r="N40" i="44" s="1"/>
  <c r="L129" i="39"/>
  <c r="M40" i="44" s="1"/>
  <c r="K129" i="39"/>
  <c r="L40" i="44" s="1"/>
  <c r="J129" i="39"/>
  <c r="K40" i="44" s="1"/>
  <c r="I129" i="39"/>
  <c r="J40" i="44" s="1"/>
  <c r="H129" i="39"/>
  <c r="I40" i="44" s="1"/>
  <c r="G129" i="39"/>
  <c r="H40" i="44" s="1"/>
  <c r="F129" i="39"/>
  <c r="G40" i="44" s="1"/>
  <c r="E129" i="39"/>
  <c r="F40" i="44" s="1"/>
  <c r="D129" i="39"/>
  <c r="E40" i="44" s="1"/>
  <c r="D40" i="44"/>
  <c r="V128" i="39"/>
  <c r="W39" i="44" s="1"/>
  <c r="U128" i="39"/>
  <c r="V39" i="44" s="1"/>
  <c r="T128" i="39"/>
  <c r="U39" i="44" s="1"/>
  <c r="S128" i="39"/>
  <c r="T39" i="44" s="1"/>
  <c r="R128" i="39"/>
  <c r="S39" i="44" s="1"/>
  <c r="Q128" i="39"/>
  <c r="R39" i="44" s="1"/>
  <c r="P128" i="39"/>
  <c r="Q39" i="44" s="1"/>
  <c r="O128" i="39"/>
  <c r="P39" i="44" s="1"/>
  <c r="N128" i="39"/>
  <c r="O39" i="44" s="1"/>
  <c r="M128" i="39"/>
  <c r="N39" i="44" s="1"/>
  <c r="L128" i="39"/>
  <c r="M39" i="44" s="1"/>
  <c r="K128" i="39"/>
  <c r="L39" i="44" s="1"/>
  <c r="J128" i="39"/>
  <c r="K39" i="44" s="1"/>
  <c r="I128" i="39"/>
  <c r="J39" i="44" s="1"/>
  <c r="H128" i="39"/>
  <c r="I39" i="44" s="1"/>
  <c r="G128" i="39"/>
  <c r="H39" i="44" s="1"/>
  <c r="F128" i="39"/>
  <c r="G39" i="44" s="1"/>
  <c r="F39" i="44"/>
  <c r="D128" i="39"/>
  <c r="E39" i="44" s="1"/>
  <c r="C128" i="39"/>
  <c r="D39" i="44" s="1"/>
  <c r="V112" i="39"/>
  <c r="W45" i="44" s="1"/>
  <c r="U112" i="39"/>
  <c r="V45" i="44" s="1"/>
  <c r="T112" i="39"/>
  <c r="U45" i="44" s="1"/>
  <c r="S112" i="39"/>
  <c r="T45" i="44" s="1"/>
  <c r="R112" i="39"/>
  <c r="S45" i="44" s="1"/>
  <c r="Q112" i="39"/>
  <c r="R45" i="44" s="1"/>
  <c r="P112" i="39"/>
  <c r="Q45" i="44" s="1"/>
  <c r="O112" i="39"/>
  <c r="P45" i="44" s="1"/>
  <c r="N112" i="39"/>
  <c r="O45" i="44" s="1"/>
  <c r="M112" i="39"/>
  <c r="N45" i="44" s="1"/>
  <c r="L112" i="39"/>
  <c r="M45" i="44" s="1"/>
  <c r="K112" i="39"/>
  <c r="L45" i="44" s="1"/>
  <c r="J112" i="39"/>
  <c r="K45" i="44" s="1"/>
  <c r="I112" i="39"/>
  <c r="J45" i="44" s="1"/>
  <c r="H112" i="39"/>
  <c r="I45" i="44" s="1"/>
  <c r="G112" i="39"/>
  <c r="H45" i="44" s="1"/>
  <c r="F112" i="39"/>
  <c r="G45" i="44" s="1"/>
  <c r="E112" i="39"/>
  <c r="F45" i="44" s="1"/>
  <c r="D112" i="39"/>
  <c r="E45" i="44" s="1"/>
  <c r="V90" i="39"/>
  <c r="U90" i="39"/>
  <c r="T90" i="39"/>
  <c r="S90" i="39"/>
  <c r="R90" i="39"/>
  <c r="Q90" i="39"/>
  <c r="P90" i="39"/>
  <c r="O90" i="39"/>
  <c r="N90" i="39"/>
  <c r="M90" i="39"/>
  <c r="L90" i="39"/>
  <c r="K90" i="39"/>
  <c r="J90" i="39"/>
  <c r="I90" i="39"/>
  <c r="H90" i="39"/>
  <c r="G90" i="39"/>
  <c r="F90" i="39"/>
  <c r="E90" i="39"/>
  <c r="D90" i="39"/>
  <c r="C90" i="39"/>
  <c r="V89" i="39"/>
  <c r="U89" i="39"/>
  <c r="T89" i="39"/>
  <c r="S89" i="39"/>
  <c r="R89" i="39"/>
  <c r="Q89" i="39"/>
  <c r="P89" i="39"/>
  <c r="O89" i="39"/>
  <c r="N89" i="39"/>
  <c r="M89" i="39"/>
  <c r="L89" i="39"/>
  <c r="K89" i="39"/>
  <c r="J89" i="39"/>
  <c r="I89" i="39"/>
  <c r="H89" i="39"/>
  <c r="G89" i="39"/>
  <c r="F89" i="39"/>
  <c r="E89" i="39"/>
  <c r="D89" i="39"/>
  <c r="C89" i="39"/>
  <c r="V88" i="39"/>
  <c r="U88" i="39"/>
  <c r="T88" i="39"/>
  <c r="S88" i="39"/>
  <c r="R88" i="39"/>
  <c r="Q88" i="39"/>
  <c r="P88" i="39"/>
  <c r="O88" i="39"/>
  <c r="N88" i="39"/>
  <c r="M88" i="39"/>
  <c r="L88" i="39"/>
  <c r="K88" i="39"/>
  <c r="J88" i="39"/>
  <c r="I88" i="39"/>
  <c r="H88" i="39"/>
  <c r="G88" i="39"/>
  <c r="F88" i="39"/>
  <c r="E88" i="39"/>
  <c r="E173" i="39" s="1"/>
  <c r="D88" i="39"/>
  <c r="C88" i="39"/>
  <c r="V87" i="39"/>
  <c r="U87" i="39"/>
  <c r="T87" i="39"/>
  <c r="S87" i="39"/>
  <c r="R87" i="39"/>
  <c r="Q87" i="39"/>
  <c r="P87" i="39"/>
  <c r="O87" i="39"/>
  <c r="N87" i="39"/>
  <c r="M87" i="39"/>
  <c r="L87" i="39"/>
  <c r="K87" i="39"/>
  <c r="J87" i="39"/>
  <c r="I87" i="39"/>
  <c r="H87" i="39"/>
  <c r="G87" i="39"/>
  <c r="F87" i="39"/>
  <c r="E87" i="39"/>
  <c r="D87" i="39"/>
  <c r="C87" i="39"/>
  <c r="V86" i="39"/>
  <c r="U86" i="39"/>
  <c r="U283" i="39" s="1"/>
  <c r="T86" i="39"/>
  <c r="S86" i="39"/>
  <c r="S274" i="39" s="1"/>
  <c r="R86" i="39"/>
  <c r="R274" i="39" s="1"/>
  <c r="Q86" i="39"/>
  <c r="Q283" i="39" s="1"/>
  <c r="P86" i="39"/>
  <c r="P274" i="39" s="1"/>
  <c r="O86" i="39"/>
  <c r="O283" i="39" s="1"/>
  <c r="N86" i="39"/>
  <c r="N283" i="39" s="1"/>
  <c r="M86" i="39"/>
  <c r="M274" i="39" s="1"/>
  <c r="L86" i="39"/>
  <c r="L283" i="39" s="1"/>
  <c r="K86" i="39"/>
  <c r="K283" i="39" s="1"/>
  <c r="J86" i="39"/>
  <c r="J283" i="39" s="1"/>
  <c r="I86" i="39"/>
  <c r="H86" i="39"/>
  <c r="G86" i="39"/>
  <c r="F86" i="39"/>
  <c r="F283" i="39" s="1"/>
  <c r="E86" i="39"/>
  <c r="E274" i="39" s="1"/>
  <c r="D86" i="39"/>
  <c r="D274" i="39" s="1"/>
  <c r="C86" i="39"/>
  <c r="C274" i="39" s="1"/>
  <c r="V85" i="39"/>
  <c r="U85" i="39"/>
  <c r="T85" i="39"/>
  <c r="S85" i="39"/>
  <c r="R85" i="39"/>
  <c r="Q85" i="39"/>
  <c r="P85" i="39"/>
  <c r="O85" i="39"/>
  <c r="N85" i="39"/>
  <c r="M85" i="39"/>
  <c r="L85" i="39"/>
  <c r="K85" i="39"/>
  <c r="J85" i="39"/>
  <c r="I85" i="39"/>
  <c r="H85" i="39"/>
  <c r="G85" i="39"/>
  <c r="F85" i="39"/>
  <c r="E85" i="39"/>
  <c r="D85" i="39"/>
  <c r="C85" i="39"/>
  <c r="B83" i="39"/>
  <c r="V81" i="39"/>
  <c r="U81" i="39"/>
  <c r="T81" i="39"/>
  <c r="S81" i="39"/>
  <c r="R81" i="39"/>
  <c r="Q81" i="39"/>
  <c r="P81" i="39"/>
  <c r="O81" i="39"/>
  <c r="N81" i="39"/>
  <c r="M81" i="39"/>
  <c r="L81" i="39"/>
  <c r="K81" i="39"/>
  <c r="J81" i="39"/>
  <c r="I81" i="39"/>
  <c r="H81" i="39"/>
  <c r="G81" i="39"/>
  <c r="F81" i="39"/>
  <c r="E81" i="39"/>
  <c r="D81" i="39"/>
  <c r="C81" i="39"/>
  <c r="V80" i="39"/>
  <c r="U80" i="39"/>
  <c r="T80" i="39"/>
  <c r="S80" i="39"/>
  <c r="R80" i="39"/>
  <c r="Q80" i="39"/>
  <c r="P80" i="39"/>
  <c r="O80" i="39"/>
  <c r="N80" i="39"/>
  <c r="M80" i="39"/>
  <c r="L80" i="39"/>
  <c r="K80" i="39"/>
  <c r="J80" i="39"/>
  <c r="I80" i="39"/>
  <c r="H80" i="39"/>
  <c r="G80" i="39"/>
  <c r="F80" i="39"/>
  <c r="E80" i="39"/>
  <c r="D80" i="39"/>
  <c r="C80" i="39"/>
  <c r="V79" i="39"/>
  <c r="U79" i="39"/>
  <c r="T79" i="39"/>
  <c r="S79" i="39"/>
  <c r="R79" i="39"/>
  <c r="Q79" i="39"/>
  <c r="P79" i="39"/>
  <c r="O79" i="39"/>
  <c r="N79" i="39"/>
  <c r="M79" i="39"/>
  <c r="L79" i="39"/>
  <c r="K79" i="39"/>
  <c r="J79" i="39"/>
  <c r="I79" i="39"/>
  <c r="H79" i="39"/>
  <c r="G79" i="39"/>
  <c r="F79" i="39"/>
  <c r="E79" i="39"/>
  <c r="D79" i="39"/>
  <c r="C79" i="39"/>
  <c r="V78" i="39"/>
  <c r="U78" i="39"/>
  <c r="T78" i="39"/>
  <c r="S78" i="39"/>
  <c r="R78" i="39"/>
  <c r="Q78" i="39"/>
  <c r="P78" i="39"/>
  <c r="O78" i="39"/>
  <c r="N78" i="39"/>
  <c r="M78" i="39"/>
  <c r="L78" i="39"/>
  <c r="K78" i="39"/>
  <c r="J78" i="39"/>
  <c r="I78" i="39"/>
  <c r="H78" i="39"/>
  <c r="G78" i="39"/>
  <c r="F78" i="39"/>
  <c r="E78" i="39"/>
  <c r="D78" i="39"/>
  <c r="C78" i="39"/>
  <c r="V77" i="39"/>
  <c r="V254" i="39" s="1"/>
  <c r="U77" i="39"/>
  <c r="T77" i="39"/>
  <c r="S77" i="39"/>
  <c r="S254" i="39" s="1"/>
  <c r="R77" i="39"/>
  <c r="R263" i="39" s="1"/>
  <c r="Q77" i="39"/>
  <c r="Q254" i="39" s="1"/>
  <c r="P77" i="39"/>
  <c r="P254" i="39" s="1"/>
  <c r="O77" i="39"/>
  <c r="O254" i="39" s="1"/>
  <c r="N77" i="39"/>
  <c r="N254" i="39" s="1"/>
  <c r="M77" i="39"/>
  <c r="M263" i="39" s="1"/>
  <c r="L77" i="39"/>
  <c r="L263" i="39" s="1"/>
  <c r="K77" i="39"/>
  <c r="K263" i="39" s="1"/>
  <c r="J77" i="39"/>
  <c r="J263" i="39" s="1"/>
  <c r="I77" i="39"/>
  <c r="H77" i="39"/>
  <c r="G77" i="39"/>
  <c r="G263" i="39" s="1"/>
  <c r="F77" i="39"/>
  <c r="F263" i="39" s="1"/>
  <c r="E77" i="39"/>
  <c r="D77" i="39"/>
  <c r="D254" i="39" s="1"/>
  <c r="C77" i="39"/>
  <c r="C263" i="39" s="1"/>
  <c r="V76" i="39"/>
  <c r="U76" i="39"/>
  <c r="T76" i="39"/>
  <c r="S76" i="39"/>
  <c r="R76" i="39"/>
  <c r="Q76" i="39"/>
  <c r="P76" i="39"/>
  <c r="O76" i="39"/>
  <c r="N76" i="39"/>
  <c r="M76" i="39"/>
  <c r="L76" i="39"/>
  <c r="K76" i="39"/>
  <c r="J76" i="39"/>
  <c r="I76" i="39"/>
  <c r="H76" i="39"/>
  <c r="G76" i="39"/>
  <c r="F76" i="39"/>
  <c r="E76" i="39"/>
  <c r="D76" i="39"/>
  <c r="C76" i="39"/>
  <c r="B74" i="39"/>
  <c r="V72" i="39"/>
  <c r="U72" i="39"/>
  <c r="T72" i="39"/>
  <c r="S72" i="39"/>
  <c r="R72" i="39"/>
  <c r="Q72" i="39"/>
  <c r="P72" i="39"/>
  <c r="O72" i="39"/>
  <c r="N72" i="39"/>
  <c r="M72" i="39"/>
  <c r="L72" i="39"/>
  <c r="K72" i="39"/>
  <c r="J72" i="39"/>
  <c r="I72" i="39"/>
  <c r="H72" i="39"/>
  <c r="G72" i="39"/>
  <c r="F72" i="39"/>
  <c r="E72" i="39"/>
  <c r="D72" i="39"/>
  <c r="C72" i="39"/>
  <c r="V71" i="39"/>
  <c r="U71" i="39"/>
  <c r="T71" i="39"/>
  <c r="S71" i="39"/>
  <c r="R71" i="39"/>
  <c r="Q71" i="39"/>
  <c r="P71" i="39"/>
  <c r="O71" i="39"/>
  <c r="N71" i="39"/>
  <c r="M71" i="39"/>
  <c r="L71" i="39"/>
  <c r="K71" i="39"/>
  <c r="J71" i="39"/>
  <c r="I71" i="39"/>
  <c r="H71" i="39"/>
  <c r="G71" i="39"/>
  <c r="F71" i="39"/>
  <c r="E71" i="39"/>
  <c r="D71" i="39"/>
  <c r="C71" i="39"/>
  <c r="V70" i="39"/>
  <c r="U70" i="39"/>
  <c r="T70" i="39"/>
  <c r="S70" i="39"/>
  <c r="R70" i="39"/>
  <c r="Q70" i="39"/>
  <c r="P70" i="39"/>
  <c r="O70" i="39"/>
  <c r="N70" i="39"/>
  <c r="M70" i="39"/>
  <c r="L70" i="39"/>
  <c r="K70" i="39"/>
  <c r="J70" i="39"/>
  <c r="I70" i="39"/>
  <c r="H70" i="39"/>
  <c r="G70" i="39"/>
  <c r="F70" i="39"/>
  <c r="E70" i="39"/>
  <c r="D70" i="39"/>
  <c r="C70" i="39"/>
  <c r="V69" i="39"/>
  <c r="U69" i="39"/>
  <c r="T69" i="39"/>
  <c r="S69" i="39"/>
  <c r="R69" i="39"/>
  <c r="Q69" i="39"/>
  <c r="P69" i="39"/>
  <c r="O69" i="39"/>
  <c r="N69" i="39"/>
  <c r="M69" i="39"/>
  <c r="L69" i="39"/>
  <c r="K69" i="39"/>
  <c r="J69" i="39"/>
  <c r="I69" i="39"/>
  <c r="H69" i="39"/>
  <c r="G69" i="39"/>
  <c r="F69" i="39"/>
  <c r="E69" i="39"/>
  <c r="D69" i="39"/>
  <c r="C69" i="39"/>
  <c r="V68" i="39"/>
  <c r="U68" i="39"/>
  <c r="T68" i="39"/>
  <c r="T243" i="39" s="1"/>
  <c r="S68" i="39"/>
  <c r="S243" i="39" s="1"/>
  <c r="R68" i="39"/>
  <c r="R243" i="39" s="1"/>
  <c r="Q68" i="39"/>
  <c r="Q234" i="39" s="1"/>
  <c r="P68" i="39"/>
  <c r="P243" i="39" s="1"/>
  <c r="O68" i="39"/>
  <c r="O243" i="39" s="1"/>
  <c r="N68" i="39"/>
  <c r="N234" i="39" s="1"/>
  <c r="M68" i="39"/>
  <c r="M234" i="39" s="1"/>
  <c r="L68" i="39"/>
  <c r="L234" i="39" s="1"/>
  <c r="K68" i="39"/>
  <c r="K243" i="39" s="1"/>
  <c r="J68" i="39"/>
  <c r="I68" i="39"/>
  <c r="H68" i="39"/>
  <c r="H243" i="39" s="1"/>
  <c r="G68" i="39"/>
  <c r="G243" i="39" s="1"/>
  <c r="F68" i="39"/>
  <c r="F243" i="39" s="1"/>
  <c r="E68" i="39"/>
  <c r="E234" i="39" s="1"/>
  <c r="D68" i="39"/>
  <c r="D234" i="39" s="1"/>
  <c r="C68" i="39"/>
  <c r="C234" i="39" s="1"/>
  <c r="V67" i="39"/>
  <c r="U67" i="39"/>
  <c r="T67" i="39"/>
  <c r="S67" i="39"/>
  <c r="R67" i="39"/>
  <c r="Q67" i="39"/>
  <c r="P67" i="39"/>
  <c r="O67" i="39"/>
  <c r="N67" i="39"/>
  <c r="M67" i="39"/>
  <c r="L67" i="39"/>
  <c r="K67" i="39"/>
  <c r="J67" i="39"/>
  <c r="I67" i="39"/>
  <c r="H67" i="39"/>
  <c r="G67" i="39"/>
  <c r="F67" i="39"/>
  <c r="E67" i="39"/>
  <c r="D67" i="39"/>
  <c r="C67" i="39"/>
  <c r="C92" i="39" s="1"/>
  <c r="B65" i="39"/>
  <c r="L33" i="39"/>
  <c r="K33" i="39"/>
  <c r="J33" i="39"/>
  <c r="I33" i="39"/>
  <c r="H33" i="39"/>
  <c r="G33" i="39"/>
  <c r="F33" i="39"/>
  <c r="E33" i="39"/>
  <c r="D33" i="39"/>
  <c r="C33" i="39"/>
  <c r="A7" i="39"/>
  <c r="C103" i="39" l="1"/>
  <c r="U173" i="39"/>
  <c r="N51" i="44"/>
  <c r="F51" i="44"/>
  <c r="R51" i="44"/>
  <c r="M51" i="44"/>
  <c r="H51" i="44"/>
  <c r="K51" i="44"/>
  <c r="T46" i="44"/>
  <c r="T47" i="44" s="1"/>
  <c r="T48" i="44" s="1"/>
  <c r="P51" i="44"/>
  <c r="W46" i="44"/>
  <c r="W47" i="44" s="1"/>
  <c r="W48" i="44" s="1"/>
  <c r="U46" i="44"/>
  <c r="U52" i="44" s="1"/>
  <c r="O51" i="44"/>
  <c r="V46" i="44"/>
  <c r="V47" i="44" s="1"/>
  <c r="V48" i="44" s="1"/>
  <c r="I51" i="44"/>
  <c r="S46" i="44"/>
  <c r="S47" i="44" s="1"/>
  <c r="S48" i="44" s="1"/>
  <c r="W51" i="44"/>
  <c r="R187" i="39"/>
  <c r="S40" i="44"/>
  <c r="E51" i="44"/>
  <c r="Q51" i="44"/>
  <c r="S207" i="39"/>
  <c r="T40" i="44"/>
  <c r="G51" i="44"/>
  <c r="S51" i="44"/>
  <c r="U197" i="39"/>
  <c r="V40" i="44"/>
  <c r="V207" i="39"/>
  <c r="W40" i="44"/>
  <c r="T51" i="44"/>
  <c r="U51" i="44"/>
  <c r="J51" i="44"/>
  <c r="V51" i="44"/>
  <c r="D51" i="44"/>
  <c r="L51" i="44"/>
  <c r="E101" i="44"/>
  <c r="D173" i="39"/>
  <c r="Q173" i="39"/>
  <c r="S173" i="39"/>
  <c r="L173" i="39"/>
  <c r="R173" i="39"/>
  <c r="H173" i="39"/>
  <c r="F163" i="39"/>
  <c r="E138" i="39"/>
  <c r="L163" i="39"/>
  <c r="I163" i="39"/>
  <c r="U163" i="39"/>
  <c r="F173" i="39"/>
  <c r="U92" i="39"/>
  <c r="Q152" i="39"/>
  <c r="I152" i="39"/>
  <c r="Q154" i="39"/>
  <c r="G172" i="39"/>
  <c r="S172" i="39"/>
  <c r="C153" i="39"/>
  <c r="O153" i="39"/>
  <c r="S154" i="39"/>
  <c r="M174" i="39"/>
  <c r="C163" i="39"/>
  <c r="J172" i="39"/>
  <c r="I173" i="39"/>
  <c r="E153" i="39"/>
  <c r="Q153" i="39"/>
  <c r="E163" i="39"/>
  <c r="Q163" i="39"/>
  <c r="D92" i="39"/>
  <c r="P92" i="39"/>
  <c r="I153" i="39"/>
  <c r="U153" i="39"/>
  <c r="H163" i="39"/>
  <c r="T163" i="39"/>
  <c r="I162" i="39"/>
  <c r="U162" i="39"/>
  <c r="M153" i="39"/>
  <c r="H164" i="39"/>
  <c r="K162" i="39"/>
  <c r="T234" i="39"/>
  <c r="O92" i="39"/>
  <c r="N153" i="39"/>
  <c r="E164" i="39"/>
  <c r="Q164" i="39"/>
  <c r="H172" i="39"/>
  <c r="D174" i="39"/>
  <c r="H153" i="39"/>
  <c r="T153" i="39"/>
  <c r="S163" i="39"/>
  <c r="M283" i="39"/>
  <c r="N243" i="39"/>
  <c r="M243" i="39"/>
  <c r="L153" i="39"/>
  <c r="O234" i="39"/>
  <c r="R114" i="39"/>
  <c r="V152" i="39"/>
  <c r="V172" i="39"/>
  <c r="F174" i="39"/>
  <c r="N173" i="39"/>
  <c r="E283" i="39"/>
  <c r="N152" i="39"/>
  <c r="J154" i="39"/>
  <c r="L172" i="39"/>
  <c r="U174" i="39"/>
  <c r="O172" i="39"/>
  <c r="G173" i="39"/>
  <c r="S164" i="39"/>
  <c r="S197" i="39"/>
  <c r="O263" i="39"/>
  <c r="J153" i="39"/>
  <c r="V153" i="39"/>
  <c r="E162" i="39"/>
  <c r="Q162" i="39"/>
  <c r="R207" i="39"/>
  <c r="Q263" i="39"/>
  <c r="J152" i="39"/>
  <c r="J162" i="39"/>
  <c r="G164" i="39"/>
  <c r="R283" i="39"/>
  <c r="E152" i="39"/>
  <c r="M154" i="39"/>
  <c r="C172" i="39"/>
  <c r="T114" i="39"/>
  <c r="S152" i="39"/>
  <c r="K153" i="39"/>
  <c r="C154" i="39"/>
  <c r="J163" i="39"/>
  <c r="V163" i="39"/>
  <c r="F164" i="39"/>
  <c r="E172" i="39"/>
  <c r="Q172" i="39"/>
  <c r="U207" i="39"/>
  <c r="D243" i="39"/>
  <c r="C254" i="39"/>
  <c r="S263" i="39"/>
  <c r="K163" i="39"/>
  <c r="P234" i="39"/>
  <c r="K152" i="39"/>
  <c r="L162" i="39"/>
  <c r="S92" i="39"/>
  <c r="H92" i="39"/>
  <c r="T92" i="39"/>
  <c r="D152" i="39"/>
  <c r="P152" i="39"/>
  <c r="L154" i="39"/>
  <c r="C162" i="39"/>
  <c r="O162" i="39"/>
  <c r="G163" i="39"/>
  <c r="C164" i="39"/>
  <c r="O164" i="39"/>
  <c r="N172" i="39"/>
  <c r="J174" i="39"/>
  <c r="V174" i="39"/>
  <c r="S114" i="39"/>
  <c r="R154" i="39"/>
  <c r="Q274" i="39"/>
  <c r="I92" i="39"/>
  <c r="R152" i="39"/>
  <c r="N163" i="39"/>
  <c r="V187" i="39"/>
  <c r="K274" i="39"/>
  <c r="G152" i="39"/>
  <c r="G154" i="39"/>
  <c r="F162" i="39"/>
  <c r="R162" i="39"/>
  <c r="R164" i="39"/>
  <c r="R234" i="39"/>
  <c r="E243" i="39"/>
  <c r="C283" i="39"/>
  <c r="M92" i="39"/>
  <c r="F172" i="39"/>
  <c r="R172" i="39"/>
  <c r="V197" i="39"/>
  <c r="S234" i="39"/>
  <c r="L243" i="39"/>
  <c r="N274" i="39"/>
  <c r="D283" i="39"/>
  <c r="M163" i="39"/>
  <c r="J274" i="39"/>
  <c r="O274" i="39"/>
  <c r="S162" i="39"/>
  <c r="F254" i="39"/>
  <c r="D263" i="39"/>
  <c r="V114" i="39"/>
  <c r="Q243" i="39"/>
  <c r="G254" i="39"/>
  <c r="S283" i="39"/>
  <c r="F154" i="39"/>
  <c r="U114" i="39"/>
  <c r="E92" i="39"/>
  <c r="Q92" i="39"/>
  <c r="M152" i="39"/>
  <c r="P163" i="39"/>
  <c r="K172" i="39"/>
  <c r="O173" i="39"/>
  <c r="G174" i="39"/>
  <c r="S174" i="39"/>
  <c r="R254" i="39"/>
  <c r="F153" i="39"/>
  <c r="R153" i="39"/>
  <c r="M162" i="39"/>
  <c r="I164" i="39"/>
  <c r="U164" i="39"/>
  <c r="H174" i="39"/>
  <c r="R174" i="39"/>
  <c r="G234" i="39"/>
  <c r="G92" i="39"/>
  <c r="C152" i="39"/>
  <c r="O152" i="39"/>
  <c r="G153" i="39"/>
  <c r="S153" i="39"/>
  <c r="N162" i="39"/>
  <c r="R163" i="39"/>
  <c r="J164" i="39"/>
  <c r="M172" i="39"/>
  <c r="I174" i="39"/>
  <c r="H234" i="39"/>
  <c r="P263" i="39"/>
  <c r="F274" i="39"/>
  <c r="E154" i="39"/>
  <c r="F152" i="39"/>
  <c r="P172" i="39"/>
  <c r="T173" i="39"/>
  <c r="O174" i="39"/>
  <c r="O163" i="39"/>
  <c r="R197" i="39"/>
  <c r="L274" i="39"/>
  <c r="D164" i="39"/>
  <c r="D154" i="39"/>
  <c r="P174" i="39"/>
  <c r="P164" i="39"/>
  <c r="P154" i="39"/>
  <c r="T197" i="39"/>
  <c r="T187" i="39"/>
  <c r="I243" i="39"/>
  <c r="I234" i="39"/>
  <c r="U243" i="39"/>
  <c r="U234" i="39"/>
  <c r="H254" i="39"/>
  <c r="H263" i="39"/>
  <c r="T254" i="39"/>
  <c r="T263" i="39"/>
  <c r="D163" i="39"/>
  <c r="G274" i="39"/>
  <c r="G283" i="39"/>
  <c r="C173" i="39"/>
  <c r="F92" i="39"/>
  <c r="R92" i="39"/>
  <c r="J234" i="39"/>
  <c r="J243" i="39"/>
  <c r="V243" i="39"/>
  <c r="V234" i="39"/>
  <c r="I263" i="39"/>
  <c r="I254" i="39"/>
  <c r="U263" i="39"/>
  <c r="U254" i="39"/>
  <c r="H274" i="39"/>
  <c r="H283" i="39"/>
  <c r="T274" i="39"/>
  <c r="T283" i="39"/>
  <c r="P173" i="39"/>
  <c r="T164" i="39"/>
  <c r="T207" i="39"/>
  <c r="I283" i="39"/>
  <c r="I274" i="39"/>
  <c r="P162" i="39"/>
  <c r="H154" i="39"/>
  <c r="V263" i="39"/>
  <c r="J92" i="39"/>
  <c r="C101" i="39"/>
  <c r="K92" i="39"/>
  <c r="V283" i="39"/>
  <c r="V274" i="39"/>
  <c r="C99" i="39"/>
  <c r="J254" i="39"/>
  <c r="D162" i="39"/>
  <c r="C109" i="39"/>
  <c r="C100" i="39"/>
  <c r="K254" i="39"/>
  <c r="V92" i="39"/>
  <c r="N154" i="39"/>
  <c r="D172" i="39"/>
  <c r="I154" i="39"/>
  <c r="U154" i="39"/>
  <c r="U152" i="39"/>
  <c r="T152" i="39"/>
  <c r="F234" i="39"/>
  <c r="L254" i="39"/>
  <c r="O154" i="39"/>
  <c r="V162" i="39"/>
  <c r="V154" i="39"/>
  <c r="C243" i="39"/>
  <c r="M254" i="39"/>
  <c r="J173" i="39"/>
  <c r="V173" i="39"/>
  <c r="L92" i="39"/>
  <c r="C104" i="39"/>
  <c r="K154" i="39"/>
  <c r="K164" i="39"/>
  <c r="K174" i="39"/>
  <c r="T162" i="39"/>
  <c r="U274" i="39"/>
  <c r="K173" i="39"/>
  <c r="N92" i="39"/>
  <c r="C108" i="39"/>
  <c r="L164" i="39"/>
  <c r="L174" i="39"/>
  <c r="H152" i="39"/>
  <c r="K234" i="39"/>
  <c r="C107" i="39"/>
  <c r="T154" i="39"/>
  <c r="E263" i="39"/>
  <c r="E254" i="39"/>
  <c r="T172" i="39"/>
  <c r="C105" i="39"/>
  <c r="M164" i="39"/>
  <c r="N174" i="39"/>
  <c r="H162" i="39"/>
  <c r="V164" i="39"/>
  <c r="T174" i="39"/>
  <c r="N263" i="39"/>
  <c r="P283" i="39"/>
  <c r="I172" i="39"/>
  <c r="U172" i="39"/>
  <c r="M173" i="39"/>
  <c r="L152" i="39"/>
  <c r="D153" i="39"/>
  <c r="P153" i="39"/>
  <c r="G162" i="39"/>
  <c r="C174" i="39"/>
  <c r="S187" i="39"/>
  <c r="N164" i="39"/>
  <c r="E174" i="39"/>
  <c r="Q174" i="39"/>
  <c r="U187" i="39"/>
  <c r="C95" i="39" l="1"/>
  <c r="V42" i="44"/>
  <c r="T52" i="44"/>
  <c r="T54" i="44" s="1"/>
  <c r="U47" i="44"/>
  <c r="U48" i="44" s="1"/>
  <c r="U42" i="44" s="1"/>
  <c r="S52" i="44"/>
  <c r="S54" i="44" s="1"/>
  <c r="W52" i="44"/>
  <c r="W54" i="44" s="1"/>
  <c r="V52" i="44"/>
  <c r="V54" i="44" s="1"/>
  <c r="U54" i="44"/>
  <c r="S42" i="44"/>
  <c r="C51" i="44"/>
  <c r="T42" i="44"/>
  <c r="W42" i="44"/>
  <c r="J165" i="39"/>
  <c r="F138" i="39"/>
  <c r="R175" i="39"/>
  <c r="F175" i="39"/>
  <c r="J155" i="39"/>
  <c r="Q155" i="39"/>
  <c r="C165" i="39"/>
  <c r="U155" i="39"/>
  <c r="S175" i="39"/>
  <c r="I165" i="39"/>
  <c r="Q165" i="39"/>
  <c r="H175" i="39"/>
  <c r="V175" i="39"/>
  <c r="M155" i="39"/>
  <c r="K165" i="39"/>
  <c r="E175" i="39"/>
  <c r="K155" i="39"/>
  <c r="I155" i="39"/>
  <c r="U165" i="39"/>
  <c r="D155" i="39"/>
  <c r="D175" i="39"/>
  <c r="H165" i="39"/>
  <c r="M175" i="39"/>
  <c r="T155" i="39"/>
  <c r="O155" i="39"/>
  <c r="L165" i="39"/>
  <c r="C155" i="39"/>
  <c r="C96" i="39"/>
  <c r="R165" i="39"/>
  <c r="E165" i="39"/>
  <c r="G165" i="39"/>
  <c r="N175" i="39"/>
  <c r="J175" i="39"/>
  <c r="F165" i="39"/>
  <c r="P155" i="39"/>
  <c r="L155" i="39"/>
  <c r="V155" i="39"/>
  <c r="O175" i="39"/>
  <c r="S165" i="39"/>
  <c r="N165" i="39"/>
  <c r="G175" i="39"/>
  <c r="L175" i="39"/>
  <c r="D14" i="39"/>
  <c r="S155" i="39"/>
  <c r="E155" i="39"/>
  <c r="N155" i="39"/>
  <c r="P175" i="39"/>
  <c r="U175" i="39"/>
  <c r="Q175" i="39"/>
  <c r="O165" i="39"/>
  <c r="I175" i="39"/>
  <c r="G155" i="39"/>
  <c r="F15" i="39"/>
  <c r="T165" i="39"/>
  <c r="V165" i="39"/>
  <c r="C97" i="39"/>
  <c r="K175" i="39"/>
  <c r="F155" i="39"/>
  <c r="M165" i="39"/>
  <c r="F14" i="39"/>
  <c r="H155" i="39"/>
  <c r="R155" i="39"/>
  <c r="P165" i="39"/>
  <c r="F13" i="39"/>
  <c r="D165" i="39"/>
  <c r="E14" i="39"/>
  <c r="D15" i="39"/>
  <c r="C175" i="39"/>
  <c r="E15" i="39"/>
  <c r="E13" i="39"/>
  <c r="T175" i="39"/>
  <c r="D13" i="39"/>
  <c r="G138" i="39" l="1"/>
  <c r="C157" i="39"/>
  <c r="G13" i="39" s="1"/>
  <c r="C167" i="39"/>
  <c r="C214" i="39" s="1"/>
  <c r="C177" i="39"/>
  <c r="H138" i="39" l="1"/>
  <c r="I138" i="39" s="1"/>
  <c r="J138" i="39" s="1"/>
  <c r="K138" i="39" s="1"/>
  <c r="L138" i="39" s="1"/>
  <c r="C213" i="39"/>
  <c r="G14" i="39"/>
  <c r="C215" i="39"/>
  <c r="G15" i="39"/>
  <c r="M138" i="39" l="1"/>
  <c r="N138" i="39" l="1"/>
  <c r="O138" i="39" l="1"/>
  <c r="P138" i="39" l="1"/>
  <c r="Q138" i="39" l="1"/>
  <c r="R138" i="39" l="1"/>
  <c r="S138" i="39" l="1"/>
  <c r="T138" i="39" l="1"/>
  <c r="U138" i="39" l="1"/>
  <c r="V138" i="39" l="1"/>
  <c r="C185" i="39" l="1"/>
  <c r="C113" i="39" s="1"/>
  <c r="D185" i="39"/>
  <c r="D113" i="39" s="1"/>
  <c r="D305" i="39" l="1"/>
  <c r="D195" i="39"/>
  <c r="D205" i="39"/>
  <c r="D296" i="39"/>
  <c r="C305" i="39"/>
  <c r="C205" i="39"/>
  <c r="C296" i="39"/>
  <c r="C195" i="39"/>
  <c r="C114" i="39" l="1"/>
  <c r="D46" i="44"/>
  <c r="D114" i="39"/>
  <c r="E46" i="44"/>
  <c r="E185" i="39"/>
  <c r="E113" i="39" s="1"/>
  <c r="E47" i="44" l="1"/>
  <c r="E48" i="44" s="1"/>
  <c r="E42" i="44" s="1"/>
  <c r="E52" i="44"/>
  <c r="E54" i="44" s="1"/>
  <c r="D47" i="44"/>
  <c r="D48" i="44" s="1"/>
  <c r="D42" i="44" s="1"/>
  <c r="D52" i="44"/>
  <c r="F185" i="39"/>
  <c r="F113" i="39" s="1"/>
  <c r="E296" i="39"/>
  <c r="E195" i="39"/>
  <c r="E205" i="39"/>
  <c r="E305" i="39"/>
  <c r="E114" i="39" l="1"/>
  <c r="F46" i="44"/>
  <c r="D54" i="44"/>
  <c r="F195" i="39"/>
  <c r="F305" i="39"/>
  <c r="F296" i="39"/>
  <c r="F205" i="39"/>
  <c r="F47" i="44" l="1"/>
  <c r="F52" i="44"/>
  <c r="F114" i="39"/>
  <c r="G46" i="44"/>
  <c r="H185" i="39"/>
  <c r="H113" i="39" s="1"/>
  <c r="G185" i="39"/>
  <c r="G113" i="39" s="1"/>
  <c r="F48" i="44" l="1"/>
  <c r="F42" i="44" s="1"/>
  <c r="G47" i="44"/>
  <c r="G48" i="44" s="1"/>
  <c r="G42" i="44" s="1"/>
  <c r="G52" i="44"/>
  <c r="G54" i="44" s="1"/>
  <c r="F54" i="44"/>
  <c r="G205" i="39"/>
  <c r="G296" i="39"/>
  <c r="G195" i="39"/>
  <c r="G305" i="39"/>
  <c r="H296" i="39"/>
  <c r="H305" i="39"/>
  <c r="H205" i="39"/>
  <c r="H195" i="39"/>
  <c r="H114" i="39" l="1"/>
  <c r="I46" i="44"/>
  <c r="G114" i="39"/>
  <c r="H46" i="44"/>
  <c r="K185" i="39"/>
  <c r="K113" i="39" s="1"/>
  <c r="J185" i="39"/>
  <c r="J113" i="39" s="1"/>
  <c r="I185" i="39"/>
  <c r="I113" i="39" s="1"/>
  <c r="H47" i="44" l="1"/>
  <c r="H52" i="44"/>
  <c r="I52" i="44"/>
  <c r="I54" i="44" s="1"/>
  <c r="I47" i="44"/>
  <c r="I48" i="44" s="1"/>
  <c r="I42" i="44" s="1"/>
  <c r="I195" i="39"/>
  <c r="I205" i="39"/>
  <c r="I296" i="39"/>
  <c r="I305" i="39"/>
  <c r="J205" i="39"/>
  <c r="J195" i="39"/>
  <c r="J296" i="39"/>
  <c r="J305" i="39"/>
  <c r="K296" i="39"/>
  <c r="K305" i="39"/>
  <c r="K205" i="39"/>
  <c r="K195" i="39"/>
  <c r="H48" i="44" l="1"/>
  <c r="H42" i="44" s="1"/>
  <c r="I114" i="39"/>
  <c r="J46" i="44"/>
  <c r="K114" i="39"/>
  <c r="L46" i="44"/>
  <c r="J114" i="39"/>
  <c r="K46" i="44"/>
  <c r="H54" i="44"/>
  <c r="L185" i="39"/>
  <c r="L113" i="39" s="1"/>
  <c r="K47" i="44" l="1"/>
  <c r="K48" i="44" s="1"/>
  <c r="K42" i="44" s="1"/>
  <c r="K52" i="44"/>
  <c r="K54" i="44" s="1"/>
  <c r="L47" i="44"/>
  <c r="L48" i="44" s="1"/>
  <c r="L42" i="44" s="1"/>
  <c r="L52" i="44"/>
  <c r="L54" i="44" s="1"/>
  <c r="J47" i="44"/>
  <c r="J52" i="44"/>
  <c r="L296" i="39"/>
  <c r="L205" i="39"/>
  <c r="L195" i="39"/>
  <c r="L305" i="39"/>
  <c r="M185" i="39"/>
  <c r="M113" i="39" s="1"/>
  <c r="N185" i="39"/>
  <c r="N113" i="39" s="1"/>
  <c r="J48" i="44" l="1"/>
  <c r="J42" i="44" s="1"/>
  <c r="L114" i="39"/>
  <c r="M46" i="44"/>
  <c r="J54" i="44"/>
  <c r="M305" i="39"/>
  <c r="M296" i="39"/>
  <c r="M205" i="39"/>
  <c r="M195" i="39"/>
  <c r="O185" i="39"/>
  <c r="O113" i="39" s="1"/>
  <c r="N205" i="39"/>
  <c r="N195" i="39"/>
  <c r="N296" i="39"/>
  <c r="N305" i="39"/>
  <c r="M114" i="39" l="1"/>
  <c r="N46" i="44"/>
  <c r="N114" i="39"/>
  <c r="O46" i="44"/>
  <c r="M47" i="44"/>
  <c r="M48" i="44" s="1"/>
  <c r="M42" i="44" s="1"/>
  <c r="M52" i="44"/>
  <c r="P185" i="39"/>
  <c r="P113" i="39" s="1"/>
  <c r="O305" i="39"/>
  <c r="O195" i="39"/>
  <c r="O296" i="39"/>
  <c r="O205" i="39"/>
  <c r="Q185" i="39"/>
  <c r="Q113" i="39" s="1"/>
  <c r="O114" i="39" l="1"/>
  <c r="P46" i="44"/>
  <c r="M54" i="44"/>
  <c r="O47" i="44"/>
  <c r="O48" i="44" s="1"/>
  <c r="O42" i="44" s="1"/>
  <c r="O52" i="44"/>
  <c r="O54" i="44" s="1"/>
  <c r="N47" i="44"/>
  <c r="N48" i="44" s="1"/>
  <c r="N42" i="44" s="1"/>
  <c r="N52" i="44"/>
  <c r="N54" i="44" s="1"/>
  <c r="Q205" i="39"/>
  <c r="Q296" i="39"/>
  <c r="Q195" i="39"/>
  <c r="Q305" i="39"/>
  <c r="P296" i="39"/>
  <c r="P205" i="39"/>
  <c r="P305" i="39"/>
  <c r="P195" i="39"/>
  <c r="Q114" i="39" l="1"/>
  <c r="R46" i="44"/>
  <c r="P114" i="39"/>
  <c r="Q46" i="44"/>
  <c r="P52" i="44"/>
  <c r="P54" i="44" s="1"/>
  <c r="P47" i="44"/>
  <c r="P48" i="44" s="1"/>
  <c r="P42" i="44" s="1"/>
  <c r="D137" i="39"/>
  <c r="Q47" i="44" l="1"/>
  <c r="Q48" i="44" s="1"/>
  <c r="Q42" i="44" s="1"/>
  <c r="Q52" i="44"/>
  <c r="Q54" i="44" s="1"/>
  <c r="R47" i="44"/>
  <c r="R52" i="44"/>
  <c r="D139" i="39"/>
  <c r="E137" i="39"/>
  <c r="R48" i="44" l="1"/>
  <c r="R42" i="44" s="1"/>
  <c r="C47" i="44"/>
  <c r="R54" i="44"/>
  <c r="C52" i="44"/>
  <c r="C54" i="44" s="1"/>
  <c r="E139" i="39"/>
  <c r="F137" i="39"/>
  <c r="G137" i="39" s="1"/>
  <c r="F139" i="39" l="1"/>
  <c r="H137" i="39"/>
  <c r="G139" i="39"/>
  <c r="H139" i="39" l="1"/>
  <c r="I137" i="39"/>
  <c r="I139" i="39" l="1"/>
  <c r="J137" i="39"/>
  <c r="C304" i="39"/>
  <c r="C295" i="39"/>
  <c r="D295" i="39" l="1"/>
  <c r="C253" i="39"/>
  <c r="C273" i="39"/>
  <c r="C233" i="39"/>
  <c r="D304" i="39"/>
  <c r="C262" i="39"/>
  <c r="C264" i="39" s="1"/>
  <c r="C282" i="39"/>
  <c r="C284" i="39" s="1"/>
  <c r="C242" i="39"/>
  <c r="C244" i="39" s="1"/>
  <c r="K137" i="39"/>
  <c r="J139" i="39"/>
  <c r="C247" i="39" l="1"/>
  <c r="C287" i="39"/>
  <c r="C267" i="39"/>
  <c r="C235" i="39"/>
  <c r="C238" i="39" s="1"/>
  <c r="C255" i="39"/>
  <c r="C258" i="39" s="1"/>
  <c r="D262" i="39"/>
  <c r="D264" i="39" s="1"/>
  <c r="D282" i="39"/>
  <c r="D284" i="39" s="1"/>
  <c r="D242" i="39"/>
  <c r="D244" i="39" s="1"/>
  <c r="C275" i="39"/>
  <c r="C278" i="39" s="1"/>
  <c r="E304" i="39"/>
  <c r="K139" i="39"/>
  <c r="L137" i="39"/>
  <c r="D253" i="39"/>
  <c r="D255" i="39" s="1"/>
  <c r="D258" i="39" s="1"/>
  <c r="D273" i="39"/>
  <c r="D275" i="39" s="1"/>
  <c r="D278" i="39" s="1"/>
  <c r="D233" i="39"/>
  <c r="D235" i="39" s="1"/>
  <c r="D238" i="39" s="1"/>
  <c r="E295" i="39"/>
  <c r="D73" i="44" l="1"/>
  <c r="D69" i="44"/>
  <c r="D71" i="44"/>
  <c r="D287" i="39"/>
  <c r="D247" i="39"/>
  <c r="D267" i="39"/>
  <c r="E262" i="39"/>
  <c r="E264" i="39" s="1"/>
  <c r="E282" i="39"/>
  <c r="E284" i="39" s="1"/>
  <c r="E242" i="39"/>
  <c r="E244" i="39" s="1"/>
  <c r="E273" i="39"/>
  <c r="E275" i="39" s="1"/>
  <c r="E278" i="39" s="1"/>
  <c r="E253" i="39"/>
  <c r="E233" i="39"/>
  <c r="E235" i="39" s="1"/>
  <c r="E238" i="39" s="1"/>
  <c r="L139" i="39"/>
  <c r="M137" i="39"/>
  <c r="F304" i="39"/>
  <c r="F295" i="39"/>
  <c r="E71" i="44" l="1"/>
  <c r="E73" i="44"/>
  <c r="E69" i="44"/>
  <c r="E247" i="39"/>
  <c r="E267" i="39"/>
  <c r="E287" i="39"/>
  <c r="M139" i="39"/>
  <c r="N137" i="39"/>
  <c r="E255" i="39"/>
  <c r="E258" i="39" s="1"/>
  <c r="F282" i="39"/>
  <c r="F284" i="39" s="1"/>
  <c r="F262" i="39"/>
  <c r="F264" i="39" s="1"/>
  <c r="F242" i="39"/>
  <c r="F244" i="39" s="1"/>
  <c r="F273" i="39"/>
  <c r="F253" i="39"/>
  <c r="F255" i="39" s="1"/>
  <c r="F258" i="39" s="1"/>
  <c r="F233" i="39"/>
  <c r="F235" i="39" s="1"/>
  <c r="F238" i="39" s="1"/>
  <c r="G295" i="39"/>
  <c r="G304" i="39"/>
  <c r="F71" i="44" l="1"/>
  <c r="F69" i="44"/>
  <c r="F73" i="44"/>
  <c r="F267" i="39"/>
  <c r="F247" i="39"/>
  <c r="F287" i="39"/>
  <c r="H295" i="39"/>
  <c r="O137" i="39"/>
  <c r="N139" i="39"/>
  <c r="G282" i="39"/>
  <c r="G284" i="39" s="1"/>
  <c r="G262" i="39"/>
  <c r="G264" i="39" s="1"/>
  <c r="G242" i="39"/>
  <c r="G244" i="39" s="1"/>
  <c r="G273" i="39"/>
  <c r="G275" i="39" s="1"/>
  <c r="G278" i="39" s="1"/>
  <c r="G253" i="39"/>
  <c r="G233" i="39"/>
  <c r="H304" i="39"/>
  <c r="F275" i="39"/>
  <c r="F278" i="39" s="1"/>
  <c r="G71" i="44" l="1"/>
  <c r="G69" i="44"/>
  <c r="G73" i="44"/>
  <c r="G247" i="39"/>
  <c r="G267" i="39"/>
  <c r="G287" i="39"/>
  <c r="H282" i="39"/>
  <c r="H284" i="39" s="1"/>
  <c r="H262" i="39"/>
  <c r="H264" i="39" s="1"/>
  <c r="H242" i="39"/>
  <c r="H244" i="39" s="1"/>
  <c r="D19" i="39"/>
  <c r="P137" i="39"/>
  <c r="O139" i="39"/>
  <c r="H273" i="39"/>
  <c r="H253" i="39"/>
  <c r="H255" i="39" s="1"/>
  <c r="H258" i="39" s="1"/>
  <c r="H233" i="39"/>
  <c r="H235" i="39" s="1"/>
  <c r="H238" i="39" s="1"/>
  <c r="G235" i="39"/>
  <c r="G238" i="39" s="1"/>
  <c r="G255" i="39"/>
  <c r="G258" i="39" s="1"/>
  <c r="I295" i="39"/>
  <c r="I304" i="39"/>
  <c r="H73" i="44" l="1"/>
  <c r="H69" i="44"/>
  <c r="H71" i="44"/>
  <c r="H247" i="39"/>
  <c r="H267" i="39"/>
  <c r="H287" i="39"/>
  <c r="H275" i="39"/>
  <c r="H278" i="39" s="1"/>
  <c r="J295" i="39"/>
  <c r="I273" i="39"/>
  <c r="I275" i="39" s="1"/>
  <c r="I278" i="39" s="1"/>
  <c r="I253" i="39"/>
  <c r="I255" i="39" s="1"/>
  <c r="I258" i="39" s="1"/>
  <c r="I233" i="39"/>
  <c r="I235" i="39" s="1"/>
  <c r="I238" i="39" s="1"/>
  <c r="I282" i="39"/>
  <c r="I284" i="39" s="1"/>
  <c r="I262" i="39"/>
  <c r="I264" i="39" s="1"/>
  <c r="I242" i="39"/>
  <c r="I244" i="39" s="1"/>
  <c r="P139" i="39"/>
  <c r="Q137" i="39"/>
  <c r="D20" i="39"/>
  <c r="J304" i="39"/>
  <c r="D18" i="39"/>
  <c r="I69" i="44" l="1"/>
  <c r="I71" i="44"/>
  <c r="I73" i="44"/>
  <c r="I247" i="39"/>
  <c r="I287" i="39"/>
  <c r="I267" i="39"/>
  <c r="K304" i="39"/>
  <c r="J282" i="39"/>
  <c r="J284" i="39" s="1"/>
  <c r="J262" i="39"/>
  <c r="J264" i="39" s="1"/>
  <c r="J242" i="39"/>
  <c r="J244" i="39" s="1"/>
  <c r="J273" i="39"/>
  <c r="J275" i="39" s="1"/>
  <c r="J278" i="39" s="1"/>
  <c r="J253" i="39"/>
  <c r="J233" i="39"/>
  <c r="J235" i="39" s="1"/>
  <c r="J238" i="39" s="1"/>
  <c r="R137" i="39"/>
  <c r="Q139" i="39"/>
  <c r="K295" i="39"/>
  <c r="J73" i="44" l="1"/>
  <c r="J71" i="44"/>
  <c r="J69" i="44"/>
  <c r="J247" i="39"/>
  <c r="J287" i="39"/>
  <c r="J267" i="39"/>
  <c r="L295" i="39"/>
  <c r="K282" i="39"/>
  <c r="K284" i="39" s="1"/>
  <c r="K262" i="39"/>
  <c r="K264" i="39" s="1"/>
  <c r="K242" i="39"/>
  <c r="K244" i="39" s="1"/>
  <c r="R139" i="39"/>
  <c r="S137" i="39"/>
  <c r="L304" i="39"/>
  <c r="J255" i="39"/>
  <c r="J258" i="39" s="1"/>
  <c r="K273" i="39"/>
  <c r="K275" i="39" s="1"/>
  <c r="K278" i="39" s="1"/>
  <c r="K253" i="39"/>
  <c r="K255" i="39" s="1"/>
  <c r="K258" i="39" s="1"/>
  <c r="K233" i="39"/>
  <c r="K235" i="39" s="1"/>
  <c r="K238" i="39" s="1"/>
  <c r="K73" i="44" l="1"/>
  <c r="K71" i="44"/>
  <c r="K69" i="44"/>
  <c r="K247" i="39"/>
  <c r="K267" i="39"/>
  <c r="K287" i="39"/>
  <c r="S139" i="39"/>
  <c r="T137" i="39"/>
  <c r="M304" i="39"/>
  <c r="L282" i="39"/>
  <c r="L284" i="39" s="1"/>
  <c r="L262" i="39"/>
  <c r="L264" i="39" s="1"/>
  <c r="L242" i="39"/>
  <c r="L244" i="39" s="1"/>
  <c r="M295" i="39"/>
  <c r="L273" i="39"/>
  <c r="L275" i="39" s="1"/>
  <c r="L278" i="39" s="1"/>
  <c r="L253" i="39"/>
  <c r="L255" i="39" s="1"/>
  <c r="L258" i="39" s="1"/>
  <c r="L233" i="39"/>
  <c r="L235" i="39" s="1"/>
  <c r="L238" i="39" s="1"/>
  <c r="L71" i="44" l="1"/>
  <c r="L73" i="44"/>
  <c r="L69" i="44"/>
  <c r="L267" i="39"/>
  <c r="L247" i="39"/>
  <c r="L287" i="39"/>
  <c r="N304" i="39"/>
  <c r="M282" i="39"/>
  <c r="M284" i="39" s="1"/>
  <c r="M262" i="39"/>
  <c r="M264" i="39" s="1"/>
  <c r="M242" i="39"/>
  <c r="M244" i="39" s="1"/>
  <c r="N295" i="39"/>
  <c r="M273" i="39"/>
  <c r="M275" i="39" s="1"/>
  <c r="M278" i="39" s="1"/>
  <c r="M253" i="39"/>
  <c r="M255" i="39" s="1"/>
  <c r="M258" i="39" s="1"/>
  <c r="M233" i="39"/>
  <c r="M235" i="39" s="1"/>
  <c r="M238" i="39" s="1"/>
  <c r="T139" i="39"/>
  <c r="U137" i="39"/>
  <c r="M71" i="44" l="1"/>
  <c r="M69" i="44"/>
  <c r="M73" i="44"/>
  <c r="M267" i="39"/>
  <c r="M247" i="39"/>
  <c r="M287" i="39"/>
  <c r="O295" i="39"/>
  <c r="N273" i="39"/>
  <c r="N275" i="39" s="1"/>
  <c r="N278" i="39" s="1"/>
  <c r="N253" i="39"/>
  <c r="N255" i="39" s="1"/>
  <c r="N258" i="39" s="1"/>
  <c r="N233" i="39"/>
  <c r="N235" i="39" s="1"/>
  <c r="N238" i="39" s="1"/>
  <c r="O304" i="39"/>
  <c r="N282" i="39"/>
  <c r="N284" i="39" s="1"/>
  <c r="N262" i="39"/>
  <c r="N264" i="39" s="1"/>
  <c r="N242" i="39"/>
  <c r="N244" i="39" s="1"/>
  <c r="U139" i="39"/>
  <c r="V137" i="39"/>
  <c r="V139" i="39" s="1"/>
  <c r="N73" i="44" l="1"/>
  <c r="N71" i="44"/>
  <c r="N69" i="44"/>
  <c r="N247" i="39"/>
  <c r="N287" i="39"/>
  <c r="N267" i="39"/>
  <c r="P304" i="39"/>
  <c r="O282" i="39"/>
  <c r="O284" i="39" s="1"/>
  <c r="O262" i="39"/>
  <c r="O264" i="39" s="1"/>
  <c r="O242" i="39"/>
  <c r="O244" i="39" s="1"/>
  <c r="P295" i="39"/>
  <c r="O273" i="39"/>
  <c r="O275" i="39" s="1"/>
  <c r="O278" i="39" s="1"/>
  <c r="O253" i="39"/>
  <c r="O255" i="39" s="1"/>
  <c r="O258" i="39" s="1"/>
  <c r="O233" i="39"/>
  <c r="O235" i="39" s="1"/>
  <c r="O238" i="39" s="1"/>
  <c r="O71" i="44" l="1"/>
  <c r="O73" i="44"/>
  <c r="O69" i="44"/>
  <c r="O247" i="39"/>
  <c r="O267" i="39"/>
  <c r="O287" i="39"/>
  <c r="Q304" i="39"/>
  <c r="P282" i="39"/>
  <c r="P284" i="39" s="1"/>
  <c r="P262" i="39"/>
  <c r="P264" i="39" s="1"/>
  <c r="P242" i="39"/>
  <c r="P244" i="39" s="1"/>
  <c r="Q295" i="39"/>
  <c r="P273" i="39"/>
  <c r="P275" i="39" s="1"/>
  <c r="P278" i="39" s="1"/>
  <c r="P253" i="39"/>
  <c r="P255" i="39" s="1"/>
  <c r="P258" i="39" s="1"/>
  <c r="P233" i="39"/>
  <c r="P235" i="39" s="1"/>
  <c r="P238" i="39" s="1"/>
  <c r="P71" i="44" l="1"/>
  <c r="P73" i="44"/>
  <c r="P69" i="44"/>
  <c r="P247" i="39"/>
  <c r="P267" i="39"/>
  <c r="P287" i="39"/>
  <c r="R295" i="39"/>
  <c r="Q273" i="39"/>
  <c r="Q275" i="39" s="1"/>
  <c r="Q278" i="39" s="1"/>
  <c r="Q253" i="39"/>
  <c r="Q255" i="39" s="1"/>
  <c r="Q258" i="39" s="1"/>
  <c r="Q233" i="39"/>
  <c r="Q235" i="39" s="1"/>
  <c r="Q238" i="39" s="1"/>
  <c r="R304" i="39"/>
  <c r="Q282" i="39"/>
  <c r="Q284" i="39" s="1"/>
  <c r="Q262" i="39"/>
  <c r="Q264" i="39" s="1"/>
  <c r="Q242" i="39"/>
  <c r="Q244" i="39" s="1"/>
  <c r="Q71" i="44" l="1"/>
  <c r="Q73" i="44"/>
  <c r="Q69" i="44"/>
  <c r="Q287" i="39"/>
  <c r="Q247" i="39"/>
  <c r="Q267" i="39"/>
  <c r="S295" i="39"/>
  <c r="R273" i="39"/>
  <c r="R275" i="39" s="1"/>
  <c r="R278" i="39" s="1"/>
  <c r="R253" i="39"/>
  <c r="R255" i="39" s="1"/>
  <c r="R258" i="39" s="1"/>
  <c r="R233" i="39"/>
  <c r="R235" i="39" s="1"/>
  <c r="R238" i="39" s="1"/>
  <c r="S304" i="39"/>
  <c r="R282" i="39"/>
  <c r="R284" i="39" s="1"/>
  <c r="R262" i="39"/>
  <c r="R264" i="39" s="1"/>
  <c r="R242" i="39"/>
  <c r="R244" i="39" s="1"/>
  <c r="Q186" i="39"/>
  <c r="R71" i="44" l="1"/>
  <c r="R73" i="44"/>
  <c r="R69" i="44"/>
  <c r="R287" i="39"/>
  <c r="R247" i="39"/>
  <c r="R267" i="39"/>
  <c r="T304" i="39"/>
  <c r="S282" i="39"/>
  <c r="S284" i="39" s="1"/>
  <c r="S262" i="39"/>
  <c r="S264" i="39" s="1"/>
  <c r="S242" i="39"/>
  <c r="S244" i="39" s="1"/>
  <c r="T295" i="39"/>
  <c r="S273" i="39"/>
  <c r="S275" i="39" s="1"/>
  <c r="S278" i="39" s="1"/>
  <c r="S253" i="39"/>
  <c r="S255" i="39" s="1"/>
  <c r="S258" i="39" s="1"/>
  <c r="S233" i="39"/>
  <c r="S235" i="39" s="1"/>
  <c r="S238" i="39" s="1"/>
  <c r="S73" i="44" l="1"/>
  <c r="S69" i="44"/>
  <c r="S71" i="44"/>
  <c r="S247" i="39"/>
  <c r="S267" i="39"/>
  <c r="S287" i="39"/>
  <c r="U295" i="39"/>
  <c r="T273" i="39"/>
  <c r="T275" i="39" s="1"/>
  <c r="T278" i="39" s="1"/>
  <c r="T253" i="39"/>
  <c r="T255" i="39" s="1"/>
  <c r="T258" i="39" s="1"/>
  <c r="T233" i="39"/>
  <c r="T235" i="39" s="1"/>
  <c r="T238" i="39" s="1"/>
  <c r="U304" i="39"/>
  <c r="T282" i="39"/>
  <c r="T284" i="39" s="1"/>
  <c r="T262" i="39"/>
  <c r="T264" i="39" s="1"/>
  <c r="T242" i="39"/>
  <c r="T244" i="39" s="1"/>
  <c r="T71" i="44" l="1"/>
  <c r="T73" i="44"/>
  <c r="T69" i="44"/>
  <c r="T287" i="39"/>
  <c r="T247" i="39"/>
  <c r="T267" i="39"/>
  <c r="V304" i="39"/>
  <c r="U282" i="39"/>
  <c r="U284" i="39" s="1"/>
  <c r="U262" i="39"/>
  <c r="U264" i="39" s="1"/>
  <c r="U242" i="39"/>
  <c r="U244" i="39" s="1"/>
  <c r="V295" i="39"/>
  <c r="U273" i="39"/>
  <c r="U275" i="39" s="1"/>
  <c r="U278" i="39" s="1"/>
  <c r="U253" i="39"/>
  <c r="U255" i="39" s="1"/>
  <c r="U258" i="39" s="1"/>
  <c r="U233" i="39"/>
  <c r="U235" i="39" s="1"/>
  <c r="U238" i="39" s="1"/>
  <c r="U73" i="44" l="1"/>
  <c r="U69" i="44"/>
  <c r="U71" i="44"/>
  <c r="U247" i="39"/>
  <c r="U267" i="39"/>
  <c r="U287" i="39"/>
  <c r="V273" i="39"/>
  <c r="V253" i="39"/>
  <c r="V233" i="39"/>
  <c r="F18" i="39"/>
  <c r="V282" i="39"/>
  <c r="V284" i="39" s="1"/>
  <c r="V262" i="39"/>
  <c r="V264" i="39" s="1"/>
  <c r="V242" i="39"/>
  <c r="V244" i="39" s="1"/>
  <c r="V69" i="44" l="1"/>
  <c r="V71" i="44"/>
  <c r="V73" i="44"/>
  <c r="V267" i="39"/>
  <c r="V287" i="39"/>
  <c r="V247" i="39"/>
  <c r="F20" i="39"/>
  <c r="F19" i="39"/>
  <c r="V255" i="39"/>
  <c r="V258" i="39" s="1"/>
  <c r="E20" i="39"/>
  <c r="V275" i="39"/>
  <c r="V278" i="39" s="1"/>
  <c r="E19" i="39"/>
  <c r="V235" i="39"/>
  <c r="V238" i="39" s="1"/>
  <c r="E18" i="39"/>
  <c r="W69" i="44" l="1"/>
  <c r="C69" i="44" s="1"/>
  <c r="W71" i="44"/>
  <c r="C71" i="44" s="1"/>
  <c r="W73" i="44"/>
  <c r="C73" i="44" s="1"/>
  <c r="C248" i="39"/>
  <c r="C288" i="39"/>
  <c r="C268" i="39"/>
  <c r="C259" i="39"/>
  <c r="C279" i="39"/>
  <c r="C239" i="39"/>
  <c r="G20" i="39" l="1"/>
  <c r="G24" i="39" s="1"/>
  <c r="G19" i="39"/>
  <c r="G25" i="39" s="1"/>
  <c r="G18" i="39"/>
  <c r="G23" i="39" s="1"/>
  <c r="AR20" i="27" l="1"/>
  <c r="S62" i="27"/>
  <c r="S105" i="27" s="1"/>
  <c r="S147" i="27" s="1"/>
  <c r="R62" i="27"/>
  <c r="R105" i="27" s="1"/>
  <c r="R147" i="27" s="1"/>
  <c r="Q62" i="27"/>
  <c r="Q105" i="27" s="1"/>
  <c r="Q147" i="27" s="1"/>
  <c r="P62" i="27"/>
  <c r="P105" i="27" s="1"/>
  <c r="P147" i="27" s="1"/>
  <c r="O62" i="27"/>
  <c r="O105" i="27" s="1"/>
  <c r="O147" i="27" s="1"/>
  <c r="Y14" i="27" l="1"/>
  <c r="B65" i="29"/>
  <c r="C544" i="27" l="1"/>
  <c r="C543" i="27"/>
  <c r="C542" i="27"/>
  <c r="C541" i="27"/>
  <c r="C540" i="27"/>
  <c r="C539" i="27"/>
  <c r="C538" i="27"/>
  <c r="C537" i="27"/>
  <c r="C536" i="27"/>
  <c r="C535" i="27"/>
  <c r="C534" i="27"/>
  <c r="C533" i="27"/>
  <c r="C532" i="27"/>
  <c r="C531" i="27"/>
  <c r="C530" i="27"/>
  <c r="C529" i="27"/>
  <c r="C528" i="27"/>
  <c r="C527" i="27"/>
  <c r="C526" i="27"/>
  <c r="C525" i="27"/>
  <c r="C524" i="27"/>
  <c r="C523" i="27"/>
  <c r="C522" i="27"/>
  <c r="C521" i="27"/>
  <c r="C520" i="27"/>
  <c r="C519" i="27"/>
  <c r="C518" i="27"/>
  <c r="C517" i="27"/>
  <c r="C516" i="27"/>
  <c r="C515" i="27"/>
  <c r="C514" i="27"/>
  <c r="C513" i="27"/>
  <c r="C512" i="27"/>
  <c r="C511" i="27"/>
  <c r="C510" i="27"/>
  <c r="C509" i="27"/>
  <c r="C508" i="27"/>
  <c r="C507" i="27"/>
  <c r="C506" i="27"/>
  <c r="C505" i="27"/>
  <c r="W191" i="27" a="1"/>
  <c r="W191" i="27" s="1"/>
  <c r="W148" i="27" a="1"/>
  <c r="W148" i="27" s="1"/>
  <c r="W106" i="27" a="1"/>
  <c r="W106" i="27" s="1"/>
  <c r="W63" i="27" a="1"/>
  <c r="W63" i="27" s="1"/>
  <c r="W19" i="27" a="1"/>
  <c r="W19" i="27" s="1"/>
  <c r="N451" i="27"/>
  <c r="M451" i="27"/>
  <c r="L451" i="27"/>
  <c r="K451" i="27"/>
  <c r="J451" i="27"/>
  <c r="I451" i="27"/>
  <c r="N450" i="27"/>
  <c r="M450" i="27"/>
  <c r="L450" i="27"/>
  <c r="K450" i="27"/>
  <c r="J450" i="27"/>
  <c r="I450" i="27"/>
  <c r="N449" i="27"/>
  <c r="M449" i="27"/>
  <c r="L449" i="27"/>
  <c r="K449" i="27"/>
  <c r="J449" i="27"/>
  <c r="I449" i="27"/>
  <c r="N448" i="27"/>
  <c r="M448" i="27"/>
  <c r="L448" i="27"/>
  <c r="K448" i="27"/>
  <c r="J448" i="27"/>
  <c r="I448" i="27"/>
  <c r="N447" i="27"/>
  <c r="M447" i="27"/>
  <c r="L447" i="27"/>
  <c r="K447" i="27"/>
  <c r="J447" i="27"/>
  <c r="I447" i="27"/>
  <c r="N446" i="27"/>
  <c r="M446" i="27"/>
  <c r="L446" i="27"/>
  <c r="K446" i="27"/>
  <c r="J446" i="27"/>
  <c r="I446" i="27"/>
  <c r="N445" i="27"/>
  <c r="M445" i="27"/>
  <c r="L445" i="27"/>
  <c r="K445" i="27"/>
  <c r="J445" i="27"/>
  <c r="I445" i="27"/>
  <c r="N444" i="27"/>
  <c r="M444" i="27"/>
  <c r="L444" i="27"/>
  <c r="K444" i="27"/>
  <c r="J444" i="27"/>
  <c r="I444" i="27"/>
  <c r="N443" i="27"/>
  <c r="M443" i="27"/>
  <c r="L443" i="27"/>
  <c r="K443" i="27"/>
  <c r="J443" i="27"/>
  <c r="I443" i="27"/>
  <c r="N442" i="27"/>
  <c r="M442" i="27"/>
  <c r="L442" i="27"/>
  <c r="K442" i="27"/>
  <c r="J442" i="27"/>
  <c r="I442" i="27"/>
  <c r="N441" i="27"/>
  <c r="M441" i="27"/>
  <c r="L441" i="27"/>
  <c r="K441" i="27"/>
  <c r="J441" i="27"/>
  <c r="I441" i="27"/>
  <c r="N440" i="27"/>
  <c r="M440" i="27"/>
  <c r="L440" i="27"/>
  <c r="K440" i="27"/>
  <c r="J440" i="27"/>
  <c r="I440" i="27"/>
  <c r="N439" i="27"/>
  <c r="M439" i="27"/>
  <c r="L439" i="27"/>
  <c r="K439" i="27"/>
  <c r="J439" i="27"/>
  <c r="I439" i="27"/>
  <c r="N438" i="27"/>
  <c r="M438" i="27"/>
  <c r="L438" i="27"/>
  <c r="K438" i="27"/>
  <c r="J438" i="27"/>
  <c r="I438" i="27"/>
  <c r="N437" i="27"/>
  <c r="M437" i="27"/>
  <c r="L437" i="27"/>
  <c r="K437" i="27"/>
  <c r="J437" i="27"/>
  <c r="I437" i="27"/>
  <c r="N436" i="27"/>
  <c r="M436" i="27"/>
  <c r="L436" i="27"/>
  <c r="K436" i="27"/>
  <c r="J436" i="27"/>
  <c r="I436" i="27"/>
  <c r="N435" i="27"/>
  <c r="M435" i="27"/>
  <c r="L435" i="27"/>
  <c r="K435" i="27"/>
  <c r="J435" i="27"/>
  <c r="I435" i="27"/>
  <c r="N434" i="27"/>
  <c r="M434" i="27"/>
  <c r="L434" i="27"/>
  <c r="K434" i="27"/>
  <c r="J434" i="27"/>
  <c r="I434" i="27"/>
  <c r="N433" i="27"/>
  <c r="M433" i="27"/>
  <c r="L433" i="27"/>
  <c r="K433" i="27"/>
  <c r="J433" i="27"/>
  <c r="I433" i="27"/>
  <c r="N432" i="27"/>
  <c r="M432" i="27"/>
  <c r="L432" i="27"/>
  <c r="K432" i="27"/>
  <c r="J432" i="27"/>
  <c r="I432" i="27"/>
  <c r="N431" i="27"/>
  <c r="M431" i="27"/>
  <c r="L431" i="27"/>
  <c r="K431" i="27"/>
  <c r="J431" i="27"/>
  <c r="I431" i="27"/>
  <c r="N430" i="27"/>
  <c r="M430" i="27"/>
  <c r="L430" i="27"/>
  <c r="K430" i="27"/>
  <c r="J430" i="27"/>
  <c r="I430" i="27"/>
  <c r="N429" i="27"/>
  <c r="M429" i="27"/>
  <c r="L429" i="27"/>
  <c r="K429" i="27"/>
  <c r="J429" i="27"/>
  <c r="I429" i="27"/>
  <c r="N428" i="27"/>
  <c r="M428" i="27"/>
  <c r="L428" i="27"/>
  <c r="K428" i="27"/>
  <c r="J428" i="27"/>
  <c r="I428" i="27"/>
  <c r="N427" i="27"/>
  <c r="M427" i="27"/>
  <c r="L427" i="27"/>
  <c r="K427" i="27"/>
  <c r="J427" i="27"/>
  <c r="I427" i="27"/>
  <c r="N426" i="27"/>
  <c r="M426" i="27"/>
  <c r="L426" i="27"/>
  <c r="K426" i="27"/>
  <c r="J426" i="27"/>
  <c r="I426" i="27"/>
  <c r="N425" i="27"/>
  <c r="M425" i="27"/>
  <c r="L425" i="27"/>
  <c r="K425" i="27"/>
  <c r="J425" i="27"/>
  <c r="I425" i="27"/>
  <c r="N424" i="27"/>
  <c r="M424" i="27"/>
  <c r="L424" i="27"/>
  <c r="K424" i="27"/>
  <c r="J424" i="27"/>
  <c r="I424" i="27"/>
  <c r="N423" i="27"/>
  <c r="M423" i="27"/>
  <c r="L423" i="27"/>
  <c r="K423" i="27"/>
  <c r="J423" i="27"/>
  <c r="I423" i="27"/>
  <c r="N422" i="27"/>
  <c r="M422" i="27"/>
  <c r="L422" i="27"/>
  <c r="K422" i="27"/>
  <c r="J422" i="27"/>
  <c r="I422" i="27"/>
  <c r="N421" i="27"/>
  <c r="M421" i="27"/>
  <c r="L421" i="27"/>
  <c r="K421" i="27"/>
  <c r="J421" i="27"/>
  <c r="I421" i="27"/>
  <c r="N420" i="27"/>
  <c r="M420" i="27"/>
  <c r="L420" i="27"/>
  <c r="K420" i="27"/>
  <c r="J420" i="27"/>
  <c r="I420" i="27"/>
  <c r="N419" i="27"/>
  <c r="M419" i="27"/>
  <c r="L419" i="27"/>
  <c r="K419" i="27"/>
  <c r="J419" i="27"/>
  <c r="I419" i="27"/>
  <c r="N418" i="27"/>
  <c r="M418" i="27"/>
  <c r="L418" i="27"/>
  <c r="K418" i="27"/>
  <c r="J418" i="27"/>
  <c r="I418" i="27"/>
  <c r="N417" i="27"/>
  <c r="M417" i="27"/>
  <c r="L417" i="27"/>
  <c r="K417" i="27"/>
  <c r="J417" i="27"/>
  <c r="I417" i="27"/>
  <c r="N416" i="27"/>
  <c r="M416" i="27"/>
  <c r="L416" i="27"/>
  <c r="K416" i="27"/>
  <c r="J416" i="27"/>
  <c r="I416" i="27"/>
  <c r="N415" i="27"/>
  <c r="M415" i="27"/>
  <c r="L415" i="27"/>
  <c r="K415" i="27"/>
  <c r="J415" i="27"/>
  <c r="I415" i="27"/>
  <c r="N414" i="27"/>
  <c r="M414" i="27"/>
  <c r="L414" i="27"/>
  <c r="K414" i="27"/>
  <c r="J414" i="27"/>
  <c r="I414" i="27"/>
  <c r="N413" i="27"/>
  <c r="M413" i="27"/>
  <c r="L413" i="27"/>
  <c r="K413" i="27"/>
  <c r="J413" i="27"/>
  <c r="I413" i="27"/>
  <c r="N412" i="27"/>
  <c r="M412" i="27"/>
  <c r="L412" i="27"/>
  <c r="K412" i="27"/>
  <c r="J412" i="27"/>
  <c r="I412" i="27"/>
  <c r="A412" i="27" a="1"/>
  <c r="A412" i="27" s="1"/>
  <c r="A369" i="27" a="1"/>
  <c r="A369" i="27" s="1"/>
  <c r="N363" i="27"/>
  <c r="M363" i="27"/>
  <c r="L363" i="27"/>
  <c r="K363" i="27"/>
  <c r="J363" i="27"/>
  <c r="I363" i="27"/>
  <c r="N362" i="27"/>
  <c r="M362" i="27"/>
  <c r="L362" i="27"/>
  <c r="K362" i="27"/>
  <c r="J362" i="27"/>
  <c r="I362" i="27"/>
  <c r="N361" i="27"/>
  <c r="M361" i="27"/>
  <c r="L361" i="27"/>
  <c r="K361" i="27"/>
  <c r="J361" i="27"/>
  <c r="I361" i="27"/>
  <c r="N360" i="27"/>
  <c r="M360" i="27"/>
  <c r="L360" i="27"/>
  <c r="K360" i="27"/>
  <c r="J360" i="27"/>
  <c r="I360" i="27"/>
  <c r="N359" i="27"/>
  <c r="M359" i="27"/>
  <c r="L359" i="27"/>
  <c r="K359" i="27"/>
  <c r="J359" i="27"/>
  <c r="I359" i="27"/>
  <c r="N358" i="27"/>
  <c r="M358" i="27"/>
  <c r="L358" i="27"/>
  <c r="K358" i="27"/>
  <c r="J358" i="27"/>
  <c r="I358" i="27"/>
  <c r="N357" i="27"/>
  <c r="M357" i="27"/>
  <c r="L357" i="27"/>
  <c r="K357" i="27"/>
  <c r="J357" i="27"/>
  <c r="I357" i="27"/>
  <c r="N356" i="27"/>
  <c r="M356" i="27"/>
  <c r="L356" i="27"/>
  <c r="K356" i="27"/>
  <c r="J356" i="27"/>
  <c r="I356" i="27"/>
  <c r="N355" i="27"/>
  <c r="M355" i="27"/>
  <c r="L355" i="27"/>
  <c r="K355" i="27"/>
  <c r="J355" i="27"/>
  <c r="I355" i="27"/>
  <c r="N354" i="27"/>
  <c r="M354" i="27"/>
  <c r="L354" i="27"/>
  <c r="K354" i="27"/>
  <c r="J354" i="27"/>
  <c r="I354" i="27"/>
  <c r="N353" i="27"/>
  <c r="M353" i="27"/>
  <c r="L353" i="27"/>
  <c r="K353" i="27"/>
  <c r="J353" i="27"/>
  <c r="I353" i="27"/>
  <c r="N352" i="27"/>
  <c r="M352" i="27"/>
  <c r="L352" i="27"/>
  <c r="K352" i="27"/>
  <c r="J352" i="27"/>
  <c r="I352" i="27"/>
  <c r="N351" i="27"/>
  <c r="M351" i="27"/>
  <c r="L351" i="27"/>
  <c r="K351" i="27"/>
  <c r="J351" i="27"/>
  <c r="I351" i="27"/>
  <c r="N350" i="27"/>
  <c r="M350" i="27"/>
  <c r="L350" i="27"/>
  <c r="K350" i="27"/>
  <c r="J350" i="27"/>
  <c r="I350" i="27"/>
  <c r="N349" i="27"/>
  <c r="M349" i="27"/>
  <c r="L349" i="27"/>
  <c r="K349" i="27"/>
  <c r="J349" i="27"/>
  <c r="I349" i="27"/>
  <c r="N348" i="27"/>
  <c r="M348" i="27"/>
  <c r="L348" i="27"/>
  <c r="K348" i="27"/>
  <c r="J348" i="27"/>
  <c r="I348" i="27"/>
  <c r="N347" i="27"/>
  <c r="M347" i="27"/>
  <c r="L347" i="27"/>
  <c r="K347" i="27"/>
  <c r="J347" i="27"/>
  <c r="I347" i="27"/>
  <c r="N346" i="27"/>
  <c r="M346" i="27"/>
  <c r="L346" i="27"/>
  <c r="K346" i="27"/>
  <c r="J346" i="27"/>
  <c r="I346" i="27"/>
  <c r="N345" i="27"/>
  <c r="M345" i="27"/>
  <c r="L345" i="27"/>
  <c r="K345" i="27"/>
  <c r="J345" i="27"/>
  <c r="I345" i="27"/>
  <c r="N344" i="27"/>
  <c r="M344" i="27"/>
  <c r="L344" i="27"/>
  <c r="K344" i="27"/>
  <c r="J344" i="27"/>
  <c r="I344" i="27"/>
  <c r="N343" i="27"/>
  <c r="M343" i="27"/>
  <c r="L343" i="27"/>
  <c r="K343" i="27"/>
  <c r="J343" i="27"/>
  <c r="I343" i="27"/>
  <c r="N342" i="27"/>
  <c r="M342" i="27"/>
  <c r="L342" i="27"/>
  <c r="K342" i="27"/>
  <c r="J342" i="27"/>
  <c r="I342" i="27"/>
  <c r="N341" i="27"/>
  <c r="M341" i="27"/>
  <c r="L341" i="27"/>
  <c r="K341" i="27"/>
  <c r="J341" i="27"/>
  <c r="I341" i="27"/>
  <c r="N340" i="27"/>
  <c r="M340" i="27"/>
  <c r="L340" i="27"/>
  <c r="K340" i="27"/>
  <c r="J340" i="27"/>
  <c r="I340" i="27"/>
  <c r="N339" i="27"/>
  <c r="M339" i="27"/>
  <c r="L339" i="27"/>
  <c r="K339" i="27"/>
  <c r="J339" i="27"/>
  <c r="I339" i="27"/>
  <c r="N338" i="27"/>
  <c r="M338" i="27"/>
  <c r="L338" i="27"/>
  <c r="K338" i="27"/>
  <c r="J338" i="27"/>
  <c r="I338" i="27"/>
  <c r="N337" i="27"/>
  <c r="M337" i="27"/>
  <c r="L337" i="27"/>
  <c r="K337" i="27"/>
  <c r="J337" i="27"/>
  <c r="I337" i="27"/>
  <c r="N336" i="27"/>
  <c r="M336" i="27"/>
  <c r="L336" i="27"/>
  <c r="K336" i="27"/>
  <c r="J336" i="27"/>
  <c r="I336" i="27"/>
  <c r="N335" i="27"/>
  <c r="M335" i="27"/>
  <c r="L335" i="27"/>
  <c r="K335" i="27"/>
  <c r="J335" i="27"/>
  <c r="I335" i="27"/>
  <c r="N334" i="27"/>
  <c r="M334" i="27"/>
  <c r="L334" i="27"/>
  <c r="K334" i="27"/>
  <c r="J334" i="27"/>
  <c r="I334" i="27"/>
  <c r="N333" i="27"/>
  <c r="M333" i="27"/>
  <c r="L333" i="27"/>
  <c r="K333" i="27"/>
  <c r="J333" i="27"/>
  <c r="I333" i="27"/>
  <c r="N332" i="27"/>
  <c r="M332" i="27"/>
  <c r="L332" i="27"/>
  <c r="K332" i="27"/>
  <c r="J332" i="27"/>
  <c r="I332" i="27"/>
  <c r="N331" i="27"/>
  <c r="M331" i="27"/>
  <c r="L331" i="27"/>
  <c r="K331" i="27"/>
  <c r="J331" i="27"/>
  <c r="I331" i="27"/>
  <c r="N330" i="27"/>
  <c r="M330" i="27"/>
  <c r="L330" i="27"/>
  <c r="K330" i="27"/>
  <c r="J330" i="27"/>
  <c r="I330" i="27"/>
  <c r="N329" i="27"/>
  <c r="M329" i="27"/>
  <c r="L329" i="27"/>
  <c r="K329" i="27"/>
  <c r="J329" i="27"/>
  <c r="I329" i="27"/>
  <c r="N328" i="27"/>
  <c r="M328" i="27"/>
  <c r="L328" i="27"/>
  <c r="K328" i="27"/>
  <c r="J328" i="27"/>
  <c r="I328" i="27"/>
  <c r="N327" i="27"/>
  <c r="M327" i="27"/>
  <c r="L327" i="27"/>
  <c r="K327" i="27"/>
  <c r="J327" i="27"/>
  <c r="I327" i="27"/>
  <c r="N326" i="27"/>
  <c r="M326" i="27"/>
  <c r="L326" i="27"/>
  <c r="K326" i="27"/>
  <c r="J326" i="27"/>
  <c r="I326" i="27"/>
  <c r="N325" i="27"/>
  <c r="M325" i="27"/>
  <c r="L325" i="27"/>
  <c r="K325" i="27"/>
  <c r="J325" i="27"/>
  <c r="I325" i="27"/>
  <c r="N324" i="27"/>
  <c r="M324" i="27"/>
  <c r="L324" i="27"/>
  <c r="K324" i="27"/>
  <c r="J324" i="27"/>
  <c r="I324" i="27"/>
  <c r="A324" i="27" a="1"/>
  <c r="A324" i="27" s="1"/>
  <c r="A281" i="27" a="1"/>
  <c r="A281" i="27" s="1"/>
  <c r="N275" i="27"/>
  <c r="M275" i="27"/>
  <c r="L275" i="27"/>
  <c r="K275" i="27"/>
  <c r="J275" i="27"/>
  <c r="I275" i="27"/>
  <c r="N274" i="27"/>
  <c r="M274" i="27"/>
  <c r="L274" i="27"/>
  <c r="K274" i="27"/>
  <c r="J274" i="27"/>
  <c r="I274" i="27"/>
  <c r="N273" i="27"/>
  <c r="M273" i="27"/>
  <c r="L273" i="27"/>
  <c r="K273" i="27"/>
  <c r="J273" i="27"/>
  <c r="I273" i="27"/>
  <c r="N272" i="27"/>
  <c r="M272" i="27"/>
  <c r="L272" i="27"/>
  <c r="K272" i="27"/>
  <c r="J272" i="27"/>
  <c r="I272" i="27"/>
  <c r="N271" i="27"/>
  <c r="M271" i="27"/>
  <c r="L271" i="27"/>
  <c r="K271" i="27"/>
  <c r="J271" i="27"/>
  <c r="I271" i="27"/>
  <c r="N270" i="27"/>
  <c r="M270" i="27"/>
  <c r="L270" i="27"/>
  <c r="K270" i="27"/>
  <c r="J270" i="27"/>
  <c r="I270" i="27"/>
  <c r="N269" i="27"/>
  <c r="M269" i="27"/>
  <c r="L269" i="27"/>
  <c r="K269" i="27"/>
  <c r="J269" i="27"/>
  <c r="I269" i="27"/>
  <c r="N268" i="27"/>
  <c r="M268" i="27"/>
  <c r="L268" i="27"/>
  <c r="K268" i="27"/>
  <c r="J268" i="27"/>
  <c r="I268" i="27"/>
  <c r="N267" i="27"/>
  <c r="M267" i="27"/>
  <c r="L267" i="27"/>
  <c r="K267" i="27"/>
  <c r="J267" i="27"/>
  <c r="I267" i="27"/>
  <c r="N266" i="27"/>
  <c r="M266" i="27"/>
  <c r="L266" i="27"/>
  <c r="K266" i="27"/>
  <c r="J266" i="27"/>
  <c r="I266" i="27"/>
  <c r="N265" i="27"/>
  <c r="M265" i="27"/>
  <c r="L265" i="27"/>
  <c r="K265" i="27"/>
  <c r="J265" i="27"/>
  <c r="I265" i="27"/>
  <c r="N264" i="27"/>
  <c r="M264" i="27"/>
  <c r="L264" i="27"/>
  <c r="K264" i="27"/>
  <c r="J264" i="27"/>
  <c r="I264" i="27"/>
  <c r="N263" i="27"/>
  <c r="M263" i="27"/>
  <c r="L263" i="27"/>
  <c r="K263" i="27"/>
  <c r="J263" i="27"/>
  <c r="I263" i="27"/>
  <c r="N262" i="27"/>
  <c r="M262" i="27"/>
  <c r="L262" i="27"/>
  <c r="K262" i="27"/>
  <c r="J262" i="27"/>
  <c r="I262" i="27"/>
  <c r="N261" i="27"/>
  <c r="M261" i="27"/>
  <c r="L261" i="27"/>
  <c r="K261" i="27"/>
  <c r="J261" i="27"/>
  <c r="I261" i="27"/>
  <c r="N260" i="27"/>
  <c r="M260" i="27"/>
  <c r="L260" i="27"/>
  <c r="K260" i="27"/>
  <c r="J260" i="27"/>
  <c r="I260" i="27"/>
  <c r="N259" i="27"/>
  <c r="M259" i="27"/>
  <c r="L259" i="27"/>
  <c r="K259" i="27"/>
  <c r="J259" i="27"/>
  <c r="I259" i="27"/>
  <c r="N258" i="27"/>
  <c r="M258" i="27"/>
  <c r="L258" i="27"/>
  <c r="K258" i="27"/>
  <c r="J258" i="27"/>
  <c r="I258" i="27"/>
  <c r="N257" i="27"/>
  <c r="M257" i="27"/>
  <c r="L257" i="27"/>
  <c r="K257" i="27"/>
  <c r="J257" i="27"/>
  <c r="I257" i="27"/>
  <c r="N256" i="27"/>
  <c r="M256" i="27"/>
  <c r="L256" i="27"/>
  <c r="K256" i="27"/>
  <c r="J256" i="27"/>
  <c r="I256" i="27"/>
  <c r="N255" i="27"/>
  <c r="M255" i="27"/>
  <c r="L255" i="27"/>
  <c r="K255" i="27"/>
  <c r="J255" i="27"/>
  <c r="I255" i="27"/>
  <c r="N254" i="27"/>
  <c r="M254" i="27"/>
  <c r="L254" i="27"/>
  <c r="K254" i="27"/>
  <c r="J254" i="27"/>
  <c r="I254" i="27"/>
  <c r="N253" i="27"/>
  <c r="M253" i="27"/>
  <c r="L253" i="27"/>
  <c r="K253" i="27"/>
  <c r="J253" i="27"/>
  <c r="I253" i="27"/>
  <c r="N252" i="27"/>
  <c r="M252" i="27"/>
  <c r="L252" i="27"/>
  <c r="K252" i="27"/>
  <c r="J252" i="27"/>
  <c r="I252" i="27"/>
  <c r="N251" i="27"/>
  <c r="M251" i="27"/>
  <c r="L251" i="27"/>
  <c r="K251" i="27"/>
  <c r="J251" i="27"/>
  <c r="I251" i="27"/>
  <c r="N250" i="27"/>
  <c r="M250" i="27"/>
  <c r="L250" i="27"/>
  <c r="K250" i="27"/>
  <c r="J250" i="27"/>
  <c r="I250" i="27"/>
  <c r="N249" i="27"/>
  <c r="M249" i="27"/>
  <c r="L249" i="27"/>
  <c r="K249" i="27"/>
  <c r="J249" i="27"/>
  <c r="I249" i="27"/>
  <c r="N248" i="27"/>
  <c r="M248" i="27"/>
  <c r="L248" i="27"/>
  <c r="K248" i="27"/>
  <c r="J248" i="27"/>
  <c r="I248" i="27"/>
  <c r="N247" i="27"/>
  <c r="M247" i="27"/>
  <c r="L247" i="27"/>
  <c r="K247" i="27"/>
  <c r="J247" i="27"/>
  <c r="I247" i="27"/>
  <c r="N246" i="27"/>
  <c r="M246" i="27"/>
  <c r="L246" i="27"/>
  <c r="K246" i="27"/>
  <c r="J246" i="27"/>
  <c r="I246" i="27"/>
  <c r="N245" i="27"/>
  <c r="M245" i="27"/>
  <c r="L245" i="27"/>
  <c r="K245" i="27"/>
  <c r="J245" i="27"/>
  <c r="I245" i="27"/>
  <c r="N244" i="27"/>
  <c r="M244" i="27"/>
  <c r="L244" i="27"/>
  <c r="K244" i="27"/>
  <c r="J244" i="27"/>
  <c r="I244" i="27"/>
  <c r="N243" i="27"/>
  <c r="M243" i="27"/>
  <c r="L243" i="27"/>
  <c r="K243" i="27"/>
  <c r="J243" i="27"/>
  <c r="I243" i="27"/>
  <c r="N242" i="27"/>
  <c r="M242" i="27"/>
  <c r="L242" i="27"/>
  <c r="K242" i="27"/>
  <c r="J242" i="27"/>
  <c r="I242" i="27"/>
  <c r="N241" i="27"/>
  <c r="M241" i="27"/>
  <c r="L241" i="27"/>
  <c r="K241" i="27"/>
  <c r="J241" i="27"/>
  <c r="I241" i="27"/>
  <c r="N240" i="27"/>
  <c r="M240" i="27"/>
  <c r="L240" i="27"/>
  <c r="K240" i="27"/>
  <c r="J240" i="27"/>
  <c r="I240" i="27"/>
  <c r="N239" i="27"/>
  <c r="M239" i="27"/>
  <c r="L239" i="27"/>
  <c r="K239" i="27"/>
  <c r="J239" i="27"/>
  <c r="I239" i="27"/>
  <c r="N238" i="27"/>
  <c r="M238" i="27"/>
  <c r="L238" i="27"/>
  <c r="K238" i="27"/>
  <c r="J238" i="27"/>
  <c r="I238" i="27"/>
  <c r="N237" i="27"/>
  <c r="M237" i="27"/>
  <c r="L237" i="27"/>
  <c r="K237" i="27"/>
  <c r="J237" i="27"/>
  <c r="I237" i="27"/>
  <c r="N236" i="27"/>
  <c r="M236" i="27"/>
  <c r="L236" i="27"/>
  <c r="K236" i="27"/>
  <c r="J236" i="27"/>
  <c r="I236" i="27"/>
  <c r="A236" i="27" a="1"/>
  <c r="A236" i="27" s="1"/>
  <c r="A192" i="27" a="1"/>
  <c r="A192" i="27" s="1"/>
  <c r="A148" i="27" a="1"/>
  <c r="A106" i="27" a="1"/>
  <c r="A63" i="27" a="1"/>
  <c r="A19" i="27" a="1"/>
  <c r="I68" i="27" l="1"/>
  <c r="I76" i="27"/>
  <c r="I84" i="27"/>
  <c r="I92" i="27"/>
  <c r="I100" i="27"/>
  <c r="H68" i="27"/>
  <c r="H76" i="27"/>
  <c r="H84" i="27"/>
  <c r="H92" i="27"/>
  <c r="H100" i="27"/>
  <c r="I77" i="27"/>
  <c r="I85" i="27"/>
  <c r="I93" i="27"/>
  <c r="I101" i="27"/>
  <c r="H69" i="27"/>
  <c r="H77" i="27"/>
  <c r="H85" i="27"/>
  <c r="H93" i="27"/>
  <c r="H101" i="27"/>
  <c r="I70" i="27"/>
  <c r="I86" i="27"/>
  <c r="I94" i="27"/>
  <c r="H70" i="27"/>
  <c r="H86" i="27"/>
  <c r="H94" i="27"/>
  <c r="H102" i="27"/>
  <c r="I71" i="27"/>
  <c r="H79" i="27"/>
  <c r="H87" i="27"/>
  <c r="I69" i="27"/>
  <c r="I78" i="27"/>
  <c r="H78" i="27"/>
  <c r="H71" i="27"/>
  <c r="I102" i="27"/>
  <c r="H95" i="27"/>
  <c r="I64" i="27"/>
  <c r="I72" i="27"/>
  <c r="I80" i="27"/>
  <c r="I88" i="27"/>
  <c r="I96" i="27"/>
  <c r="H64" i="27"/>
  <c r="H72" i="27"/>
  <c r="H80" i="27"/>
  <c r="H88" i="27"/>
  <c r="H96" i="27"/>
  <c r="I73" i="27"/>
  <c r="I89" i="27"/>
  <c r="I97" i="27"/>
  <c r="H73" i="27"/>
  <c r="H89" i="27"/>
  <c r="I95" i="27"/>
  <c r="I65" i="27"/>
  <c r="I81" i="27"/>
  <c r="H65" i="27"/>
  <c r="H81" i="27"/>
  <c r="H97" i="27"/>
  <c r="I87" i="27"/>
  <c r="I66" i="27"/>
  <c r="I74" i="27"/>
  <c r="I82" i="27"/>
  <c r="I90" i="27"/>
  <c r="I98" i="27"/>
  <c r="H66" i="27"/>
  <c r="H74" i="27"/>
  <c r="H82" i="27"/>
  <c r="H90" i="27"/>
  <c r="H98" i="27"/>
  <c r="I79" i="27"/>
  <c r="I67" i="27"/>
  <c r="I75" i="27"/>
  <c r="I83" i="27"/>
  <c r="I91" i="27"/>
  <c r="I99" i="27"/>
  <c r="H67" i="27"/>
  <c r="H75" i="27"/>
  <c r="H83" i="27"/>
  <c r="H91" i="27"/>
  <c r="H99" i="27"/>
  <c r="AP63" i="27" a="1"/>
  <c r="AP63" i="27" s="1"/>
  <c r="J276" i="27"/>
  <c r="J278" i="27" s="1"/>
  <c r="J452" i="27"/>
  <c r="J454" i="27" s="1"/>
  <c r="I276" i="27"/>
  <c r="I278" i="27" s="1"/>
  <c r="K276" i="27"/>
  <c r="K278" i="27" s="1"/>
  <c r="K452" i="27"/>
  <c r="K454" i="27" s="1"/>
  <c r="M276" i="27"/>
  <c r="M278" i="27" s="1"/>
  <c r="N276" i="27"/>
  <c r="N278" i="27" s="1"/>
  <c r="L276" i="27"/>
  <c r="L278" i="27" s="1"/>
  <c r="L452" i="27"/>
  <c r="L454" i="27" s="1"/>
  <c r="M452" i="27"/>
  <c r="M454" i="27" s="1"/>
  <c r="N452" i="27"/>
  <c r="N454" i="27" s="1"/>
  <c r="K364" i="27"/>
  <c r="K366" i="27" s="1"/>
  <c r="L364" i="27"/>
  <c r="L366" i="27" s="1"/>
  <c r="M364" i="27"/>
  <c r="M366" i="27" s="1"/>
  <c r="N364" i="27"/>
  <c r="N366" i="27" s="1"/>
  <c r="I364" i="27"/>
  <c r="I366" i="27" s="1"/>
  <c r="J364" i="27"/>
  <c r="J366" i="27" s="1"/>
  <c r="I452" i="27"/>
  <c r="I454" i="27" s="1"/>
  <c r="Y73" i="27"/>
  <c r="AR65" i="27" s="1"/>
  <c r="Y89" i="27"/>
  <c r="AR75" i="27" s="1"/>
  <c r="A106" i="27"/>
  <c r="A19" i="27"/>
  <c r="A63" i="27"/>
  <c r="A148" i="27"/>
  <c r="H182" i="27" l="1"/>
  <c r="H140" i="27"/>
  <c r="I182" i="27"/>
  <c r="I140" i="27"/>
  <c r="I181" i="27"/>
  <c r="I139" i="27"/>
  <c r="H163" i="27"/>
  <c r="H121" i="27"/>
  <c r="H171" i="27"/>
  <c r="H129" i="27"/>
  <c r="H162" i="27"/>
  <c r="H120" i="27"/>
  <c r="H169" i="27"/>
  <c r="H127" i="27"/>
  <c r="H151" i="27"/>
  <c r="H109" i="27"/>
  <c r="H166" i="27"/>
  <c r="H124" i="27"/>
  <c r="I174" i="27"/>
  <c r="I132" i="27"/>
  <c r="I173" i="27"/>
  <c r="I131" i="27"/>
  <c r="I163" i="27"/>
  <c r="I121" i="27"/>
  <c r="H155" i="27"/>
  <c r="H113" i="27"/>
  <c r="H154" i="27"/>
  <c r="H112" i="27"/>
  <c r="H161" i="27"/>
  <c r="H119" i="27"/>
  <c r="I176" i="27"/>
  <c r="I134" i="27"/>
  <c r="H184" i="27"/>
  <c r="H142" i="27"/>
  <c r="I160" i="27"/>
  <c r="I118" i="27"/>
  <c r="I183" i="27"/>
  <c r="I141" i="27"/>
  <c r="H150" i="27"/>
  <c r="H108" i="27"/>
  <c r="I158" i="27"/>
  <c r="I116" i="27"/>
  <c r="I165" i="27"/>
  <c r="I123" i="27"/>
  <c r="I154" i="27"/>
  <c r="I112" i="27"/>
  <c r="I179" i="27"/>
  <c r="I137" i="27"/>
  <c r="I186" i="27"/>
  <c r="I144" i="27"/>
  <c r="H153" i="27"/>
  <c r="H111" i="27"/>
  <c r="I152" i="27"/>
  <c r="I110" i="27"/>
  <c r="I175" i="27"/>
  <c r="I133" i="27"/>
  <c r="I166" i="27"/>
  <c r="I124" i="27"/>
  <c r="H181" i="27"/>
  <c r="H139" i="27"/>
  <c r="I157" i="27"/>
  <c r="I115" i="27"/>
  <c r="H172" i="27"/>
  <c r="H130" i="27"/>
  <c r="I171" i="27"/>
  <c r="I129" i="27"/>
  <c r="I178" i="27"/>
  <c r="I136" i="27"/>
  <c r="I185" i="27"/>
  <c r="I143" i="27"/>
  <c r="H159" i="27"/>
  <c r="H117" i="27"/>
  <c r="H168" i="27"/>
  <c r="H126" i="27"/>
  <c r="I164" i="27"/>
  <c r="I122" i="27"/>
  <c r="I167" i="27"/>
  <c r="I125" i="27"/>
  <c r="I150" i="27"/>
  <c r="I108" i="27"/>
  <c r="H173" i="27"/>
  <c r="H131" i="27"/>
  <c r="I149" i="27"/>
  <c r="I107" i="27"/>
  <c r="H164" i="27"/>
  <c r="H122" i="27"/>
  <c r="I155" i="27"/>
  <c r="I113" i="27"/>
  <c r="I170" i="27"/>
  <c r="I128" i="27"/>
  <c r="I177" i="27"/>
  <c r="I135" i="27"/>
  <c r="H160" i="27"/>
  <c r="H118" i="27"/>
  <c r="I159" i="27"/>
  <c r="I117" i="27"/>
  <c r="I180" i="27"/>
  <c r="I138" i="27"/>
  <c r="H165" i="27"/>
  <c r="H123" i="27"/>
  <c r="H180" i="27"/>
  <c r="H138" i="27"/>
  <c r="I156" i="27"/>
  <c r="I114" i="27"/>
  <c r="H186" i="27"/>
  <c r="H144" i="27"/>
  <c r="I162" i="27"/>
  <c r="I120" i="27"/>
  <c r="I169" i="27"/>
  <c r="I127" i="27"/>
  <c r="H176" i="27"/>
  <c r="H134" i="27"/>
  <c r="H152" i="27"/>
  <c r="H110" i="27"/>
  <c r="I151" i="27"/>
  <c r="I109" i="27"/>
  <c r="I187" i="27"/>
  <c r="I145" i="27"/>
  <c r="H187" i="27"/>
  <c r="H145" i="27"/>
  <c r="H178" i="27"/>
  <c r="H136" i="27"/>
  <c r="H185" i="27"/>
  <c r="H143" i="27"/>
  <c r="I161" i="27"/>
  <c r="I119" i="27"/>
  <c r="I168" i="27"/>
  <c r="I126" i="27"/>
  <c r="I63" i="27"/>
  <c r="H63" i="27"/>
  <c r="H183" i="27"/>
  <c r="H141" i="27"/>
  <c r="H175" i="27"/>
  <c r="H133" i="27"/>
  <c r="H174" i="27"/>
  <c r="H132" i="27"/>
  <c r="H157" i="27"/>
  <c r="H115" i="27"/>
  <c r="I184" i="27"/>
  <c r="I142" i="27"/>
  <c r="H167" i="27"/>
  <c r="H125" i="27"/>
  <c r="I172" i="27"/>
  <c r="I130" i="27"/>
  <c r="H158" i="27"/>
  <c r="H116" i="27"/>
  <c r="H149" i="27"/>
  <c r="H107" i="27"/>
  <c r="H156" i="27"/>
  <c r="H114" i="27"/>
  <c r="H179" i="27"/>
  <c r="H137" i="27"/>
  <c r="H170" i="27"/>
  <c r="H128" i="27"/>
  <c r="H177" i="27"/>
  <c r="H135" i="27"/>
  <c r="I153" i="27"/>
  <c r="I111" i="27"/>
  <c r="H193" i="27"/>
  <c r="A273" i="10" a="1"/>
  <c r="A273" i="10" s="1"/>
  <c r="A231" i="10" a="1"/>
  <c r="A231" i="10" s="1"/>
  <c r="A189" i="10" a="1"/>
  <c r="A189" i="10" s="1"/>
  <c r="A145" i="10" a="1"/>
  <c r="A98" i="10" a="1"/>
  <c r="H50" i="10" a="1"/>
  <c r="A50" i="10" a="1"/>
  <c r="A50" i="10" s="1"/>
  <c r="C79" i="27" s="1"/>
  <c r="H5" i="10" a="1"/>
  <c r="H148" i="27" l="1"/>
  <c r="H106" i="27"/>
  <c r="I148" i="27"/>
  <c r="I106" i="27"/>
  <c r="J84" i="10"/>
  <c r="J76" i="10"/>
  <c r="J68" i="10"/>
  <c r="J60" i="10"/>
  <c r="J52" i="10"/>
  <c r="J83" i="10"/>
  <c r="J75" i="10"/>
  <c r="J67" i="10"/>
  <c r="J59" i="10"/>
  <c r="J51" i="10"/>
  <c r="J82" i="10"/>
  <c r="J74" i="10"/>
  <c r="J66" i="10"/>
  <c r="J58" i="10"/>
  <c r="J89" i="10"/>
  <c r="J81" i="10"/>
  <c r="J73" i="10"/>
  <c r="J65" i="10"/>
  <c r="J57" i="10"/>
  <c r="J88" i="10"/>
  <c r="J80" i="10"/>
  <c r="J72" i="10"/>
  <c r="J64" i="10"/>
  <c r="J56" i="10"/>
  <c r="J87" i="10"/>
  <c r="J79" i="10"/>
  <c r="J71" i="10"/>
  <c r="J63" i="10"/>
  <c r="J55" i="10"/>
  <c r="J86" i="10"/>
  <c r="J78" i="10"/>
  <c r="J70" i="10"/>
  <c r="J62" i="10"/>
  <c r="J54" i="10"/>
  <c r="J85" i="10"/>
  <c r="J77" i="10"/>
  <c r="J69" i="10"/>
  <c r="J61" i="10"/>
  <c r="J53" i="10"/>
  <c r="D183" i="10"/>
  <c r="D181" i="10"/>
  <c r="D179" i="10"/>
  <c r="D177" i="10"/>
  <c r="D175" i="10"/>
  <c r="D173" i="10"/>
  <c r="D171" i="10"/>
  <c r="D169" i="10"/>
  <c r="D167" i="10"/>
  <c r="D165" i="10"/>
  <c r="D163" i="10"/>
  <c r="D161" i="10"/>
  <c r="D159" i="10"/>
  <c r="D157" i="10"/>
  <c r="D155" i="10"/>
  <c r="D153" i="10"/>
  <c r="D151" i="10"/>
  <c r="D149" i="10"/>
  <c r="D147" i="10"/>
  <c r="C183" i="10"/>
  <c r="C181" i="10"/>
  <c r="C179" i="10"/>
  <c r="C177" i="10"/>
  <c r="C175" i="10"/>
  <c r="C173" i="10"/>
  <c r="C171" i="10"/>
  <c r="C169" i="10"/>
  <c r="C167" i="10"/>
  <c r="C165" i="10"/>
  <c r="C163" i="10"/>
  <c r="C161" i="10"/>
  <c r="C159" i="10"/>
  <c r="C157" i="10"/>
  <c r="C155" i="10"/>
  <c r="C153" i="10"/>
  <c r="C151" i="10"/>
  <c r="C149" i="10"/>
  <c r="C147" i="10"/>
  <c r="F184" i="10"/>
  <c r="F182" i="10"/>
  <c r="F180" i="10"/>
  <c r="F178" i="10"/>
  <c r="F176" i="10"/>
  <c r="F174" i="10"/>
  <c r="F172" i="10"/>
  <c r="F170" i="10"/>
  <c r="F168" i="10"/>
  <c r="F166" i="10"/>
  <c r="F164" i="10"/>
  <c r="F162" i="10"/>
  <c r="F160" i="10"/>
  <c r="F158" i="10"/>
  <c r="F156" i="10"/>
  <c r="F154" i="10"/>
  <c r="F152" i="10"/>
  <c r="F150" i="10"/>
  <c r="F148" i="10"/>
  <c r="F146" i="10"/>
  <c r="E184" i="10"/>
  <c r="E182" i="10"/>
  <c r="E180" i="10"/>
  <c r="E178" i="10"/>
  <c r="E176" i="10"/>
  <c r="E174" i="10"/>
  <c r="E172" i="10"/>
  <c r="E170" i="10"/>
  <c r="E168" i="10"/>
  <c r="E166" i="10"/>
  <c r="E164" i="10"/>
  <c r="E162" i="10"/>
  <c r="E160" i="10"/>
  <c r="E158" i="10"/>
  <c r="E156" i="10"/>
  <c r="E154" i="10"/>
  <c r="E152" i="10"/>
  <c r="E150" i="10"/>
  <c r="E148" i="10"/>
  <c r="E146" i="10"/>
  <c r="D184" i="10"/>
  <c r="D182" i="10"/>
  <c r="D180" i="10"/>
  <c r="D178" i="10"/>
  <c r="D176" i="10"/>
  <c r="D174" i="10"/>
  <c r="D172" i="10"/>
  <c r="D170" i="10"/>
  <c r="D168" i="10"/>
  <c r="D166" i="10"/>
  <c r="D164" i="10"/>
  <c r="D162" i="10"/>
  <c r="D160" i="10"/>
  <c r="D158" i="10"/>
  <c r="D156" i="10"/>
  <c r="D154" i="10"/>
  <c r="D152" i="10"/>
  <c r="D150" i="10"/>
  <c r="D148" i="10"/>
  <c r="D146" i="10"/>
  <c r="C184" i="10"/>
  <c r="C182" i="10"/>
  <c r="C180" i="10"/>
  <c r="C178" i="10"/>
  <c r="C176" i="10"/>
  <c r="C174" i="10"/>
  <c r="C172" i="10"/>
  <c r="C170" i="10"/>
  <c r="C168" i="10"/>
  <c r="C166" i="10"/>
  <c r="C164" i="10"/>
  <c r="C162" i="10"/>
  <c r="C160" i="10"/>
  <c r="C158" i="10"/>
  <c r="C156" i="10"/>
  <c r="C154" i="10"/>
  <c r="C152" i="10"/>
  <c r="C150" i="10"/>
  <c r="C148" i="10"/>
  <c r="C146" i="10"/>
  <c r="F183" i="10"/>
  <c r="F181" i="10"/>
  <c r="F179" i="10"/>
  <c r="F177" i="10"/>
  <c r="F175" i="10"/>
  <c r="F173" i="10"/>
  <c r="F171" i="10"/>
  <c r="F169" i="10"/>
  <c r="F167" i="10"/>
  <c r="F165" i="10"/>
  <c r="F163" i="10"/>
  <c r="F161" i="10"/>
  <c r="F159" i="10"/>
  <c r="F157" i="10"/>
  <c r="F155" i="10"/>
  <c r="F153" i="10"/>
  <c r="F151" i="10"/>
  <c r="F149" i="10"/>
  <c r="F147" i="10"/>
  <c r="E183" i="10"/>
  <c r="E181" i="10"/>
  <c r="E179" i="10"/>
  <c r="E177" i="10"/>
  <c r="E175" i="10"/>
  <c r="E173" i="10"/>
  <c r="E171" i="10"/>
  <c r="E169" i="10"/>
  <c r="E167" i="10"/>
  <c r="E165" i="10"/>
  <c r="E163" i="10"/>
  <c r="E161" i="10"/>
  <c r="E159" i="10"/>
  <c r="E157" i="10"/>
  <c r="E155" i="10"/>
  <c r="E153" i="10"/>
  <c r="E151" i="10"/>
  <c r="E149" i="10"/>
  <c r="E147" i="10"/>
  <c r="J39" i="10"/>
  <c r="J31" i="10"/>
  <c r="J23" i="10"/>
  <c r="J15" i="10"/>
  <c r="J7" i="10"/>
  <c r="J38" i="10"/>
  <c r="J30" i="10"/>
  <c r="J22" i="10"/>
  <c r="J14" i="10"/>
  <c r="J6" i="10"/>
  <c r="J37" i="10"/>
  <c r="J29" i="10"/>
  <c r="J21" i="10"/>
  <c r="J13" i="10"/>
  <c r="J44" i="10"/>
  <c r="J36" i="10"/>
  <c r="J28" i="10"/>
  <c r="J20" i="10"/>
  <c r="J12" i="10"/>
  <c r="J43" i="10"/>
  <c r="J35" i="10"/>
  <c r="J27" i="10"/>
  <c r="J19" i="10"/>
  <c r="J11" i="10"/>
  <c r="J42" i="10"/>
  <c r="J34" i="10"/>
  <c r="J26" i="10"/>
  <c r="J18" i="10"/>
  <c r="J10" i="10"/>
  <c r="J41" i="10"/>
  <c r="J33" i="10"/>
  <c r="J25" i="10"/>
  <c r="J17" i="10"/>
  <c r="J9" i="10"/>
  <c r="J40" i="10"/>
  <c r="J32" i="10"/>
  <c r="J24" i="10"/>
  <c r="J16" i="10"/>
  <c r="J8" i="10"/>
  <c r="C75" i="27"/>
  <c r="C71" i="27"/>
  <c r="C67" i="27"/>
  <c r="C99" i="27"/>
  <c r="C95" i="27"/>
  <c r="C63" i="27"/>
  <c r="C106" i="27"/>
  <c r="C91" i="27"/>
  <c r="C87" i="27"/>
  <c r="C83" i="27"/>
  <c r="C181" i="27"/>
  <c r="C177" i="27"/>
  <c r="C173" i="27"/>
  <c r="C169" i="27"/>
  <c r="C165" i="27"/>
  <c r="C161" i="27"/>
  <c r="C157" i="27"/>
  <c r="C153" i="27"/>
  <c r="C149" i="27"/>
  <c r="C185" i="27"/>
  <c r="C100" i="27"/>
  <c r="C96" i="27"/>
  <c r="C92" i="27"/>
  <c r="C88" i="27"/>
  <c r="C84" i="27"/>
  <c r="C80" i="27"/>
  <c r="C76" i="27"/>
  <c r="C72" i="27"/>
  <c r="C68" i="27"/>
  <c r="C64" i="27"/>
  <c r="C187" i="27"/>
  <c r="C183" i="27"/>
  <c r="C179" i="27"/>
  <c r="C175" i="27"/>
  <c r="C171" i="27"/>
  <c r="C167" i="27"/>
  <c r="C163" i="27"/>
  <c r="C159" i="27"/>
  <c r="C155" i="27"/>
  <c r="C151" i="27"/>
  <c r="C145" i="27"/>
  <c r="C141" i="27"/>
  <c r="C137" i="27"/>
  <c r="C133" i="27"/>
  <c r="C129" i="27"/>
  <c r="C125" i="27"/>
  <c r="C121" i="27"/>
  <c r="C117" i="27"/>
  <c r="C113" i="27"/>
  <c r="C109" i="27"/>
  <c r="C94" i="27"/>
  <c r="C78" i="27"/>
  <c r="C102" i="27"/>
  <c r="C90" i="27"/>
  <c r="C82" i="27"/>
  <c r="C74" i="27"/>
  <c r="C70" i="27"/>
  <c r="C66" i="27"/>
  <c r="C182" i="27"/>
  <c r="C170" i="27"/>
  <c r="C162" i="27"/>
  <c r="C150" i="27"/>
  <c r="C144" i="27"/>
  <c r="C140" i="27"/>
  <c r="C136" i="27"/>
  <c r="C132" i="27"/>
  <c r="C128" i="27"/>
  <c r="C124" i="27"/>
  <c r="C120" i="27"/>
  <c r="C116" i="27"/>
  <c r="C112" i="27"/>
  <c r="C108" i="27"/>
  <c r="C98" i="27"/>
  <c r="C86" i="27"/>
  <c r="C186" i="27"/>
  <c r="C178" i="27"/>
  <c r="C174" i="27"/>
  <c r="C166" i="27"/>
  <c r="C158" i="27"/>
  <c r="C154" i="27"/>
  <c r="C101" i="27"/>
  <c r="C97" i="27"/>
  <c r="C93" i="27"/>
  <c r="C89" i="27"/>
  <c r="C85" i="27"/>
  <c r="C81" i="27"/>
  <c r="C77" i="27"/>
  <c r="C73" i="27"/>
  <c r="C69" i="27"/>
  <c r="C65" i="27"/>
  <c r="C143" i="27"/>
  <c r="C139" i="27"/>
  <c r="C135" i="27"/>
  <c r="C131" i="27"/>
  <c r="C127" i="27"/>
  <c r="C123" i="27"/>
  <c r="C119" i="27"/>
  <c r="C115" i="27"/>
  <c r="C111" i="27"/>
  <c r="C107" i="27"/>
  <c r="C184" i="27"/>
  <c r="C180" i="27"/>
  <c r="C176" i="27"/>
  <c r="C172" i="27"/>
  <c r="C168" i="27"/>
  <c r="C164" i="27"/>
  <c r="C160" i="27"/>
  <c r="C156" i="27"/>
  <c r="C152" i="27"/>
  <c r="C148" i="27"/>
  <c r="C142" i="27"/>
  <c r="C138" i="27"/>
  <c r="C134" i="27"/>
  <c r="C130" i="27"/>
  <c r="C126" i="27"/>
  <c r="C122" i="27"/>
  <c r="C118" i="27"/>
  <c r="C114" i="27"/>
  <c r="C110" i="27"/>
  <c r="A145" i="10"/>
  <c r="H50" i="10"/>
  <c r="J50" i="10" s="1"/>
  <c r="A98" i="10"/>
  <c r="H5" i="10"/>
  <c r="J5" i="10" s="1"/>
  <c r="D145" i="10" l="1"/>
  <c r="C145" i="10"/>
  <c r="F145" i="10"/>
  <c r="E145" i="10"/>
  <c r="Y180" i="27"/>
  <c r="Y92" i="27"/>
  <c r="Y159" i="27"/>
  <c r="Y177" i="27"/>
  <c r="Y120" i="27"/>
  <c r="Y74" i="27"/>
  <c r="AR66" i="27" s="1"/>
  <c r="Y162" i="27"/>
  <c r="Y88" i="27"/>
  <c r="Y158" i="27"/>
  <c r="Y76" i="27"/>
  <c r="AR68" i="27" s="1"/>
  <c r="Y87" i="27"/>
  <c r="Y119" i="27"/>
  <c r="Y173" i="27" l="1"/>
  <c r="Y187" i="27"/>
  <c r="Y116" i="27"/>
  <c r="Y129" i="27"/>
  <c r="Y171" i="27"/>
  <c r="Y118" i="27"/>
  <c r="Y130" i="27"/>
  <c r="Y77" i="27"/>
  <c r="AR69" i="27" s="1"/>
  <c r="Y117" i="27"/>
  <c r="Y135" i="27"/>
  <c r="Y161" i="27"/>
  <c r="Z116" i="27"/>
  <c r="Y95" i="27"/>
  <c r="Y86" i="27"/>
  <c r="Y131" i="27"/>
  <c r="Y138" i="27"/>
  <c r="Y75" i="27"/>
  <c r="AR67" i="27" s="1"/>
  <c r="Y145" i="27"/>
  <c r="Y172" i="27"/>
  <c r="Y160" i="27"/>
  <c r="Z187" i="27"/>
  <c r="Y150" i="27"/>
  <c r="Y137" i="27"/>
  <c r="Y151" i="27"/>
  <c r="Y133" i="27"/>
  <c r="Y142" i="27"/>
  <c r="Z161" i="27"/>
  <c r="Y90" i="27"/>
  <c r="AR76" i="27" s="1"/>
  <c r="Z162" i="27"/>
  <c r="Y132" i="27"/>
  <c r="Y108" i="27"/>
  <c r="Y184" i="27"/>
  <c r="Y63" i="27"/>
  <c r="Y109" i="27"/>
  <c r="Z135" i="27"/>
  <c r="Z177" i="27"/>
  <c r="Y174" i="27"/>
  <c r="Y101" i="27"/>
  <c r="AR81" i="27" s="1"/>
  <c r="Z138" i="27"/>
  <c r="Y79" i="27"/>
  <c r="AR71" i="27" s="1"/>
  <c r="Y185" i="27"/>
  <c r="Z148" i="27"/>
  <c r="Y111" i="27"/>
  <c r="Y123" i="27"/>
  <c r="Y186" i="27"/>
  <c r="Z119" i="27"/>
  <c r="Y164" i="27"/>
  <c r="Y107" i="27"/>
  <c r="Y153" i="27"/>
  <c r="Y80" i="27"/>
  <c r="AR72" i="27" s="1"/>
  <c r="Z75" i="27"/>
  <c r="Y122" i="27"/>
  <c r="Y149" i="27"/>
  <c r="Y81" i="27"/>
  <c r="Y178" i="27"/>
  <c r="Y96" i="27"/>
  <c r="Y165" i="27"/>
  <c r="Z159" i="27"/>
  <c r="Y83" i="27"/>
  <c r="AR73" i="27" s="1"/>
  <c r="Y110" i="27"/>
  <c r="Y124" i="27"/>
  <c r="Y93" i="27"/>
  <c r="AR77" i="27" s="1"/>
  <c r="Z77" i="27"/>
  <c r="Y181" i="27"/>
  <c r="Y78" i="27"/>
  <c r="AR70" i="27" s="1"/>
  <c r="Z92" i="27"/>
  <c r="Z171" i="27"/>
  <c r="Y168" i="27"/>
  <c r="Y143" i="27"/>
  <c r="Y99" i="27"/>
  <c r="AR79" i="27" s="1"/>
  <c r="Y100" i="27"/>
  <c r="AR80" i="27" s="1"/>
  <c r="Y106" i="27"/>
  <c r="Y139" i="27"/>
  <c r="Y144" i="27"/>
  <c r="Z130" i="27"/>
  <c r="Y152" i="27"/>
  <c r="Y166" i="27"/>
  <c r="Y169" i="27"/>
  <c r="Y125" i="27"/>
  <c r="Y136" i="27"/>
  <c r="Y128" i="27"/>
  <c r="Y163" i="27"/>
  <c r="Y126" i="27"/>
  <c r="Z117" i="27"/>
  <c r="Y127" i="27"/>
  <c r="Y85" i="27"/>
  <c r="Z118" i="27"/>
  <c r="Z73" i="27"/>
  <c r="Y134" i="27"/>
  <c r="Z87" i="27"/>
  <c r="Y141" i="27"/>
  <c r="Y91" i="27"/>
  <c r="Y94" i="27"/>
  <c r="AR78" i="27" s="1"/>
  <c r="Y183" i="27"/>
  <c r="Y182" i="27"/>
  <c r="Z88" i="27"/>
  <c r="Y140" i="27"/>
  <c r="Y67" i="27"/>
  <c r="Z76" i="27"/>
  <c r="Y82" i="27"/>
  <c r="Y98" i="27"/>
  <c r="Y121" i="27"/>
  <c r="Y84" i="27"/>
  <c r="AR74" i="27" s="1"/>
  <c r="Y167" i="27"/>
  <c r="Y170" i="27"/>
  <c r="Z74" i="27"/>
  <c r="Z95" i="27"/>
  <c r="Z180" i="27"/>
  <c r="Y176" i="27"/>
  <c r="Z145" i="27"/>
  <c r="Y179" i="27"/>
  <c r="Z158" i="27"/>
  <c r="Y175" i="27"/>
  <c r="Y97" i="27"/>
  <c r="Z120" i="27"/>
  <c r="Z172" i="27"/>
  <c r="Z160" i="27"/>
  <c r="AR63" i="27" l="1"/>
  <c r="Z129" i="27"/>
  <c r="Z86" i="27"/>
  <c r="Z131" i="27"/>
  <c r="Z102" i="27"/>
  <c r="Z173" i="27"/>
  <c r="AA187" i="27"/>
  <c r="Z132" i="27"/>
  <c r="AA74" i="27"/>
  <c r="Z98" i="27"/>
  <c r="Z134" i="27"/>
  <c r="Z139" i="27"/>
  <c r="Z93" i="27"/>
  <c r="Z96" i="27"/>
  <c r="AA135" i="27"/>
  <c r="AA162" i="27"/>
  <c r="AA116" i="27"/>
  <c r="AA145" i="27"/>
  <c r="Z182" i="27"/>
  <c r="AA117" i="27"/>
  <c r="Z169" i="27"/>
  <c r="Z106" i="27"/>
  <c r="Z168" i="27"/>
  <c r="AA75" i="27"/>
  <c r="Z186" i="27"/>
  <c r="Z79" i="27"/>
  <c r="Z184" i="27"/>
  <c r="Z90" i="27"/>
  <c r="AA76" i="27"/>
  <c r="Z94" i="27"/>
  <c r="AA118" i="27"/>
  <c r="Z152" i="27"/>
  <c r="Z100" i="27"/>
  <c r="Z110" i="27"/>
  <c r="AA138" i="27"/>
  <c r="AA161" i="27"/>
  <c r="AA172" i="27"/>
  <c r="Z84" i="27"/>
  <c r="Z85" i="27"/>
  <c r="Z111" i="27"/>
  <c r="Z101" i="27"/>
  <c r="Z142" i="27"/>
  <c r="AA131" i="27"/>
  <c r="AA180" i="27"/>
  <c r="Z91" i="27"/>
  <c r="Z128" i="27"/>
  <c r="AA130" i="27"/>
  <c r="Z99" i="27"/>
  <c r="Z78" i="27"/>
  <c r="Z83" i="27"/>
  <c r="Z107" i="27"/>
  <c r="Z108" i="27"/>
  <c r="AA120" i="27"/>
  <c r="AA158" i="27"/>
  <c r="AA86" i="27"/>
  <c r="Z140" i="27"/>
  <c r="Z141" i="27"/>
  <c r="Z164" i="27"/>
  <c r="AA148" i="27"/>
  <c r="Z174" i="27"/>
  <c r="Z133" i="27"/>
  <c r="Z127" i="27"/>
  <c r="Z136" i="27"/>
  <c r="AA129" i="27"/>
  <c r="Z181" i="27"/>
  <c r="AA159" i="27"/>
  <c r="Z149" i="27"/>
  <c r="Z151" i="27"/>
  <c r="Z179" i="27"/>
  <c r="AA95" i="27"/>
  <c r="Z121" i="27"/>
  <c r="AA88" i="27"/>
  <c r="AA87" i="27"/>
  <c r="Z144" i="27"/>
  <c r="Z122" i="27"/>
  <c r="AA119" i="27"/>
  <c r="AA177" i="27"/>
  <c r="AA173" i="27"/>
  <c r="AA102" i="27"/>
  <c r="Z125" i="27"/>
  <c r="Z143" i="27"/>
  <c r="AA77" i="27"/>
  <c r="Z165" i="27"/>
  <c r="Z185" i="27"/>
  <c r="Z137" i="27"/>
  <c r="Z170" i="27"/>
  <c r="Z82" i="27"/>
  <c r="Z126" i="27"/>
  <c r="Z166" i="27"/>
  <c r="Z124" i="27"/>
  <c r="Z80" i="27"/>
  <c r="Z89" i="27"/>
  <c r="Z109" i="27"/>
  <c r="Z150" i="27"/>
  <c r="Z97" i="27"/>
  <c r="Z176" i="27"/>
  <c r="Z167" i="27"/>
  <c r="Z183" i="27"/>
  <c r="AA73" i="27"/>
  <c r="AA171" i="27"/>
  <c r="Z178" i="27"/>
  <c r="AA160" i="27"/>
  <c r="Z175" i="27"/>
  <c r="Z163" i="27"/>
  <c r="AA92" i="27"/>
  <c r="Z81" i="27"/>
  <c r="Z153" i="27"/>
  <c r="Z123" i="27"/>
  <c r="AA141" i="27" l="1"/>
  <c r="AB75" i="27"/>
  <c r="AA150" i="27"/>
  <c r="AA127" i="27"/>
  <c r="AA139" i="27"/>
  <c r="AA163" i="27"/>
  <c r="AB116" i="27"/>
  <c r="AA109" i="27"/>
  <c r="AB180" i="27"/>
  <c r="AA90" i="27"/>
  <c r="AA134" i="27"/>
  <c r="AA175" i="27"/>
  <c r="AA143" i="27"/>
  <c r="AB177" i="27"/>
  <c r="AB88" i="27"/>
  <c r="AB159" i="27"/>
  <c r="AA133" i="27"/>
  <c r="AB86" i="27"/>
  <c r="AA78" i="27"/>
  <c r="AA100" i="27"/>
  <c r="AA123" i="27"/>
  <c r="AA167" i="27"/>
  <c r="AA89" i="27"/>
  <c r="AA174" i="27"/>
  <c r="AB131" i="27"/>
  <c r="AA84" i="27"/>
  <c r="AA152" i="27"/>
  <c r="AA184" i="27"/>
  <c r="AB162" i="27"/>
  <c r="AB160" i="27"/>
  <c r="AA176" i="27"/>
  <c r="AA170" i="27"/>
  <c r="AA125" i="27"/>
  <c r="AB119" i="27"/>
  <c r="AA121" i="27"/>
  <c r="AA181" i="27"/>
  <c r="AB158" i="27"/>
  <c r="AA99" i="27"/>
  <c r="AA169" i="27"/>
  <c r="AB135" i="27"/>
  <c r="AA98" i="27"/>
  <c r="AA111" i="27"/>
  <c r="AB145" i="27"/>
  <c r="AB73" i="27"/>
  <c r="AB173" i="27"/>
  <c r="AA107" i="27"/>
  <c r="AA91" i="27"/>
  <c r="AB76" i="27"/>
  <c r="AA93" i="27"/>
  <c r="AA140" i="27"/>
  <c r="AA168" i="27"/>
  <c r="AA82" i="27"/>
  <c r="AA149" i="27"/>
  <c r="AA106" i="27"/>
  <c r="AA80" i="27"/>
  <c r="AA137" i="27"/>
  <c r="AA122" i="27"/>
  <c r="AB120" i="27"/>
  <c r="AB130" i="27"/>
  <c r="AA142" i="27"/>
  <c r="AB172" i="27"/>
  <c r="AA153" i="27"/>
  <c r="AA178" i="27"/>
  <c r="AB102" i="27"/>
  <c r="AB95" i="27"/>
  <c r="AB148" i="27"/>
  <c r="AA101" i="27"/>
  <c r="AB161" i="27"/>
  <c r="AB118" i="27"/>
  <c r="AA79" i="27"/>
  <c r="AB117" i="27"/>
  <c r="AB74" i="27"/>
  <c r="AA81" i="27"/>
  <c r="AB171" i="27"/>
  <c r="AA97" i="27"/>
  <c r="AA124" i="27"/>
  <c r="AB129" i="27"/>
  <c r="AA164" i="27"/>
  <c r="AA128" i="27"/>
  <c r="AA96" i="27"/>
  <c r="AA132" i="27"/>
  <c r="AB92" i="27"/>
  <c r="AA165" i="27"/>
  <c r="AA126" i="27"/>
  <c r="AB87" i="27"/>
  <c r="AA151" i="27"/>
  <c r="AA110" i="27"/>
  <c r="AA183" i="27"/>
  <c r="AB77" i="27"/>
  <c r="AA83" i="27"/>
  <c r="AA85" i="27"/>
  <c r="AA166" i="27"/>
  <c r="AA185" i="27"/>
  <c r="AA144" i="27"/>
  <c r="AA179" i="27"/>
  <c r="AA136" i="27"/>
  <c r="AA108" i="27"/>
  <c r="AB138" i="27"/>
  <c r="AA94" i="27"/>
  <c r="AA186" i="27"/>
  <c r="AA182" i="27"/>
  <c r="AB187" i="27" l="1"/>
  <c r="AB128" i="27"/>
  <c r="AB107" i="27"/>
  <c r="AB81" i="27"/>
  <c r="AB175" i="27"/>
  <c r="AB151" i="27"/>
  <c r="AB142" i="27"/>
  <c r="AB80" i="27"/>
  <c r="AB169" i="27"/>
  <c r="AB125" i="27"/>
  <c r="AB167" i="27"/>
  <c r="AB133" i="27"/>
  <c r="AB85" i="27"/>
  <c r="AB79" i="27"/>
  <c r="AB93" i="27"/>
  <c r="AB134" i="27"/>
  <c r="AB94" i="27"/>
  <c r="AB139" i="27"/>
  <c r="AB183" i="27"/>
  <c r="AB153" i="27"/>
  <c r="AB82" i="27"/>
  <c r="AB98" i="27"/>
  <c r="AB121" i="27"/>
  <c r="AB78" i="27"/>
  <c r="AB166" i="27"/>
  <c r="AB101" i="27"/>
  <c r="AB122" i="27"/>
  <c r="AB143" i="27"/>
  <c r="AB109" i="27"/>
  <c r="AB83" i="27"/>
  <c r="AB123" i="27"/>
  <c r="AB110" i="27"/>
  <c r="AB165" i="27"/>
  <c r="AB168" i="27"/>
  <c r="AB174" i="27"/>
  <c r="AB127" i="27"/>
  <c r="AB108" i="27"/>
  <c r="AB164" i="27"/>
  <c r="AB137" i="27"/>
  <c r="AB136" i="27"/>
  <c r="AB140" i="27"/>
  <c r="AB184" i="27"/>
  <c r="AB89" i="27"/>
  <c r="AB150" i="27"/>
  <c r="AB182" i="27"/>
  <c r="AB179" i="27"/>
  <c r="AB132" i="27"/>
  <c r="AB124" i="27"/>
  <c r="AB106" i="27"/>
  <c r="AB99" i="27"/>
  <c r="AB170" i="27"/>
  <c r="AB152" i="27"/>
  <c r="AB186" i="27"/>
  <c r="AB144" i="27"/>
  <c r="AB96" i="27"/>
  <c r="AB97" i="27"/>
  <c r="AB91" i="27"/>
  <c r="AB111" i="27"/>
  <c r="AB84" i="27"/>
  <c r="AB90" i="27"/>
  <c r="AB163" i="27"/>
  <c r="AB185" i="27"/>
  <c r="AB126" i="27"/>
  <c r="AB178" i="27"/>
  <c r="AB149" i="27"/>
  <c r="AB181" i="27"/>
  <c r="AB176" i="27"/>
  <c r="AB100" i="27"/>
  <c r="AB141" i="27"/>
  <c r="C70" i="29" l="1"/>
  <c r="V314" i="29" l="1"/>
  <c r="U314" i="29"/>
  <c r="T314" i="29"/>
  <c r="S314" i="29"/>
  <c r="R314" i="29"/>
  <c r="V298" i="29"/>
  <c r="U298" i="29"/>
  <c r="T298" i="29"/>
  <c r="S298" i="29"/>
  <c r="R298" i="29"/>
  <c r="V129" i="29"/>
  <c r="U129" i="29"/>
  <c r="T129" i="29"/>
  <c r="S129" i="29"/>
  <c r="R129" i="29"/>
  <c r="Q129" i="29"/>
  <c r="P129" i="29"/>
  <c r="O129" i="29"/>
  <c r="N129" i="29"/>
  <c r="M129" i="29"/>
  <c r="L129" i="29"/>
  <c r="K129" i="29"/>
  <c r="J129" i="29"/>
  <c r="I129" i="29"/>
  <c r="H129" i="29"/>
  <c r="G129" i="29"/>
  <c r="F129" i="29"/>
  <c r="E129" i="29"/>
  <c r="V128" i="29"/>
  <c r="U128" i="29"/>
  <c r="T128" i="29"/>
  <c r="S128" i="29"/>
  <c r="R128" i="29"/>
  <c r="Q128" i="29"/>
  <c r="P128" i="29"/>
  <c r="O128" i="29"/>
  <c r="N128" i="29"/>
  <c r="M128" i="29"/>
  <c r="L128" i="29"/>
  <c r="K128" i="29"/>
  <c r="J128" i="29"/>
  <c r="I128" i="29"/>
  <c r="H128" i="29"/>
  <c r="C153" i="29"/>
  <c r="V113" i="29"/>
  <c r="U113" i="29"/>
  <c r="T113" i="29"/>
  <c r="S113" i="29"/>
  <c r="R113" i="29"/>
  <c r="S89" i="29"/>
  <c r="V88" i="29"/>
  <c r="R87" i="29"/>
  <c r="O85" i="29"/>
  <c r="N85" i="29"/>
  <c r="M85" i="29"/>
  <c r="L85" i="29"/>
  <c r="K81" i="29"/>
  <c r="G80" i="29"/>
  <c r="J79" i="29"/>
  <c r="K78" i="29"/>
  <c r="J78" i="29"/>
  <c r="I78" i="29"/>
  <c r="K72" i="29"/>
  <c r="J72" i="29"/>
  <c r="I72" i="29"/>
  <c r="L71" i="29"/>
  <c r="J71" i="29"/>
  <c r="I71" i="29"/>
  <c r="V90" i="29"/>
  <c r="U90" i="29"/>
  <c r="T90" i="29"/>
  <c r="S90" i="29"/>
  <c r="R90" i="29"/>
  <c r="Q90" i="29"/>
  <c r="P90" i="29"/>
  <c r="O90" i="29"/>
  <c r="N90" i="29"/>
  <c r="M90" i="29"/>
  <c r="L90" i="29"/>
  <c r="K90" i="29"/>
  <c r="J90" i="29"/>
  <c r="I90" i="29"/>
  <c r="H90" i="29"/>
  <c r="G90" i="29"/>
  <c r="F90" i="29"/>
  <c r="E90" i="29"/>
  <c r="D90" i="29"/>
  <c r="C90" i="29"/>
  <c r="V89" i="29"/>
  <c r="U89" i="29"/>
  <c r="T89" i="29"/>
  <c r="R89" i="29"/>
  <c r="Q89" i="29"/>
  <c r="P89" i="29"/>
  <c r="O89" i="29"/>
  <c r="N89" i="29"/>
  <c r="M89" i="29"/>
  <c r="L89" i="29"/>
  <c r="K89" i="29"/>
  <c r="J89" i="29"/>
  <c r="I89" i="29"/>
  <c r="H89" i="29"/>
  <c r="G89" i="29"/>
  <c r="F89" i="29"/>
  <c r="E89" i="29"/>
  <c r="D89" i="29"/>
  <c r="C89" i="29"/>
  <c r="U88" i="29"/>
  <c r="T88" i="29"/>
  <c r="S88" i="29"/>
  <c r="R88" i="29"/>
  <c r="Q88" i="29"/>
  <c r="P88" i="29"/>
  <c r="O88" i="29"/>
  <c r="N88" i="29"/>
  <c r="M88" i="29"/>
  <c r="L88" i="29"/>
  <c r="K88" i="29"/>
  <c r="J88" i="29"/>
  <c r="I88" i="29"/>
  <c r="H88" i="29"/>
  <c r="G88" i="29"/>
  <c r="F88" i="29"/>
  <c r="E88" i="29"/>
  <c r="D88" i="29"/>
  <c r="C88" i="29"/>
  <c r="V87" i="29"/>
  <c r="U87" i="29"/>
  <c r="T87" i="29"/>
  <c r="S87" i="29"/>
  <c r="Q87" i="29"/>
  <c r="P87" i="29"/>
  <c r="O87" i="29"/>
  <c r="N87" i="29"/>
  <c r="M87" i="29"/>
  <c r="L87" i="29"/>
  <c r="K87" i="29"/>
  <c r="J87" i="29"/>
  <c r="I87" i="29"/>
  <c r="H87" i="29"/>
  <c r="G87" i="29"/>
  <c r="F87" i="29"/>
  <c r="E87" i="29"/>
  <c r="D87" i="29"/>
  <c r="C87" i="29"/>
  <c r="V86" i="29"/>
  <c r="U86" i="29"/>
  <c r="T86" i="29"/>
  <c r="S86" i="29"/>
  <c r="R86" i="29"/>
  <c r="Q86" i="29"/>
  <c r="P86" i="29"/>
  <c r="O86" i="29"/>
  <c r="N86" i="29"/>
  <c r="N283" i="29" s="1"/>
  <c r="M86" i="29"/>
  <c r="L86" i="29"/>
  <c r="K86" i="29"/>
  <c r="K274" i="29" s="1"/>
  <c r="J86" i="29"/>
  <c r="I86" i="29"/>
  <c r="H86" i="29"/>
  <c r="G86" i="29"/>
  <c r="G274" i="29" s="1"/>
  <c r="F86" i="29"/>
  <c r="E86" i="29"/>
  <c r="D86" i="29"/>
  <c r="C86" i="29"/>
  <c r="C283" i="29" s="1"/>
  <c r="V85" i="29"/>
  <c r="U85" i="29"/>
  <c r="T85" i="29"/>
  <c r="S85" i="29"/>
  <c r="R85" i="29"/>
  <c r="Q85" i="29"/>
  <c r="P85" i="29"/>
  <c r="K85" i="29"/>
  <c r="J85" i="29"/>
  <c r="I85" i="29"/>
  <c r="H85" i="29"/>
  <c r="G85" i="29"/>
  <c r="F85" i="29"/>
  <c r="E85" i="29"/>
  <c r="D85" i="29"/>
  <c r="C85" i="29"/>
  <c r="V81" i="29"/>
  <c r="U81" i="29"/>
  <c r="T81" i="29"/>
  <c r="S81" i="29"/>
  <c r="R81" i="29"/>
  <c r="Q81" i="29"/>
  <c r="P81" i="29"/>
  <c r="O81" i="29"/>
  <c r="N81" i="29"/>
  <c r="M81" i="29"/>
  <c r="L81" i="29"/>
  <c r="J81" i="29"/>
  <c r="I81" i="29"/>
  <c r="H81" i="29"/>
  <c r="G81" i="29"/>
  <c r="F81" i="29"/>
  <c r="E81" i="29"/>
  <c r="D81" i="29"/>
  <c r="C81" i="29"/>
  <c r="V80" i="29"/>
  <c r="U80" i="29"/>
  <c r="T80" i="29"/>
  <c r="S80" i="29"/>
  <c r="R80" i="29"/>
  <c r="Q80" i="29"/>
  <c r="P80" i="29"/>
  <c r="O80" i="29"/>
  <c r="N80" i="29"/>
  <c r="M80" i="29"/>
  <c r="L80" i="29"/>
  <c r="K80" i="29"/>
  <c r="J80" i="29"/>
  <c r="I80" i="29"/>
  <c r="H80" i="29"/>
  <c r="F80" i="29"/>
  <c r="E80" i="29"/>
  <c r="D80" i="29"/>
  <c r="C80" i="29"/>
  <c r="V79" i="29"/>
  <c r="U79" i="29"/>
  <c r="T79" i="29"/>
  <c r="S79" i="29"/>
  <c r="R79" i="29"/>
  <c r="Q79" i="29"/>
  <c r="P79" i="29"/>
  <c r="O79" i="29"/>
  <c r="N79" i="29"/>
  <c r="M79" i="29"/>
  <c r="L79" i="29"/>
  <c r="K79" i="29"/>
  <c r="I79" i="29"/>
  <c r="H79" i="29"/>
  <c r="G79" i="29"/>
  <c r="F79" i="29"/>
  <c r="E79" i="29"/>
  <c r="D79" i="29"/>
  <c r="C79" i="29"/>
  <c r="V78" i="29"/>
  <c r="U78" i="29"/>
  <c r="T78" i="29"/>
  <c r="S78" i="29"/>
  <c r="R78" i="29"/>
  <c r="Q78" i="29"/>
  <c r="P78" i="29"/>
  <c r="O78" i="29"/>
  <c r="N78" i="29"/>
  <c r="M78" i="29"/>
  <c r="L78" i="29"/>
  <c r="H78" i="29"/>
  <c r="G78" i="29"/>
  <c r="F78" i="29"/>
  <c r="E78" i="29"/>
  <c r="D78" i="29"/>
  <c r="C78" i="29"/>
  <c r="V77" i="29"/>
  <c r="V263" i="29" s="1"/>
  <c r="U77" i="29"/>
  <c r="U254" i="29" s="1"/>
  <c r="T77" i="29"/>
  <c r="S77" i="29"/>
  <c r="S254" i="29" s="1"/>
  <c r="R77" i="29"/>
  <c r="R254" i="29" s="1"/>
  <c r="Q77" i="29"/>
  <c r="P77" i="29"/>
  <c r="O77" i="29"/>
  <c r="N77" i="29"/>
  <c r="M77" i="29"/>
  <c r="L77" i="29"/>
  <c r="K77" i="29"/>
  <c r="J77" i="29"/>
  <c r="I77" i="29"/>
  <c r="H77" i="29"/>
  <c r="G77" i="29"/>
  <c r="F77" i="29"/>
  <c r="E77" i="29"/>
  <c r="D77" i="29"/>
  <c r="C77" i="29"/>
  <c r="V76" i="29"/>
  <c r="U76" i="29"/>
  <c r="T76" i="29"/>
  <c r="S76" i="29"/>
  <c r="R76" i="29"/>
  <c r="Q76" i="29"/>
  <c r="P76" i="29"/>
  <c r="O76" i="29"/>
  <c r="N76" i="29"/>
  <c r="M76" i="29"/>
  <c r="L76" i="29"/>
  <c r="K76" i="29"/>
  <c r="J76" i="29"/>
  <c r="I76" i="29"/>
  <c r="H76" i="29"/>
  <c r="G76" i="29"/>
  <c r="F76" i="29"/>
  <c r="E76" i="29"/>
  <c r="D76" i="29"/>
  <c r="C76" i="29"/>
  <c r="V72" i="29"/>
  <c r="U72" i="29"/>
  <c r="T72" i="29"/>
  <c r="S72" i="29"/>
  <c r="R72" i="29"/>
  <c r="Q72" i="29"/>
  <c r="P72" i="29"/>
  <c r="O72" i="29"/>
  <c r="N72" i="29"/>
  <c r="M72" i="29"/>
  <c r="L72" i="29"/>
  <c r="H72" i="29"/>
  <c r="G72" i="29"/>
  <c r="F72" i="29"/>
  <c r="E72" i="29"/>
  <c r="D72" i="29"/>
  <c r="C72" i="29"/>
  <c r="V71" i="29"/>
  <c r="U71" i="29"/>
  <c r="T71" i="29"/>
  <c r="S71" i="29"/>
  <c r="R71" i="29"/>
  <c r="Q71" i="29"/>
  <c r="P71" i="29"/>
  <c r="O71" i="29"/>
  <c r="N71" i="29"/>
  <c r="M71" i="29"/>
  <c r="K71" i="29"/>
  <c r="H71" i="29"/>
  <c r="G71" i="29"/>
  <c r="F71" i="29"/>
  <c r="E71" i="29"/>
  <c r="D71" i="29"/>
  <c r="C71" i="29"/>
  <c r="V70" i="29"/>
  <c r="U70" i="29"/>
  <c r="T70" i="29"/>
  <c r="S70" i="29"/>
  <c r="R70" i="29"/>
  <c r="Q70" i="29"/>
  <c r="P70" i="29"/>
  <c r="O70" i="29"/>
  <c r="N70" i="29"/>
  <c r="M70" i="29"/>
  <c r="L70" i="29"/>
  <c r="K70" i="29"/>
  <c r="J70" i="29"/>
  <c r="I70" i="29"/>
  <c r="H70" i="29"/>
  <c r="G70" i="29"/>
  <c r="F70" i="29"/>
  <c r="E70" i="29"/>
  <c r="D70" i="29"/>
  <c r="V69" i="29"/>
  <c r="U69" i="29"/>
  <c r="T69" i="29"/>
  <c r="S69" i="29"/>
  <c r="R69" i="29"/>
  <c r="Q69" i="29"/>
  <c r="P69" i="29"/>
  <c r="O69" i="29"/>
  <c r="N69" i="29"/>
  <c r="M69" i="29"/>
  <c r="L69" i="29"/>
  <c r="K69" i="29"/>
  <c r="J69" i="29"/>
  <c r="I69" i="29"/>
  <c r="H69" i="29"/>
  <c r="G69" i="29"/>
  <c r="F69" i="29"/>
  <c r="E69" i="29"/>
  <c r="D69" i="29"/>
  <c r="C69" i="29"/>
  <c r="C152" i="29" s="1"/>
  <c r="V112" i="29"/>
  <c r="U112" i="29"/>
  <c r="T112" i="29"/>
  <c r="S112" i="29"/>
  <c r="R112" i="29"/>
  <c r="Q112" i="29"/>
  <c r="P112" i="29"/>
  <c r="O112" i="29"/>
  <c r="L112" i="29"/>
  <c r="J112" i="29"/>
  <c r="AE14" i="27"/>
  <c r="AD14" i="27"/>
  <c r="G112" i="29"/>
  <c r="F112" i="29"/>
  <c r="E112" i="29"/>
  <c r="C112" i="29"/>
  <c r="C92" i="29"/>
  <c r="D106" i="44" l="1"/>
  <c r="D112" i="44" s="1"/>
  <c r="P100" i="44"/>
  <c r="R100" i="44"/>
  <c r="T100" i="44"/>
  <c r="Q100" i="44"/>
  <c r="V107" i="44"/>
  <c r="I100" i="44"/>
  <c r="U100" i="44"/>
  <c r="J100" i="44"/>
  <c r="V100" i="44"/>
  <c r="K100" i="44"/>
  <c r="W100" i="44"/>
  <c r="L100" i="44"/>
  <c r="T107" i="44"/>
  <c r="S100" i="44"/>
  <c r="M100" i="44"/>
  <c r="U107" i="44"/>
  <c r="W107" i="44"/>
  <c r="R106" i="44"/>
  <c r="N100" i="44"/>
  <c r="S107" i="44"/>
  <c r="O100" i="44"/>
  <c r="C107" i="29"/>
  <c r="C99" i="29"/>
  <c r="C100" i="29"/>
  <c r="J101" i="44"/>
  <c r="K101" i="44"/>
  <c r="M101" i="44"/>
  <c r="N101" i="44"/>
  <c r="L101" i="44"/>
  <c r="O101" i="44"/>
  <c r="P101" i="44"/>
  <c r="Q101" i="44"/>
  <c r="F101" i="44"/>
  <c r="R101" i="44"/>
  <c r="G101" i="44"/>
  <c r="H101" i="44"/>
  <c r="I101" i="44"/>
  <c r="W106" i="44"/>
  <c r="U197" i="29"/>
  <c r="V101" i="44"/>
  <c r="K106" i="44"/>
  <c r="V187" i="29"/>
  <c r="W101" i="44"/>
  <c r="M106" i="44"/>
  <c r="P106" i="44"/>
  <c r="R207" i="29"/>
  <c r="S101" i="44"/>
  <c r="Q106" i="44"/>
  <c r="S106" i="44"/>
  <c r="G106" i="44"/>
  <c r="G112" i="44" s="1"/>
  <c r="H106" i="44"/>
  <c r="U106" i="44"/>
  <c r="S197" i="29"/>
  <c r="T101" i="44"/>
  <c r="F106" i="44"/>
  <c r="T106" i="44"/>
  <c r="V106" i="44"/>
  <c r="T197" i="29"/>
  <c r="U101" i="44"/>
  <c r="C154" i="29"/>
  <c r="C155" i="29" s="1"/>
  <c r="K243" i="29"/>
  <c r="AG14" i="27"/>
  <c r="N234" i="29"/>
  <c r="AJ14" i="27"/>
  <c r="C162" i="29"/>
  <c r="R172" i="29"/>
  <c r="U114" i="29"/>
  <c r="M152" i="29"/>
  <c r="T114" i="29"/>
  <c r="N172" i="29"/>
  <c r="M172" i="29"/>
  <c r="V114" i="29"/>
  <c r="N152" i="29"/>
  <c r="R197" i="29"/>
  <c r="O152" i="29"/>
  <c r="T207" i="29"/>
  <c r="O162" i="29"/>
  <c r="O173" i="29"/>
  <c r="O153" i="29"/>
  <c r="C172" i="29"/>
  <c r="O172" i="29"/>
  <c r="V173" i="29"/>
  <c r="L152" i="29"/>
  <c r="O163" i="29"/>
  <c r="D153" i="29"/>
  <c r="P163" i="29"/>
  <c r="F172" i="29"/>
  <c r="L162" i="29"/>
  <c r="D163" i="29"/>
  <c r="Q163" i="29"/>
  <c r="R92" i="29"/>
  <c r="M162" i="29"/>
  <c r="E163" i="29"/>
  <c r="F92" i="29"/>
  <c r="D162" i="29"/>
  <c r="P162" i="29"/>
  <c r="D173" i="29"/>
  <c r="P173" i="29"/>
  <c r="P153" i="29"/>
  <c r="P172" i="29"/>
  <c r="D152" i="29"/>
  <c r="P152" i="29"/>
  <c r="O92" i="29"/>
  <c r="L172" i="29"/>
  <c r="E173" i="29"/>
  <c r="S207" i="29"/>
  <c r="U274" i="29"/>
  <c r="U283" i="29"/>
  <c r="P92" i="29"/>
  <c r="K154" i="29"/>
  <c r="F153" i="29"/>
  <c r="R153" i="29"/>
  <c r="F173" i="29"/>
  <c r="R173" i="29"/>
  <c r="Q152" i="29"/>
  <c r="E162" i="29"/>
  <c r="Q162" i="29"/>
  <c r="E172" i="29"/>
  <c r="Q172" i="29"/>
  <c r="H112" i="29"/>
  <c r="V197" i="29"/>
  <c r="V254" i="29"/>
  <c r="R152" i="29"/>
  <c r="R162" i="29"/>
  <c r="I112" i="29"/>
  <c r="S152" i="29"/>
  <c r="G172" i="29"/>
  <c r="K173" i="29"/>
  <c r="L92" i="29"/>
  <c r="D164" i="29"/>
  <c r="D174" i="29"/>
  <c r="K112" i="29"/>
  <c r="M163" i="29"/>
  <c r="R114" i="29"/>
  <c r="N153" i="29"/>
  <c r="N163" i="29"/>
  <c r="R164" i="29"/>
  <c r="N173" i="29"/>
  <c r="N112" i="29"/>
  <c r="U207" i="29"/>
  <c r="E153" i="29"/>
  <c r="Q153" i="29"/>
  <c r="Q173" i="29"/>
  <c r="H92" i="29"/>
  <c r="E152" i="29"/>
  <c r="F152" i="29"/>
  <c r="K153" i="29"/>
  <c r="K163" i="29"/>
  <c r="L163" i="29"/>
  <c r="L173" i="29"/>
  <c r="M153" i="29"/>
  <c r="M173" i="29"/>
  <c r="K162" i="29"/>
  <c r="S114" i="29"/>
  <c r="K172" i="29"/>
  <c r="V207" i="29"/>
  <c r="K283" i="29"/>
  <c r="C254" i="29"/>
  <c r="C263" i="29"/>
  <c r="P274" i="29"/>
  <c r="P283" i="29"/>
  <c r="M92" i="29"/>
  <c r="F164" i="29"/>
  <c r="R174" i="29"/>
  <c r="H153" i="29"/>
  <c r="D92" i="29"/>
  <c r="C234" i="29"/>
  <c r="T234" i="29"/>
  <c r="U243" i="29"/>
  <c r="S163" i="29"/>
  <c r="V243" i="29"/>
  <c r="G92" i="29"/>
  <c r="U92" i="29"/>
  <c r="I153" i="29"/>
  <c r="U153" i="29"/>
  <c r="M154" i="29"/>
  <c r="I163" i="29"/>
  <c r="U163" i="29"/>
  <c r="M164" i="29"/>
  <c r="E164" i="29"/>
  <c r="I173" i="29"/>
  <c r="U173" i="29"/>
  <c r="R187" i="29"/>
  <c r="S174" i="29"/>
  <c r="G163" i="29"/>
  <c r="T154" i="29"/>
  <c r="AK14" i="27"/>
  <c r="K174" i="29"/>
  <c r="J153" i="29"/>
  <c r="V153" i="29"/>
  <c r="F174" i="29"/>
  <c r="T187" i="29"/>
  <c r="AI14" i="27"/>
  <c r="M112" i="29"/>
  <c r="K92" i="29"/>
  <c r="U164" i="29"/>
  <c r="U154" i="29"/>
  <c r="J164" i="29"/>
  <c r="J174" i="29"/>
  <c r="J163" i="29"/>
  <c r="H162" i="29"/>
  <c r="E154" i="29"/>
  <c r="E254" i="29"/>
  <c r="E263" i="29"/>
  <c r="Q283" i="29"/>
  <c r="Q274" i="29"/>
  <c r="I162" i="29"/>
  <c r="K263" i="29"/>
  <c r="K254" i="29"/>
  <c r="B83" i="29"/>
  <c r="G263" i="29"/>
  <c r="G254" i="29"/>
  <c r="S274" i="29"/>
  <c r="S283" i="29"/>
  <c r="T152" i="29"/>
  <c r="U172" i="29"/>
  <c r="E174" i="29"/>
  <c r="N92" i="29"/>
  <c r="N243" i="29"/>
  <c r="H263" i="29"/>
  <c r="H254" i="29"/>
  <c r="T254" i="29"/>
  <c r="T263" i="29"/>
  <c r="T274" i="29"/>
  <c r="T283" i="29"/>
  <c r="U152" i="29"/>
  <c r="O263" i="29"/>
  <c r="O254" i="29"/>
  <c r="P164" i="29"/>
  <c r="V274" i="29"/>
  <c r="V283" i="29"/>
  <c r="V172" i="29"/>
  <c r="J172" i="29"/>
  <c r="I92" i="29"/>
  <c r="A7" i="29"/>
  <c r="M283" i="29"/>
  <c r="M274" i="29"/>
  <c r="F274" i="29"/>
  <c r="F283" i="29"/>
  <c r="T172" i="29"/>
  <c r="T164" i="29"/>
  <c r="B74" i="29"/>
  <c r="I164" i="29"/>
  <c r="I174" i="29"/>
  <c r="I154" i="29"/>
  <c r="V164" i="29"/>
  <c r="V174" i="29"/>
  <c r="V163" i="29"/>
  <c r="V154" i="29"/>
  <c r="U162" i="29"/>
  <c r="J152" i="29"/>
  <c r="F254" i="29"/>
  <c r="F263" i="29"/>
  <c r="R274" i="29"/>
  <c r="R283" i="29"/>
  <c r="P254" i="29"/>
  <c r="P263" i="29"/>
  <c r="T162" i="29"/>
  <c r="U174" i="29"/>
  <c r="M263" i="29"/>
  <c r="M254" i="29"/>
  <c r="H234" i="29"/>
  <c r="H243" i="29"/>
  <c r="V92" i="29"/>
  <c r="C163" i="29"/>
  <c r="H274" i="29"/>
  <c r="H283" i="29"/>
  <c r="J162" i="29"/>
  <c r="G153" i="29"/>
  <c r="G173" i="29"/>
  <c r="C109" i="29"/>
  <c r="H172" i="29"/>
  <c r="H154" i="29"/>
  <c r="H164" i="29"/>
  <c r="H174" i="29"/>
  <c r="Q174" i="29"/>
  <c r="I152" i="29"/>
  <c r="C174" i="29"/>
  <c r="V162" i="29"/>
  <c r="G283" i="29"/>
  <c r="Q164" i="29"/>
  <c r="C173" i="29"/>
  <c r="T174" i="29"/>
  <c r="L263" i="29"/>
  <c r="L254" i="29"/>
  <c r="H163" i="29"/>
  <c r="T163" i="29"/>
  <c r="L274" i="29"/>
  <c r="L283" i="29"/>
  <c r="D172" i="29"/>
  <c r="C101" i="29"/>
  <c r="H173" i="29"/>
  <c r="T173" i="29"/>
  <c r="E283" i="29"/>
  <c r="E274" i="29"/>
  <c r="I172" i="29"/>
  <c r="J173" i="29"/>
  <c r="G154" i="29"/>
  <c r="G164" i="29"/>
  <c r="G174" i="29"/>
  <c r="S154" i="29"/>
  <c r="S164" i="29"/>
  <c r="J154" i="29"/>
  <c r="C164" i="29"/>
  <c r="G152" i="29"/>
  <c r="Q92" i="29"/>
  <c r="N174" i="29"/>
  <c r="N164" i="29"/>
  <c r="N154" i="29"/>
  <c r="C274" i="29"/>
  <c r="I243" i="29"/>
  <c r="I234" i="29"/>
  <c r="Q254" i="29"/>
  <c r="Q263" i="29"/>
  <c r="T153" i="29"/>
  <c r="D254" i="29"/>
  <c r="D263" i="29"/>
  <c r="K152" i="29"/>
  <c r="S162" i="29"/>
  <c r="U263" i="29"/>
  <c r="I274" i="29"/>
  <c r="I283" i="29"/>
  <c r="T92" i="29"/>
  <c r="AM14" i="27"/>
  <c r="K234" i="29"/>
  <c r="V152" i="29"/>
  <c r="R263" i="29"/>
  <c r="S263" i="29"/>
  <c r="J263" i="29"/>
  <c r="J254" i="29"/>
  <c r="N162" i="29"/>
  <c r="F163" i="29"/>
  <c r="R163" i="29"/>
  <c r="E92" i="29"/>
  <c r="F162" i="29"/>
  <c r="S172" i="29"/>
  <c r="J274" i="29"/>
  <c r="J283" i="29"/>
  <c r="H152" i="29"/>
  <c r="L174" i="29"/>
  <c r="L164" i="29"/>
  <c r="L154" i="29"/>
  <c r="K164" i="29"/>
  <c r="C108" i="29"/>
  <c r="O283" i="29"/>
  <c r="O274" i="29"/>
  <c r="S92" i="29"/>
  <c r="S153" i="29"/>
  <c r="S173" i="29"/>
  <c r="L153" i="29"/>
  <c r="I263" i="29"/>
  <c r="I254" i="29"/>
  <c r="G162" i="29"/>
  <c r="D283" i="29"/>
  <c r="D274" i="29"/>
  <c r="P174" i="29"/>
  <c r="F154" i="29"/>
  <c r="R154" i="29"/>
  <c r="N274" i="29"/>
  <c r="M174" i="29"/>
  <c r="S187" i="29"/>
  <c r="U187" i="29"/>
  <c r="D154" i="29"/>
  <c r="P154" i="29"/>
  <c r="O154" i="29"/>
  <c r="O164" i="29"/>
  <c r="O174" i="29"/>
  <c r="N263" i="29"/>
  <c r="N254" i="29"/>
  <c r="Q154" i="29"/>
  <c r="T113" i="44" l="1"/>
  <c r="G155" i="29"/>
  <c r="U113" i="44"/>
  <c r="V113" i="44"/>
  <c r="R112" i="44"/>
  <c r="S113" i="44"/>
  <c r="W113" i="44"/>
  <c r="C103" i="29"/>
  <c r="T112" i="44"/>
  <c r="T108" i="44"/>
  <c r="T109" i="44" s="1"/>
  <c r="T103" i="44" s="1"/>
  <c r="N106" i="44"/>
  <c r="H112" i="44"/>
  <c r="L106" i="44"/>
  <c r="F112" i="44"/>
  <c r="K112" i="44"/>
  <c r="I106" i="44"/>
  <c r="S112" i="44"/>
  <c r="S108" i="44"/>
  <c r="S109" i="44" s="1"/>
  <c r="S103" i="44" s="1"/>
  <c r="O106" i="44"/>
  <c r="Q112" i="44"/>
  <c r="P112" i="44"/>
  <c r="W112" i="44"/>
  <c r="W108" i="44"/>
  <c r="W109" i="44" s="1"/>
  <c r="W103" i="44" s="1"/>
  <c r="M112" i="44"/>
  <c r="J106" i="44"/>
  <c r="V112" i="44"/>
  <c r="V108" i="44"/>
  <c r="V109" i="44" s="1"/>
  <c r="V103" i="44" s="1"/>
  <c r="U112" i="44"/>
  <c r="U108" i="44"/>
  <c r="U109" i="44" s="1"/>
  <c r="U103" i="44" s="1"/>
  <c r="P234" i="29"/>
  <c r="AL14" i="27"/>
  <c r="E243" i="29"/>
  <c r="AA14" i="27"/>
  <c r="G243" i="29"/>
  <c r="AC14" i="27"/>
  <c r="L243" i="29"/>
  <c r="AH14" i="27"/>
  <c r="D234" i="29"/>
  <c r="Z14" i="27"/>
  <c r="F243" i="29"/>
  <c r="AB14" i="27"/>
  <c r="J243" i="29"/>
  <c r="AF14" i="27"/>
  <c r="D165" i="29"/>
  <c r="D243" i="29"/>
  <c r="M155" i="29"/>
  <c r="O175" i="29"/>
  <c r="P175" i="29"/>
  <c r="O165" i="29"/>
  <c r="O155" i="29"/>
  <c r="P155" i="29"/>
  <c r="V234" i="29"/>
  <c r="D155" i="29"/>
  <c r="K175" i="29"/>
  <c r="F155" i="29"/>
  <c r="T175" i="29"/>
  <c r="P165" i="29"/>
  <c r="E165" i="29"/>
  <c r="L165" i="29"/>
  <c r="R175" i="29"/>
  <c r="L175" i="29"/>
  <c r="C243" i="29"/>
  <c r="R165" i="29"/>
  <c r="R155" i="29"/>
  <c r="U234" i="29"/>
  <c r="E14" i="29"/>
  <c r="F175" i="29"/>
  <c r="Q175" i="29"/>
  <c r="Q155" i="29"/>
  <c r="S155" i="29"/>
  <c r="K165" i="29"/>
  <c r="L234" i="29"/>
  <c r="N175" i="29"/>
  <c r="N155" i="29"/>
  <c r="M175" i="29"/>
  <c r="E175" i="29"/>
  <c r="D175" i="29"/>
  <c r="E155" i="29"/>
  <c r="P243" i="29"/>
  <c r="U165" i="29"/>
  <c r="Q165" i="29"/>
  <c r="F234" i="29"/>
  <c r="T243" i="29"/>
  <c r="J234" i="29"/>
  <c r="K155" i="29"/>
  <c r="V165" i="29"/>
  <c r="L155" i="29"/>
  <c r="M165" i="29"/>
  <c r="D15" i="29"/>
  <c r="J155" i="29"/>
  <c r="E13" i="29"/>
  <c r="E234" i="29"/>
  <c r="S243" i="29"/>
  <c r="S234" i="29"/>
  <c r="D13" i="29"/>
  <c r="I175" i="29"/>
  <c r="G175" i="29"/>
  <c r="D14" i="29"/>
  <c r="T155" i="29"/>
  <c r="H155" i="29"/>
  <c r="G234" i="29"/>
  <c r="V175" i="29"/>
  <c r="O234" i="29"/>
  <c r="O243" i="29"/>
  <c r="S165" i="29"/>
  <c r="J175" i="29"/>
  <c r="J92" i="29"/>
  <c r="H175" i="29"/>
  <c r="M234" i="29"/>
  <c r="M243" i="29"/>
  <c r="F14" i="29"/>
  <c r="C105" i="29"/>
  <c r="J165" i="29"/>
  <c r="R243" i="29"/>
  <c r="R234" i="29"/>
  <c r="N165" i="29"/>
  <c r="Q234" i="29"/>
  <c r="Q243" i="29"/>
  <c r="C104" i="29"/>
  <c r="F15" i="29"/>
  <c r="V155" i="29"/>
  <c r="I155" i="29"/>
  <c r="E15" i="29"/>
  <c r="T165" i="29"/>
  <c r="F13" i="29"/>
  <c r="H165" i="29"/>
  <c r="S175" i="29"/>
  <c r="C175" i="29"/>
  <c r="U155" i="29"/>
  <c r="I165" i="29"/>
  <c r="G165" i="29"/>
  <c r="F165" i="29"/>
  <c r="C165" i="29"/>
  <c r="U175" i="29"/>
  <c r="T115" i="44" l="1"/>
  <c r="C96" i="29"/>
  <c r="W115" i="44"/>
  <c r="C157" i="29"/>
  <c r="C213" i="29" s="1"/>
  <c r="C97" i="29"/>
  <c r="V115" i="44"/>
  <c r="U115" i="44"/>
  <c r="S115" i="44"/>
  <c r="C95" i="29"/>
  <c r="O112" i="44"/>
  <c r="J112" i="44"/>
  <c r="L112" i="44"/>
  <c r="I112" i="44"/>
  <c r="N112" i="44"/>
  <c r="C177" i="29"/>
  <c r="G15" i="29" s="1"/>
  <c r="C167" i="29"/>
  <c r="G14" i="29" s="1"/>
  <c r="C112" i="44" l="1"/>
  <c r="G13" i="29"/>
  <c r="C215" i="29"/>
  <c r="C214" i="29"/>
  <c r="G204" i="29" l="1"/>
  <c r="G207" i="29" s="1"/>
  <c r="G194" i="29" l="1"/>
  <c r="G197" i="29" s="1"/>
  <c r="G184" i="29"/>
  <c r="G187" i="29" s="1"/>
  <c r="Y66" i="27" l="1"/>
  <c r="Y148" i="27"/>
  <c r="Y65" i="27"/>
  <c r="Y64" i="27"/>
  <c r="Y68" i="27"/>
  <c r="AR64" i="27" l="1"/>
  <c r="Z63" i="27"/>
  <c r="Z67" i="27"/>
  <c r="Z68" i="27"/>
  <c r="Z65" i="27"/>
  <c r="Z66" i="27"/>
  <c r="Z64" i="27"/>
  <c r="AA66" i="27" l="1"/>
  <c r="AA65" i="27"/>
  <c r="AA63" i="27"/>
  <c r="AA64" i="27"/>
  <c r="AA68" i="27"/>
  <c r="AA67" i="27"/>
  <c r="AB64" i="27" l="1"/>
  <c r="AB65" i="27"/>
  <c r="AB66" i="27"/>
  <c r="AB68" i="27"/>
  <c r="AB67" i="27"/>
  <c r="AB63" i="27"/>
  <c r="H204" i="29" l="1"/>
  <c r="H184" i="29"/>
  <c r="H194" i="29"/>
  <c r="H207" i="29" l="1"/>
  <c r="H197" i="29"/>
  <c r="H187" i="29"/>
  <c r="I184" i="29"/>
  <c r="I194" i="29"/>
  <c r="I204" i="29"/>
  <c r="I187" i="29" l="1"/>
  <c r="I207" i="29"/>
  <c r="I197" i="29"/>
  <c r="J184" i="29"/>
  <c r="J194" i="29"/>
  <c r="J204" i="29"/>
  <c r="J207" i="29" l="1"/>
  <c r="J197" i="29"/>
  <c r="J187" i="29"/>
  <c r="K194" i="29"/>
  <c r="K184" i="29"/>
  <c r="K204" i="29"/>
  <c r="K207" i="29" l="1"/>
  <c r="K197" i="29"/>
  <c r="K187" i="29"/>
  <c r="L204" i="29"/>
  <c r="L184" i="29"/>
  <c r="L194" i="29"/>
  <c r="L207" i="29" l="1"/>
  <c r="L197" i="29"/>
  <c r="L187" i="29"/>
  <c r="G62" i="27" l="1"/>
  <c r="G105" i="27" s="1"/>
  <c r="G147" i="27" s="1"/>
  <c r="AA190" i="27"/>
  <c r="F62" i="27"/>
  <c r="F105" i="27" s="1"/>
  <c r="F147" i="27" s="1"/>
  <c r="Z190" i="27"/>
  <c r="N62" i="27" l="1"/>
  <c r="N105" i="27" s="1"/>
  <c r="N147" i="27" s="1"/>
  <c r="AH234" i="27"/>
  <c r="B11" i="27"/>
  <c r="AB190" i="27"/>
  <c r="H62" i="27"/>
  <c r="H105" i="27" s="1"/>
  <c r="H147" i="27" s="1"/>
  <c r="M62" i="27"/>
  <c r="M105" i="27" s="1"/>
  <c r="M147" i="27" s="1"/>
  <c r="AG234" i="27"/>
  <c r="L62" i="27"/>
  <c r="L105" i="27" s="1"/>
  <c r="L147" i="27" s="1"/>
  <c r="AF234" i="27"/>
  <c r="AE234" i="27"/>
  <c r="K62" i="27"/>
  <c r="K105" i="27" s="1"/>
  <c r="K147" i="27" s="1"/>
  <c r="Y190" i="27"/>
  <c r="E62" i="27"/>
  <c r="E105" i="27" s="1"/>
  <c r="E147" i="27" s="1"/>
  <c r="I62" i="27"/>
  <c r="I105" i="27" s="1"/>
  <c r="I147" i="27" s="1"/>
  <c r="AC190" i="27"/>
  <c r="J62" i="27"/>
  <c r="AD234" i="27"/>
  <c r="J105" i="27" l="1"/>
  <c r="J147" i="27" s="1"/>
  <c r="G256" i="29"/>
  <c r="G265" i="29"/>
  <c r="G236" i="29"/>
  <c r="G245" i="29"/>
  <c r="G276" i="29"/>
  <c r="G285" i="29"/>
  <c r="Y191" i="27"/>
  <c r="Y215" i="27"/>
  <c r="Y202" i="27"/>
  <c r="Z202" i="27" s="1"/>
  <c r="AA202" i="27" s="1"/>
  <c r="AB202" i="27" s="1"/>
  <c r="AC202" i="27" s="1"/>
  <c r="Y210" i="27"/>
  <c r="Y213" i="27"/>
  <c r="Y212" i="27"/>
  <c r="Z212" i="27" s="1"/>
  <c r="AA212" i="27" s="1"/>
  <c r="AB212" i="27" s="1"/>
  <c r="AC212" i="27" s="1"/>
  <c r="Y225" i="27"/>
  <c r="Y195" i="27"/>
  <c r="Z195" i="27" s="1"/>
  <c r="AA195" i="27" s="1"/>
  <c r="AB195" i="27" s="1"/>
  <c r="AC195" i="27" s="1"/>
  <c r="Y219" i="27"/>
  <c r="Z219" i="27" s="1"/>
  <c r="AA219" i="27" s="1"/>
  <c r="AB219" i="27" s="1"/>
  <c r="AC219" i="27" s="1"/>
  <c r="Y194" i="27"/>
  <c r="Y204" i="27"/>
  <c r="Z204" i="27" s="1"/>
  <c r="AA204" i="27" s="1"/>
  <c r="AB204" i="27" s="1"/>
  <c r="AC204" i="27" s="1"/>
  <c r="Y223" i="27"/>
  <c r="Y228" i="27"/>
  <c r="Z228" i="27" s="1"/>
  <c r="AA228" i="27" s="1"/>
  <c r="AB228" i="27" s="1"/>
  <c r="AC228" i="27" s="1"/>
  <c r="Y205" i="27"/>
  <c r="Z205" i="27" s="1"/>
  <c r="AA205" i="27" s="1"/>
  <c r="AB205" i="27" s="1"/>
  <c r="AC205" i="27" s="1"/>
  <c r="Y211" i="27"/>
  <c r="Z211" i="27" s="1"/>
  <c r="AA211" i="27" s="1"/>
  <c r="AB211" i="27" s="1"/>
  <c r="AC211" i="27" s="1"/>
  <c r="Y229" i="27"/>
  <c r="Z229" i="27" s="1"/>
  <c r="AA229" i="27" s="1"/>
  <c r="AB229" i="27" s="1"/>
  <c r="AC229" i="27" s="1"/>
  <c r="Y227" i="27"/>
  <c r="Z227" i="27" s="1"/>
  <c r="AA227" i="27" s="1"/>
  <c r="AB227" i="27" s="1"/>
  <c r="AC227" i="27" s="1"/>
  <c r="Y192" i="27"/>
  <c r="Y220" i="27"/>
  <c r="Z220" i="27" s="1"/>
  <c r="AA220" i="27" s="1"/>
  <c r="AB220" i="27" s="1"/>
  <c r="AC220" i="27" s="1"/>
  <c r="Y224" i="27"/>
  <c r="Y217" i="27"/>
  <c r="Z217" i="27" s="1"/>
  <c r="AA217" i="27" s="1"/>
  <c r="AB217" i="27" s="1"/>
  <c r="AC217" i="27" s="1"/>
  <c r="Y226" i="27"/>
  <c r="Y203" i="27"/>
  <c r="Z203" i="27" s="1"/>
  <c r="AA203" i="27" s="1"/>
  <c r="AB203" i="27" s="1"/>
  <c r="AC203" i="27" s="1"/>
  <c r="Y218" i="27"/>
  <c r="Z218" i="27" s="1"/>
  <c r="AA218" i="27" s="1"/>
  <c r="AB218" i="27" s="1"/>
  <c r="AC218" i="27" s="1"/>
  <c r="Y214" i="27"/>
  <c r="Y193" i="27"/>
  <c r="Y201" i="27"/>
  <c r="Z201" i="27" s="1"/>
  <c r="AA201" i="27" s="1"/>
  <c r="AB201" i="27" s="1"/>
  <c r="AC201" i="27" s="1"/>
  <c r="Y216" i="27"/>
  <c r="Y222" i="27"/>
  <c r="Z222" i="27" s="1"/>
  <c r="AA222" i="27" s="1"/>
  <c r="AB222" i="27" s="1"/>
  <c r="AC222" i="27" s="1"/>
  <c r="Y207" i="27"/>
  <c r="Z207" i="27" s="1"/>
  <c r="AA207" i="27" s="1"/>
  <c r="AB207" i="27" s="1"/>
  <c r="AC207" i="27" s="1"/>
  <c r="Y206" i="27"/>
  <c r="Z206" i="27" s="1"/>
  <c r="AA206" i="27" s="1"/>
  <c r="AB206" i="27" s="1"/>
  <c r="AC206" i="27" s="1"/>
  <c r="Y221" i="27"/>
  <c r="Z221" i="27" s="1"/>
  <c r="AA221" i="27" s="1"/>
  <c r="AB221" i="27" s="1"/>
  <c r="AC221" i="27" s="1"/>
  <c r="Y209" i="27"/>
  <c r="Y208" i="27"/>
  <c r="Z208" i="27" s="1"/>
  <c r="AA208" i="27" s="1"/>
  <c r="AB208" i="27" s="1"/>
  <c r="AC208" i="27" s="1"/>
  <c r="Y196" i="27"/>
  <c r="Z196" i="27" s="1"/>
  <c r="AA196" i="27" s="1"/>
  <c r="AB196" i="27" s="1"/>
  <c r="AC196" i="27" s="1"/>
  <c r="AD201" i="27" l="1"/>
  <c r="AE201" i="27" s="1"/>
  <c r="AF201" i="27" s="1"/>
  <c r="AG201" i="27" s="1"/>
  <c r="AH201" i="27" s="1"/>
  <c r="AI201" i="27" s="1"/>
  <c r="AJ201" i="27" s="1"/>
  <c r="AK201" i="27" s="1"/>
  <c r="AL201" i="27" s="1"/>
  <c r="AM201" i="27" s="1"/>
  <c r="AD245" i="27"/>
  <c r="AE245" i="27" s="1"/>
  <c r="AF245" i="27" s="1"/>
  <c r="AG245" i="27" s="1"/>
  <c r="AH245" i="27" s="1"/>
  <c r="AI245" i="27" s="1"/>
  <c r="AJ245" i="27" s="1"/>
  <c r="AK245" i="27" s="1"/>
  <c r="AL245" i="27" s="1"/>
  <c r="AM245" i="27" s="1"/>
  <c r="AD205" i="27"/>
  <c r="AE205" i="27" s="1"/>
  <c r="AF205" i="27" s="1"/>
  <c r="AG205" i="27" s="1"/>
  <c r="AH205" i="27" s="1"/>
  <c r="AI205" i="27" s="1"/>
  <c r="AJ205" i="27" s="1"/>
  <c r="AK205" i="27" s="1"/>
  <c r="AL205" i="27" s="1"/>
  <c r="AM205" i="27" s="1"/>
  <c r="AD249" i="27"/>
  <c r="AE249" i="27" s="1"/>
  <c r="AF249" i="27" s="1"/>
  <c r="AG249" i="27" s="1"/>
  <c r="AH249" i="27" s="1"/>
  <c r="AI249" i="27" s="1"/>
  <c r="AJ249" i="27" s="1"/>
  <c r="AK249" i="27" s="1"/>
  <c r="AL249" i="27" s="1"/>
  <c r="AM249" i="27" s="1"/>
  <c r="Y313" i="27"/>
  <c r="Z210" i="27"/>
  <c r="AD208" i="27"/>
  <c r="AE208" i="27" s="1"/>
  <c r="AF208" i="27" s="1"/>
  <c r="AG208" i="27" s="1"/>
  <c r="AH208" i="27" s="1"/>
  <c r="AI208" i="27" s="1"/>
  <c r="AJ208" i="27" s="1"/>
  <c r="AK208" i="27" s="1"/>
  <c r="AL208" i="27" s="1"/>
  <c r="AM208" i="27" s="1"/>
  <c r="AD252" i="27"/>
  <c r="AE252" i="27" s="1"/>
  <c r="AF252" i="27" s="1"/>
  <c r="AG252" i="27" s="1"/>
  <c r="AH252" i="27" s="1"/>
  <c r="AI252" i="27" s="1"/>
  <c r="AJ252" i="27" s="1"/>
  <c r="AK252" i="27" s="1"/>
  <c r="AL252" i="27" s="1"/>
  <c r="AM252" i="27" s="1"/>
  <c r="AD207" i="27"/>
  <c r="AE207" i="27" s="1"/>
  <c r="AF207" i="27" s="1"/>
  <c r="AG207" i="27" s="1"/>
  <c r="AH207" i="27" s="1"/>
  <c r="AI207" i="27" s="1"/>
  <c r="AJ207" i="27" s="1"/>
  <c r="AK207" i="27" s="1"/>
  <c r="AL207" i="27" s="1"/>
  <c r="AM207" i="27" s="1"/>
  <c r="AD251" i="27"/>
  <c r="AE251" i="27" s="1"/>
  <c r="AF251" i="27" s="1"/>
  <c r="AG251" i="27" s="1"/>
  <c r="AH251" i="27" s="1"/>
  <c r="AI251" i="27" s="1"/>
  <c r="AJ251" i="27" s="1"/>
  <c r="AK251" i="27" s="1"/>
  <c r="AL251" i="27" s="1"/>
  <c r="AM251" i="27" s="1"/>
  <c r="AD203" i="27"/>
  <c r="AE203" i="27" s="1"/>
  <c r="AF203" i="27" s="1"/>
  <c r="AG203" i="27" s="1"/>
  <c r="AH203" i="27" s="1"/>
  <c r="AI203" i="27" s="1"/>
  <c r="AJ203" i="27" s="1"/>
  <c r="AK203" i="27" s="1"/>
  <c r="AL203" i="27" s="1"/>
  <c r="AM203" i="27" s="1"/>
  <c r="AD247" i="27"/>
  <c r="AE247" i="27" s="1"/>
  <c r="AF247" i="27" s="1"/>
  <c r="AG247" i="27" s="1"/>
  <c r="AH247" i="27" s="1"/>
  <c r="AI247" i="27" s="1"/>
  <c r="AJ247" i="27" s="1"/>
  <c r="AK247" i="27" s="1"/>
  <c r="AL247" i="27" s="1"/>
  <c r="AM247" i="27" s="1"/>
  <c r="AD220" i="27"/>
  <c r="AE220" i="27" s="1"/>
  <c r="AF220" i="27" s="1"/>
  <c r="AG220" i="27" s="1"/>
  <c r="AH220" i="27" s="1"/>
  <c r="AI220" i="27" s="1"/>
  <c r="AJ220" i="27" s="1"/>
  <c r="AK220" i="27" s="1"/>
  <c r="AL220" i="27" s="1"/>
  <c r="AM220" i="27" s="1"/>
  <c r="AD264" i="27"/>
  <c r="AE264" i="27" s="1"/>
  <c r="AF264" i="27" s="1"/>
  <c r="AG264" i="27" s="1"/>
  <c r="AH264" i="27" s="1"/>
  <c r="AI264" i="27" s="1"/>
  <c r="AJ264" i="27" s="1"/>
  <c r="AK264" i="27" s="1"/>
  <c r="AL264" i="27" s="1"/>
  <c r="AM264" i="27" s="1"/>
  <c r="AD227" i="27"/>
  <c r="AE227" i="27" s="1"/>
  <c r="AF227" i="27" s="1"/>
  <c r="AG227" i="27" s="1"/>
  <c r="AH227" i="27" s="1"/>
  <c r="AI227" i="27" s="1"/>
  <c r="AJ227" i="27" s="1"/>
  <c r="AK227" i="27" s="1"/>
  <c r="AL227" i="27" s="1"/>
  <c r="AM227" i="27" s="1"/>
  <c r="AD271" i="27"/>
  <c r="AE271" i="27" s="1"/>
  <c r="AF271" i="27" s="1"/>
  <c r="AG271" i="27" s="1"/>
  <c r="AH271" i="27" s="1"/>
  <c r="AI271" i="27" s="1"/>
  <c r="AJ271" i="27" s="1"/>
  <c r="AK271" i="27" s="1"/>
  <c r="AL271" i="27" s="1"/>
  <c r="AM271" i="27" s="1"/>
  <c r="AD228" i="27"/>
  <c r="AE228" i="27" s="1"/>
  <c r="AF228" i="27" s="1"/>
  <c r="AG228" i="27" s="1"/>
  <c r="AH228" i="27" s="1"/>
  <c r="AI228" i="27" s="1"/>
  <c r="AJ228" i="27" s="1"/>
  <c r="AK228" i="27" s="1"/>
  <c r="AL228" i="27" s="1"/>
  <c r="AM228" i="27" s="1"/>
  <c r="AD272" i="27"/>
  <c r="AE272" i="27" s="1"/>
  <c r="AF272" i="27" s="1"/>
  <c r="AG272" i="27" s="1"/>
  <c r="AH272" i="27" s="1"/>
  <c r="AI272" i="27" s="1"/>
  <c r="AJ272" i="27" s="1"/>
  <c r="AK272" i="27" s="1"/>
  <c r="AL272" i="27" s="1"/>
  <c r="AM272" i="27" s="1"/>
  <c r="Y322" i="27"/>
  <c r="Z225" i="27"/>
  <c r="AD202" i="27"/>
  <c r="AE202" i="27" s="1"/>
  <c r="AF202" i="27" s="1"/>
  <c r="AG202" i="27" s="1"/>
  <c r="AH202" i="27" s="1"/>
  <c r="AI202" i="27" s="1"/>
  <c r="AJ202" i="27" s="1"/>
  <c r="AK202" i="27" s="1"/>
  <c r="AL202" i="27" s="1"/>
  <c r="AM202" i="27" s="1"/>
  <c r="AD246" i="27"/>
  <c r="AE246" i="27" s="1"/>
  <c r="AF246" i="27" s="1"/>
  <c r="AG246" i="27" s="1"/>
  <c r="AH246" i="27" s="1"/>
  <c r="AI246" i="27" s="1"/>
  <c r="AJ246" i="27" s="1"/>
  <c r="AK246" i="27" s="1"/>
  <c r="AL246" i="27" s="1"/>
  <c r="AM246" i="27" s="1"/>
  <c r="AD240" i="27"/>
  <c r="AE240" i="27" s="1"/>
  <c r="AF240" i="27" s="1"/>
  <c r="AG240" i="27" s="1"/>
  <c r="AH240" i="27" s="1"/>
  <c r="AI240" i="27" s="1"/>
  <c r="AJ240" i="27" s="1"/>
  <c r="AK240" i="27" s="1"/>
  <c r="AL240" i="27" s="1"/>
  <c r="AM240" i="27" s="1"/>
  <c r="AD196" i="27"/>
  <c r="AE196" i="27" s="1"/>
  <c r="AF196" i="27" s="1"/>
  <c r="AG196" i="27" s="1"/>
  <c r="AH196" i="27" s="1"/>
  <c r="AI196" i="27" s="1"/>
  <c r="AJ196" i="27" s="1"/>
  <c r="AK196" i="27" s="1"/>
  <c r="AL196" i="27" s="1"/>
  <c r="AM196" i="27" s="1"/>
  <c r="AD218" i="27"/>
  <c r="AE218" i="27" s="1"/>
  <c r="AF218" i="27" s="1"/>
  <c r="AG218" i="27" s="1"/>
  <c r="AH218" i="27" s="1"/>
  <c r="AI218" i="27" s="1"/>
  <c r="AJ218" i="27" s="1"/>
  <c r="AK218" i="27" s="1"/>
  <c r="AL218" i="27" s="1"/>
  <c r="AM218" i="27" s="1"/>
  <c r="AD262" i="27"/>
  <c r="AE262" i="27" s="1"/>
  <c r="AF262" i="27" s="1"/>
  <c r="AG262" i="27" s="1"/>
  <c r="AH262" i="27" s="1"/>
  <c r="AI262" i="27" s="1"/>
  <c r="AJ262" i="27" s="1"/>
  <c r="AK262" i="27" s="1"/>
  <c r="AL262" i="27" s="1"/>
  <c r="AM262" i="27" s="1"/>
  <c r="Y321" i="27"/>
  <c r="Z224" i="27"/>
  <c r="AD195" i="27"/>
  <c r="AE195" i="27" s="1"/>
  <c r="AF195" i="27" s="1"/>
  <c r="AG195" i="27" s="1"/>
  <c r="AH195" i="27" s="1"/>
  <c r="AI195" i="27" s="1"/>
  <c r="AJ195" i="27" s="1"/>
  <c r="AK195" i="27" s="1"/>
  <c r="AL195" i="27" s="1"/>
  <c r="AM195" i="27" s="1"/>
  <c r="AD239" i="27"/>
  <c r="AE239" i="27" s="1"/>
  <c r="AF239" i="27" s="1"/>
  <c r="AG239" i="27" s="1"/>
  <c r="AH239" i="27" s="1"/>
  <c r="AI239" i="27" s="1"/>
  <c r="AJ239" i="27" s="1"/>
  <c r="AK239" i="27" s="1"/>
  <c r="AL239" i="27" s="1"/>
  <c r="AM239" i="27" s="1"/>
  <c r="Z209" i="27"/>
  <c r="Y312" i="27"/>
  <c r="AD222" i="27"/>
  <c r="AE222" i="27" s="1"/>
  <c r="AF222" i="27" s="1"/>
  <c r="AG222" i="27" s="1"/>
  <c r="AH222" i="27" s="1"/>
  <c r="AI222" i="27" s="1"/>
  <c r="AJ222" i="27" s="1"/>
  <c r="AK222" i="27" s="1"/>
  <c r="AL222" i="27" s="1"/>
  <c r="AM222" i="27" s="1"/>
  <c r="AD266" i="27"/>
  <c r="AE266" i="27" s="1"/>
  <c r="AF266" i="27" s="1"/>
  <c r="AG266" i="27" s="1"/>
  <c r="AH266" i="27" s="1"/>
  <c r="AI266" i="27" s="1"/>
  <c r="AJ266" i="27" s="1"/>
  <c r="AK266" i="27" s="1"/>
  <c r="AL266" i="27" s="1"/>
  <c r="AM266" i="27" s="1"/>
  <c r="Z193" i="27"/>
  <c r="Y306" i="27"/>
  <c r="Z226" i="27"/>
  <c r="Y323" i="27"/>
  <c r="AD229" i="27"/>
  <c r="AE229" i="27" s="1"/>
  <c r="AF229" i="27" s="1"/>
  <c r="AG229" i="27" s="1"/>
  <c r="AH229" i="27" s="1"/>
  <c r="AI229" i="27" s="1"/>
  <c r="AJ229" i="27" s="1"/>
  <c r="AK229" i="27" s="1"/>
  <c r="AL229" i="27" s="1"/>
  <c r="AM229" i="27" s="1"/>
  <c r="AD273" i="27"/>
  <c r="AE273" i="27" s="1"/>
  <c r="AF273" i="27" s="1"/>
  <c r="AG273" i="27" s="1"/>
  <c r="AH273" i="27" s="1"/>
  <c r="AI273" i="27" s="1"/>
  <c r="AJ273" i="27" s="1"/>
  <c r="AK273" i="27" s="1"/>
  <c r="AL273" i="27" s="1"/>
  <c r="AM273" i="27" s="1"/>
  <c r="Y320" i="27"/>
  <c r="Z223" i="27"/>
  <c r="Y307" i="27"/>
  <c r="Z194" i="27"/>
  <c r="AD212" i="27"/>
  <c r="AE212" i="27" s="1"/>
  <c r="AF212" i="27" s="1"/>
  <c r="AG212" i="27" s="1"/>
  <c r="AH212" i="27" s="1"/>
  <c r="AI212" i="27" s="1"/>
  <c r="AJ212" i="27" s="1"/>
  <c r="AK212" i="27" s="1"/>
  <c r="AL212" i="27" s="1"/>
  <c r="AM212" i="27" s="1"/>
  <c r="AD256" i="27"/>
  <c r="AE256" i="27" s="1"/>
  <c r="AF256" i="27" s="1"/>
  <c r="AG256" i="27" s="1"/>
  <c r="AH256" i="27" s="1"/>
  <c r="AI256" i="27" s="1"/>
  <c r="AJ256" i="27" s="1"/>
  <c r="AK256" i="27" s="1"/>
  <c r="AL256" i="27" s="1"/>
  <c r="AM256" i="27" s="1"/>
  <c r="Y316" i="27"/>
  <c r="Z215" i="27"/>
  <c r="AD206" i="27"/>
  <c r="AE206" i="27" s="1"/>
  <c r="AF206" i="27" s="1"/>
  <c r="AG206" i="27" s="1"/>
  <c r="AH206" i="27" s="1"/>
  <c r="AI206" i="27" s="1"/>
  <c r="AJ206" i="27" s="1"/>
  <c r="AK206" i="27" s="1"/>
  <c r="AL206" i="27" s="1"/>
  <c r="AM206" i="27" s="1"/>
  <c r="AD250" i="27"/>
  <c r="AE250" i="27" s="1"/>
  <c r="AF250" i="27" s="1"/>
  <c r="AG250" i="27" s="1"/>
  <c r="AH250" i="27" s="1"/>
  <c r="AI250" i="27" s="1"/>
  <c r="AJ250" i="27" s="1"/>
  <c r="AK250" i="27" s="1"/>
  <c r="AL250" i="27" s="1"/>
  <c r="AM250" i="27" s="1"/>
  <c r="Y305" i="27"/>
  <c r="Z192" i="27"/>
  <c r="AD221" i="27"/>
  <c r="AE221" i="27" s="1"/>
  <c r="AF221" i="27" s="1"/>
  <c r="AG221" i="27" s="1"/>
  <c r="AH221" i="27" s="1"/>
  <c r="AI221" i="27" s="1"/>
  <c r="AJ221" i="27" s="1"/>
  <c r="AK221" i="27" s="1"/>
  <c r="AL221" i="27" s="1"/>
  <c r="AM221" i="27" s="1"/>
  <c r="AD265" i="27"/>
  <c r="AE265" i="27" s="1"/>
  <c r="AF265" i="27" s="1"/>
  <c r="AG265" i="27" s="1"/>
  <c r="AH265" i="27" s="1"/>
  <c r="AI265" i="27" s="1"/>
  <c r="AJ265" i="27" s="1"/>
  <c r="AK265" i="27" s="1"/>
  <c r="AL265" i="27" s="1"/>
  <c r="AM265" i="27" s="1"/>
  <c r="Z216" i="27"/>
  <c r="Y317" i="27"/>
  <c r="Y315" i="27"/>
  <c r="Z214" i="27"/>
  <c r="AD217" i="27"/>
  <c r="AE217" i="27" s="1"/>
  <c r="AF217" i="27" s="1"/>
  <c r="AG217" i="27" s="1"/>
  <c r="AH217" i="27" s="1"/>
  <c r="AI217" i="27" s="1"/>
  <c r="AJ217" i="27" s="1"/>
  <c r="AK217" i="27" s="1"/>
  <c r="AL217" i="27" s="1"/>
  <c r="AM217" i="27" s="1"/>
  <c r="AD261" i="27"/>
  <c r="AE261" i="27" s="1"/>
  <c r="AF261" i="27" s="1"/>
  <c r="AG261" i="27" s="1"/>
  <c r="AH261" i="27" s="1"/>
  <c r="AI261" i="27" s="1"/>
  <c r="AJ261" i="27" s="1"/>
  <c r="AK261" i="27" s="1"/>
  <c r="AL261" i="27" s="1"/>
  <c r="AM261" i="27" s="1"/>
  <c r="AD211" i="27"/>
  <c r="AE211" i="27" s="1"/>
  <c r="AF211" i="27" s="1"/>
  <c r="AG211" i="27" s="1"/>
  <c r="AH211" i="27" s="1"/>
  <c r="AI211" i="27" s="1"/>
  <c r="AJ211" i="27" s="1"/>
  <c r="AK211" i="27" s="1"/>
  <c r="AL211" i="27" s="1"/>
  <c r="AM211" i="27" s="1"/>
  <c r="AD255" i="27"/>
  <c r="AE255" i="27" s="1"/>
  <c r="AF255" i="27" s="1"/>
  <c r="AG255" i="27" s="1"/>
  <c r="AH255" i="27" s="1"/>
  <c r="AI255" i="27" s="1"/>
  <c r="AJ255" i="27" s="1"/>
  <c r="AK255" i="27" s="1"/>
  <c r="AL255" i="27" s="1"/>
  <c r="AM255" i="27" s="1"/>
  <c r="AD204" i="27"/>
  <c r="AE204" i="27" s="1"/>
  <c r="AF204" i="27" s="1"/>
  <c r="AG204" i="27" s="1"/>
  <c r="AH204" i="27" s="1"/>
  <c r="AI204" i="27" s="1"/>
  <c r="AJ204" i="27" s="1"/>
  <c r="AK204" i="27" s="1"/>
  <c r="AL204" i="27" s="1"/>
  <c r="AM204" i="27" s="1"/>
  <c r="AD248" i="27"/>
  <c r="AE248" i="27" s="1"/>
  <c r="AF248" i="27" s="1"/>
  <c r="AG248" i="27" s="1"/>
  <c r="AH248" i="27" s="1"/>
  <c r="AI248" i="27" s="1"/>
  <c r="AJ248" i="27" s="1"/>
  <c r="AK248" i="27" s="1"/>
  <c r="AL248" i="27" s="1"/>
  <c r="AM248" i="27" s="1"/>
  <c r="AD219" i="27"/>
  <c r="AE219" i="27" s="1"/>
  <c r="AF219" i="27" s="1"/>
  <c r="AG219" i="27" s="1"/>
  <c r="AH219" i="27" s="1"/>
  <c r="AI219" i="27" s="1"/>
  <c r="AJ219" i="27" s="1"/>
  <c r="AK219" i="27" s="1"/>
  <c r="AL219" i="27" s="1"/>
  <c r="AM219" i="27" s="1"/>
  <c r="AD263" i="27"/>
  <c r="AE263" i="27" s="1"/>
  <c r="AF263" i="27" s="1"/>
  <c r="AG263" i="27" s="1"/>
  <c r="AH263" i="27" s="1"/>
  <c r="AI263" i="27" s="1"/>
  <c r="AJ263" i="27" s="1"/>
  <c r="AK263" i="27" s="1"/>
  <c r="AL263" i="27" s="1"/>
  <c r="AM263" i="27" s="1"/>
  <c r="Z213" i="27"/>
  <c r="Y314" i="27"/>
  <c r="Z191" i="27"/>
  <c r="Y304" i="27"/>
  <c r="H256" i="29"/>
  <c r="H245" i="29"/>
  <c r="H236" i="29"/>
  <c r="H285" i="29"/>
  <c r="H276" i="29"/>
  <c r="H265" i="29"/>
  <c r="Z323" i="27" l="1"/>
  <c r="AA226" i="27"/>
  <c r="Z313" i="27"/>
  <c r="AA210" i="27"/>
  <c r="Z304" i="27"/>
  <c r="AA191" i="27"/>
  <c r="Z317" i="27"/>
  <c r="AA216" i="27"/>
  <c r="AA223" i="27"/>
  <c r="Z320" i="27"/>
  <c r="Z315" i="27"/>
  <c r="AA214" i="27"/>
  <c r="Z306" i="27"/>
  <c r="AA193" i="27"/>
  <c r="Z312" i="27"/>
  <c r="AA209" i="27"/>
  <c r="AA224" i="27"/>
  <c r="Z321" i="27"/>
  <c r="I276" i="29"/>
  <c r="I256" i="29"/>
  <c r="I265" i="29"/>
  <c r="J143" i="29"/>
  <c r="I285" i="29"/>
  <c r="I245" i="29"/>
  <c r="I236" i="29"/>
  <c r="Z314" i="27"/>
  <c r="AA213" i="27"/>
  <c r="AA192" i="27"/>
  <c r="Z305" i="27"/>
  <c r="AA215" i="27"/>
  <c r="Z316" i="27"/>
  <c r="Z307" i="27"/>
  <c r="AA194" i="27"/>
  <c r="Z322" i="27"/>
  <c r="AA225" i="27"/>
  <c r="AB213" i="27" l="1"/>
  <c r="AA314" i="27"/>
  <c r="AA312" i="27"/>
  <c r="AB209" i="27"/>
  <c r="AB216" i="27"/>
  <c r="AA317" i="27"/>
  <c r="AB215" i="27"/>
  <c r="AA316" i="27"/>
  <c r="AB214" i="27"/>
  <c r="AA315" i="27"/>
  <c r="AB226" i="27"/>
  <c r="AA323" i="27"/>
  <c r="AA307" i="27"/>
  <c r="AB194" i="27"/>
  <c r="AA321" i="27"/>
  <c r="AB224" i="27"/>
  <c r="AA306" i="27"/>
  <c r="AB193" i="27"/>
  <c r="AA320" i="27"/>
  <c r="AB223" i="27"/>
  <c r="AA304" i="27"/>
  <c r="AB191" i="27"/>
  <c r="AB225" i="27"/>
  <c r="AA322" i="27"/>
  <c r="AB192" i="27"/>
  <c r="AA305" i="27"/>
  <c r="K143" i="29"/>
  <c r="J245" i="29"/>
  <c r="J285" i="29"/>
  <c r="J256" i="29"/>
  <c r="J236" i="29"/>
  <c r="J276" i="29"/>
  <c r="J265" i="29"/>
  <c r="AB210" i="27"/>
  <c r="AA313" i="27"/>
  <c r="AC210" i="27" l="1"/>
  <c r="AB313" i="27"/>
  <c r="AC226" i="27"/>
  <c r="AB323" i="27"/>
  <c r="AC225" i="27"/>
  <c r="AB322" i="27"/>
  <c r="AC193" i="27"/>
  <c r="AB306" i="27"/>
  <c r="AC214" i="27"/>
  <c r="AB315" i="27"/>
  <c r="AB316" i="27"/>
  <c r="AC215" i="27"/>
  <c r="AC213" i="27"/>
  <c r="AB314" i="27"/>
  <c r="K285" i="29"/>
  <c r="K276" i="29"/>
  <c r="K256" i="29"/>
  <c r="K245" i="29"/>
  <c r="K236" i="29"/>
  <c r="L143" i="29"/>
  <c r="K265" i="29"/>
  <c r="AB305" i="27"/>
  <c r="AC192" i="27"/>
  <c r="AC223" i="27"/>
  <c r="AB320" i="27"/>
  <c r="AC209" i="27"/>
  <c r="AB312" i="27"/>
  <c r="AB304" i="27"/>
  <c r="AC191" i="27"/>
  <c r="AC224" i="27"/>
  <c r="AB321" i="27"/>
  <c r="AC194" i="27"/>
  <c r="AB307" i="27"/>
  <c r="AC216" i="27"/>
  <c r="AB317" i="27"/>
  <c r="AC307" i="27" l="1"/>
  <c r="AD238" i="27"/>
  <c r="AD194" i="27"/>
  <c r="AC312" i="27"/>
  <c r="AD253" i="27"/>
  <c r="AD209" i="27"/>
  <c r="AD254" i="27"/>
  <c r="AC313" i="27"/>
  <c r="AD210" i="27"/>
  <c r="AD260" i="27"/>
  <c r="AD216" i="27"/>
  <c r="AC317" i="27"/>
  <c r="AD224" i="27"/>
  <c r="AC321" i="27"/>
  <c r="AD268" i="27"/>
  <c r="M143" i="29"/>
  <c r="L276" i="29"/>
  <c r="L265" i="29"/>
  <c r="L285" i="29"/>
  <c r="L245" i="29"/>
  <c r="L256" i="29"/>
  <c r="L236" i="29"/>
  <c r="AD214" i="27"/>
  <c r="AC315" i="27"/>
  <c r="AD258" i="27"/>
  <c r="AD191" i="27"/>
  <c r="AC304" i="27"/>
  <c r="AD235" i="27"/>
  <c r="AD267" i="27"/>
  <c r="AD223" i="27"/>
  <c r="AC320" i="27"/>
  <c r="AC305" i="27"/>
  <c r="AD192" i="27"/>
  <c r="AD236" i="27"/>
  <c r="AD257" i="27"/>
  <c r="AD213" i="27"/>
  <c r="AC314" i="27"/>
  <c r="AD225" i="27"/>
  <c r="AC322" i="27"/>
  <c r="AD269" i="27"/>
  <c r="AD226" i="27"/>
  <c r="AC323" i="27"/>
  <c r="AD270" i="27"/>
  <c r="AD259" i="27"/>
  <c r="AC316" i="27"/>
  <c r="AD215" i="27"/>
  <c r="AD193" i="27"/>
  <c r="AD237" i="27"/>
  <c r="AC306" i="27"/>
  <c r="AE209" i="27" l="1"/>
  <c r="AD312" i="27"/>
  <c r="AE237" i="27"/>
  <c r="AD328" i="27"/>
  <c r="AE193" i="27"/>
  <c r="AD306" i="27"/>
  <c r="AE215" i="27"/>
  <c r="AD316" i="27"/>
  <c r="AE270" i="27"/>
  <c r="AD345" i="27"/>
  <c r="AD322" i="27"/>
  <c r="AE225" i="27"/>
  <c r="AD314" i="27"/>
  <c r="AE213" i="27"/>
  <c r="AE214" i="27"/>
  <c r="AD315" i="27"/>
  <c r="AD335" i="27"/>
  <c r="AE254" i="27"/>
  <c r="AD334" i="27"/>
  <c r="AE253" i="27"/>
  <c r="AE235" i="27"/>
  <c r="AD326" i="27"/>
  <c r="AE216" i="27"/>
  <c r="AD317" i="27"/>
  <c r="N143" i="29"/>
  <c r="M236" i="29"/>
  <c r="M285" i="29"/>
  <c r="M265" i="29"/>
  <c r="M256" i="29"/>
  <c r="M245" i="29"/>
  <c r="M276" i="29"/>
  <c r="AD321" i="27"/>
  <c r="AE224" i="27"/>
  <c r="AE260" i="27"/>
  <c r="AD339" i="27"/>
  <c r="AD336" i="27"/>
  <c r="AE257" i="27"/>
  <c r="AD327" i="27"/>
  <c r="AE236" i="27"/>
  <c r="AD320" i="27"/>
  <c r="AE223" i="27"/>
  <c r="AD304" i="27"/>
  <c r="AE191" i="27"/>
  <c r="AD307" i="27"/>
  <c r="AE194" i="27"/>
  <c r="AE259" i="27"/>
  <c r="AD338" i="27"/>
  <c r="AE226" i="27"/>
  <c r="AD323" i="27"/>
  <c r="AD344" i="27"/>
  <c r="AE269" i="27"/>
  <c r="AE192" i="27"/>
  <c r="AD305" i="27"/>
  <c r="AD342" i="27"/>
  <c r="AE267" i="27"/>
  <c r="AE258" i="27"/>
  <c r="AD337" i="27"/>
  <c r="AE268" i="27"/>
  <c r="AD343" i="27"/>
  <c r="AE210" i="27"/>
  <c r="AD313" i="27"/>
  <c r="AD329" i="27"/>
  <c r="AE238" i="27"/>
  <c r="AE313" i="27" l="1"/>
  <c r="AF210" i="27"/>
  <c r="AF194" i="27"/>
  <c r="AE307" i="27"/>
  <c r="AF223" i="27"/>
  <c r="AE320" i="27"/>
  <c r="AE321" i="27"/>
  <c r="AF224" i="27"/>
  <c r="AF253" i="27"/>
  <c r="AE334" i="27"/>
  <c r="AE314" i="27"/>
  <c r="AF213" i="27"/>
  <c r="AF215" i="27"/>
  <c r="AE316" i="27"/>
  <c r="AF209" i="27"/>
  <c r="AE312" i="27"/>
  <c r="AF226" i="27"/>
  <c r="AE323" i="27"/>
  <c r="AF257" i="27"/>
  <c r="AE336" i="27"/>
  <c r="AE317" i="27"/>
  <c r="AF216" i="27"/>
  <c r="AF270" i="27"/>
  <c r="AE345" i="27"/>
  <c r="AF238" i="27"/>
  <c r="AE329" i="27"/>
  <c r="AE305" i="27"/>
  <c r="AF192" i="27"/>
  <c r="AF269" i="27"/>
  <c r="AE344" i="27"/>
  <c r="AE338" i="27"/>
  <c r="AF259" i="27"/>
  <c r="AE304" i="27"/>
  <c r="AF191" i="27"/>
  <c r="AE327" i="27"/>
  <c r="AF236" i="27"/>
  <c r="N245" i="29"/>
  <c r="N285" i="29"/>
  <c r="N276" i="29"/>
  <c r="N256" i="29"/>
  <c r="O143" i="29"/>
  <c r="N265" i="29"/>
  <c r="N236" i="29"/>
  <c r="AF254" i="27"/>
  <c r="AE335" i="27"/>
  <c r="AF225" i="27"/>
  <c r="AE322" i="27"/>
  <c r="AE306" i="27"/>
  <c r="AF193" i="27"/>
  <c r="AF237" i="27"/>
  <c r="AE328" i="27"/>
  <c r="AF268" i="27"/>
  <c r="AE343" i="27"/>
  <c r="AE337" i="27"/>
  <c r="AF258" i="27"/>
  <c r="AE342" i="27"/>
  <c r="AF267" i="27"/>
  <c r="AF260" i="27"/>
  <c r="AE339" i="27"/>
  <c r="AE326" i="27"/>
  <c r="AF235" i="27"/>
  <c r="AE315" i="27"/>
  <c r="AF214" i="27"/>
  <c r="AG268" i="27" l="1"/>
  <c r="AF343" i="27"/>
  <c r="AG237" i="27"/>
  <c r="AF328" i="27"/>
  <c r="AG257" i="27"/>
  <c r="AF336" i="27"/>
  <c r="AF314" i="27"/>
  <c r="AG213" i="27"/>
  <c r="AG214" i="27"/>
  <c r="AF315" i="27"/>
  <c r="AF326" i="27"/>
  <c r="AG235" i="27"/>
  <c r="AG258" i="27"/>
  <c r="AF337" i="27"/>
  <c r="AG225" i="27"/>
  <c r="AF322" i="27"/>
  <c r="AG191" i="27"/>
  <c r="AF304" i="27"/>
  <c r="AF329" i="27"/>
  <c r="AG238" i="27"/>
  <c r="AG216" i="27"/>
  <c r="AF317" i="27"/>
  <c r="AG209" i="27"/>
  <c r="AF312" i="27"/>
  <c r="AG224" i="27"/>
  <c r="AF321" i="27"/>
  <c r="AF320" i="27"/>
  <c r="AG223" i="27"/>
  <c r="AF339" i="27"/>
  <c r="AG260" i="27"/>
  <c r="AF342" i="27"/>
  <c r="AG267" i="27"/>
  <c r="O245" i="29"/>
  <c r="O256" i="29"/>
  <c r="O285" i="29"/>
  <c r="O236" i="29"/>
  <c r="O276" i="29"/>
  <c r="P143" i="29"/>
  <c r="O265" i="29"/>
  <c r="AG269" i="27"/>
  <c r="AF344" i="27"/>
  <c r="AG270" i="27"/>
  <c r="AF345" i="27"/>
  <c r="AG210" i="27"/>
  <c r="AF313" i="27"/>
  <c r="AF306" i="27"/>
  <c r="AG193" i="27"/>
  <c r="AF335" i="27"/>
  <c r="AG254" i="27"/>
  <c r="AF327" i="27"/>
  <c r="AG236" i="27"/>
  <c r="AF338" i="27"/>
  <c r="AG259" i="27"/>
  <c r="AF305" i="27"/>
  <c r="AG192" i="27"/>
  <c r="AF323" i="27"/>
  <c r="AG226" i="27"/>
  <c r="AG215" i="27"/>
  <c r="AF316" i="27"/>
  <c r="AF334" i="27"/>
  <c r="AG253" i="27"/>
  <c r="AG194" i="27"/>
  <c r="AF307" i="27"/>
  <c r="AG316" i="27" l="1"/>
  <c r="AH215" i="27"/>
  <c r="AH210" i="27"/>
  <c r="AG313" i="27"/>
  <c r="AH269" i="27"/>
  <c r="AG344" i="27"/>
  <c r="AG342" i="27"/>
  <c r="AH267" i="27"/>
  <c r="AH260" i="27"/>
  <c r="AG339" i="27"/>
  <c r="AG321" i="27"/>
  <c r="AH224" i="27"/>
  <c r="AH209" i="27"/>
  <c r="AG312" i="27"/>
  <c r="AH213" i="27"/>
  <c r="AG314" i="27"/>
  <c r="AG307" i="27"/>
  <c r="AH194" i="27"/>
  <c r="AG334" i="27"/>
  <c r="AH253" i="27"/>
  <c r="AG323" i="27"/>
  <c r="AH226" i="27"/>
  <c r="AH192" i="27"/>
  <c r="AG305" i="27"/>
  <c r="AH236" i="27"/>
  <c r="AG327" i="27"/>
  <c r="AG315" i="27"/>
  <c r="AH214" i="27"/>
  <c r="AG343" i="27"/>
  <c r="AH268" i="27"/>
  <c r="AG306" i="27"/>
  <c r="AH193" i="27"/>
  <c r="P276" i="29"/>
  <c r="P285" i="29"/>
  <c r="P236" i="29"/>
  <c r="P245" i="29"/>
  <c r="P256" i="29"/>
  <c r="Q143" i="29"/>
  <c r="P265" i="29"/>
  <c r="AG317" i="27"/>
  <c r="AH216" i="27"/>
  <c r="AH225" i="27"/>
  <c r="AG322" i="27"/>
  <c r="AG326" i="27"/>
  <c r="AH235" i="27"/>
  <c r="AG338" i="27"/>
  <c r="AH259" i="27"/>
  <c r="AH254" i="27"/>
  <c r="AG335" i="27"/>
  <c r="AH270" i="27"/>
  <c r="AG345" i="27"/>
  <c r="AG320" i="27"/>
  <c r="AH223" i="27"/>
  <c r="AH238" i="27"/>
  <c r="AG329" i="27"/>
  <c r="AG304" i="27"/>
  <c r="AH191" i="27"/>
  <c r="AH258" i="27"/>
  <c r="AG337" i="27"/>
  <c r="AH257" i="27"/>
  <c r="AG336" i="27"/>
  <c r="AH237" i="27"/>
  <c r="AG328" i="27"/>
  <c r="AI223" i="27" l="1"/>
  <c r="AH320" i="27"/>
  <c r="AH338" i="27"/>
  <c r="AI259" i="27"/>
  <c r="AI226" i="27"/>
  <c r="AH323" i="27"/>
  <c r="AI194" i="27"/>
  <c r="AH307" i="27"/>
  <c r="AH312" i="27"/>
  <c r="AI209" i="27"/>
  <c r="AI215" i="27"/>
  <c r="AH316" i="27"/>
  <c r="AH343" i="27"/>
  <c r="AI268" i="27"/>
  <c r="AH327" i="27"/>
  <c r="AI236" i="27"/>
  <c r="AI213" i="27"/>
  <c r="AH314" i="27"/>
  <c r="AH321" i="27"/>
  <c r="AI224" i="27"/>
  <c r="AI210" i="27"/>
  <c r="AH313" i="27"/>
  <c r="AI257" i="27"/>
  <c r="AH336" i="27"/>
  <c r="AH337" i="27"/>
  <c r="AI258" i="27"/>
  <c r="AH329" i="27"/>
  <c r="AI238" i="27"/>
  <c r="AI270" i="27"/>
  <c r="AH345" i="27"/>
  <c r="AH326" i="27"/>
  <c r="AI235" i="27"/>
  <c r="AI225" i="27"/>
  <c r="AH322" i="27"/>
  <c r="Q265" i="29"/>
  <c r="R143" i="29"/>
  <c r="Q256" i="29"/>
  <c r="Q245" i="29"/>
  <c r="Q236" i="29"/>
  <c r="Q276" i="29"/>
  <c r="Q285" i="29"/>
  <c r="AI193" i="27"/>
  <c r="AH306" i="27"/>
  <c r="AH334" i="27"/>
  <c r="AI253" i="27"/>
  <c r="AI260" i="27"/>
  <c r="AH339" i="27"/>
  <c r="AI237" i="27"/>
  <c r="AH328" i="27"/>
  <c r="AH304" i="27"/>
  <c r="AI191" i="27"/>
  <c r="AH335" i="27"/>
  <c r="AI254" i="27"/>
  <c r="AI216" i="27"/>
  <c r="AH317" i="27"/>
  <c r="AH315" i="27"/>
  <c r="AI214" i="27"/>
  <c r="AH305" i="27"/>
  <c r="AI192" i="27"/>
  <c r="AI267" i="27"/>
  <c r="AH342" i="27"/>
  <c r="AI269" i="27"/>
  <c r="AH344" i="27"/>
  <c r="AI335" i="27" l="1"/>
  <c r="AJ254" i="27"/>
  <c r="AI339" i="27"/>
  <c r="AJ260" i="27"/>
  <c r="AI306" i="27"/>
  <c r="AJ193" i="27"/>
  <c r="AI326" i="27"/>
  <c r="AJ235" i="27"/>
  <c r="AJ258" i="27"/>
  <c r="AI337" i="27"/>
  <c r="AJ224" i="27"/>
  <c r="AI321" i="27"/>
  <c r="AJ213" i="27"/>
  <c r="AI314" i="27"/>
  <c r="AI320" i="27"/>
  <c r="AJ223" i="27"/>
  <c r="AI344" i="27"/>
  <c r="AJ269" i="27"/>
  <c r="AJ270" i="27"/>
  <c r="AI345" i="27"/>
  <c r="AI336" i="27"/>
  <c r="AJ257" i="27"/>
  <c r="AI307" i="27"/>
  <c r="AJ194" i="27"/>
  <c r="AJ259" i="27"/>
  <c r="AI338" i="27"/>
  <c r="AI305" i="27"/>
  <c r="AJ192" i="27"/>
  <c r="AI328" i="27"/>
  <c r="AJ237" i="27"/>
  <c r="R245" i="29"/>
  <c r="R256" i="29"/>
  <c r="R276" i="29"/>
  <c r="R265" i="29"/>
  <c r="S143" i="29"/>
  <c r="R236" i="29"/>
  <c r="R285" i="29"/>
  <c r="AJ238" i="27"/>
  <c r="AI329" i="27"/>
  <c r="AJ210" i="27"/>
  <c r="AI313" i="27"/>
  <c r="AI312" i="27"/>
  <c r="AJ209" i="27"/>
  <c r="AI342" i="27"/>
  <c r="AJ267" i="27"/>
  <c r="AI315" i="27"/>
  <c r="AJ214" i="27"/>
  <c r="AJ216" i="27"/>
  <c r="AI317" i="27"/>
  <c r="AJ191" i="27"/>
  <c r="AI304" i="27"/>
  <c r="AI334" i="27"/>
  <c r="AJ253" i="27"/>
  <c r="AJ225" i="27"/>
  <c r="AI322" i="27"/>
  <c r="AJ236" i="27"/>
  <c r="AI327" i="27"/>
  <c r="AJ268" i="27"/>
  <c r="AI343" i="27"/>
  <c r="AJ215" i="27"/>
  <c r="AI316" i="27"/>
  <c r="AJ226" i="27"/>
  <c r="AI323" i="27"/>
  <c r="AJ323" i="27" l="1"/>
  <c r="AK226" i="27"/>
  <c r="AJ317" i="27"/>
  <c r="AK216" i="27"/>
  <c r="AK210" i="27"/>
  <c r="AJ313" i="27"/>
  <c r="AJ327" i="27"/>
  <c r="AK236" i="27"/>
  <c r="AK214" i="27"/>
  <c r="AJ315" i="27"/>
  <c r="T143" i="29"/>
  <c r="S236" i="29"/>
  <c r="S276" i="29"/>
  <c r="S265" i="29"/>
  <c r="S285" i="29"/>
  <c r="S245" i="29"/>
  <c r="S256" i="29"/>
  <c r="AJ305" i="27"/>
  <c r="AK192" i="27"/>
  <c r="AK223" i="27"/>
  <c r="AJ320" i="27"/>
  <c r="AK213" i="27"/>
  <c r="AJ314" i="27"/>
  <c r="AJ337" i="27"/>
  <c r="AK258" i="27"/>
  <c r="AK260" i="27"/>
  <c r="AJ339" i="27"/>
  <c r="AJ316" i="27"/>
  <c r="AK215" i="27"/>
  <c r="AJ304" i="27"/>
  <c r="AK191" i="27"/>
  <c r="AK267" i="27"/>
  <c r="AJ342" i="27"/>
  <c r="AJ329" i="27"/>
  <c r="AK238" i="27"/>
  <c r="AJ328" i="27"/>
  <c r="AK237" i="27"/>
  <c r="AK259" i="27"/>
  <c r="AJ338" i="27"/>
  <c r="AK194" i="27"/>
  <c r="AJ307" i="27"/>
  <c r="AK270" i="27"/>
  <c r="AJ345" i="27"/>
  <c r="AJ326" i="27"/>
  <c r="AK235" i="27"/>
  <c r="AK193" i="27"/>
  <c r="AJ306" i="27"/>
  <c r="AK254" i="27"/>
  <c r="AJ335" i="27"/>
  <c r="AJ343" i="27"/>
  <c r="AK268" i="27"/>
  <c r="AK225" i="27"/>
  <c r="AJ322" i="27"/>
  <c r="AK253" i="27"/>
  <c r="AJ334" i="27"/>
  <c r="AJ312" i="27"/>
  <c r="AK209" i="27"/>
  <c r="AK257" i="27"/>
  <c r="AJ336" i="27"/>
  <c r="AJ344" i="27"/>
  <c r="AK269" i="27"/>
  <c r="AK224" i="27"/>
  <c r="AJ321" i="27"/>
  <c r="AL257" i="27" l="1"/>
  <c r="AK336" i="27"/>
  <c r="AL225" i="27"/>
  <c r="AK322" i="27"/>
  <c r="AK306" i="27"/>
  <c r="AL193" i="27"/>
  <c r="AL194" i="27"/>
  <c r="AK307" i="27"/>
  <c r="AK328" i="27"/>
  <c r="AL237" i="27"/>
  <c r="AL238" i="27"/>
  <c r="AK329" i="27"/>
  <c r="AL267" i="27"/>
  <c r="AK342" i="27"/>
  <c r="AL226" i="27"/>
  <c r="AK323" i="27"/>
  <c r="AK312" i="27"/>
  <c r="AL209" i="27"/>
  <c r="AK326" i="27"/>
  <c r="AL235" i="27"/>
  <c r="AL260" i="27"/>
  <c r="AK339" i="27"/>
  <c r="AL213" i="27"/>
  <c r="AK314" i="27"/>
  <c r="AK320" i="27"/>
  <c r="AL223" i="27"/>
  <c r="AL192" i="27"/>
  <c r="AK305" i="27"/>
  <c r="AL236" i="27"/>
  <c r="AK327" i="27"/>
  <c r="AL210" i="27"/>
  <c r="AK313" i="27"/>
  <c r="AL216" i="27"/>
  <c r="AK317" i="27"/>
  <c r="AK321" i="27"/>
  <c r="AL224" i="27"/>
  <c r="AL269" i="27"/>
  <c r="AK344" i="27"/>
  <c r="AL253" i="27"/>
  <c r="AK334" i="27"/>
  <c r="AL254" i="27"/>
  <c r="AK335" i="27"/>
  <c r="AK345" i="27"/>
  <c r="AL270" i="27"/>
  <c r="AK338" i="27"/>
  <c r="AL259" i="27"/>
  <c r="AL191" i="27"/>
  <c r="AK304" i="27"/>
  <c r="AL215" i="27"/>
  <c r="AK316" i="27"/>
  <c r="AK337" i="27"/>
  <c r="AL258" i="27"/>
  <c r="T245" i="29"/>
  <c r="T256" i="29"/>
  <c r="T276" i="29"/>
  <c r="U143" i="29"/>
  <c r="T236" i="29"/>
  <c r="T265" i="29"/>
  <c r="T285" i="29"/>
  <c r="AK315" i="27"/>
  <c r="AL214" i="27"/>
  <c r="AK343" i="27"/>
  <c r="AL268" i="27"/>
  <c r="AL343" i="27" l="1"/>
  <c r="AM268" i="27"/>
  <c r="AM343" i="27" s="1"/>
  <c r="AM215" i="27"/>
  <c r="AM316" i="27" s="1"/>
  <c r="AL316" i="27"/>
  <c r="AM269" i="27"/>
  <c r="AM344" i="27" s="1"/>
  <c r="AL344" i="27"/>
  <c r="AL317" i="27"/>
  <c r="AM216" i="27"/>
  <c r="AM317" i="27" s="1"/>
  <c r="AM192" i="27"/>
  <c r="AM305" i="27" s="1"/>
  <c r="AL305" i="27"/>
  <c r="AL314" i="27"/>
  <c r="AM213" i="27"/>
  <c r="AM314" i="27" s="1"/>
  <c r="AL323" i="27"/>
  <c r="AM226" i="27"/>
  <c r="AM323" i="27" s="1"/>
  <c r="AM194" i="27"/>
  <c r="AM307" i="27" s="1"/>
  <c r="AL307" i="27"/>
  <c r="AM214" i="27"/>
  <c r="AM315" i="27" s="1"/>
  <c r="AL315" i="27"/>
  <c r="AL337" i="27"/>
  <c r="AM258" i="27"/>
  <c r="AM337" i="27" s="1"/>
  <c r="AL345" i="27"/>
  <c r="AM270" i="27"/>
  <c r="AM345" i="27" s="1"/>
  <c r="AL335" i="27"/>
  <c r="AM254" i="27"/>
  <c r="AM335" i="27" s="1"/>
  <c r="AM253" i="27"/>
  <c r="AM334" i="27" s="1"/>
  <c r="AL334" i="27"/>
  <c r="AM224" i="27"/>
  <c r="AM321" i="27" s="1"/>
  <c r="AL321" i="27"/>
  <c r="AM223" i="27"/>
  <c r="AM320" i="27" s="1"/>
  <c r="AL320" i="27"/>
  <c r="AL312" i="27"/>
  <c r="AM209" i="27"/>
  <c r="AM312" i="27" s="1"/>
  <c r="AM267" i="27"/>
  <c r="AM342" i="27" s="1"/>
  <c r="AL342" i="27"/>
  <c r="AM238" i="27"/>
  <c r="AM329" i="27" s="1"/>
  <c r="AL329" i="27"/>
  <c r="AM225" i="27"/>
  <c r="AM322" i="27" s="1"/>
  <c r="AL322" i="27"/>
  <c r="AM257" i="27"/>
  <c r="AM336" i="27" s="1"/>
  <c r="AL336" i="27"/>
  <c r="U236" i="29"/>
  <c r="U245" i="29"/>
  <c r="U265" i="29"/>
  <c r="U276" i="29"/>
  <c r="U285" i="29"/>
  <c r="V143" i="29"/>
  <c r="U256" i="29"/>
  <c r="AL304" i="27"/>
  <c r="AM191" i="27"/>
  <c r="AM304" i="27" s="1"/>
  <c r="AL313" i="27"/>
  <c r="AM210" i="27"/>
  <c r="AM313" i="27" s="1"/>
  <c r="AL327" i="27"/>
  <c r="AM236" i="27"/>
  <c r="AM327" i="27" s="1"/>
  <c r="AL339" i="27"/>
  <c r="AM260" i="27"/>
  <c r="AM339" i="27" s="1"/>
  <c r="AM237" i="27"/>
  <c r="AM328" i="27" s="1"/>
  <c r="AL328" i="27"/>
  <c r="AL338" i="27"/>
  <c r="AM259" i="27"/>
  <c r="AM338" i="27" s="1"/>
  <c r="AL326" i="27"/>
  <c r="AM235" i="27"/>
  <c r="AM326" i="27" s="1"/>
  <c r="AL306" i="27"/>
  <c r="AM193" i="27"/>
  <c r="AM306" i="27" s="1"/>
  <c r="V245" i="29" l="1"/>
  <c r="V236" i="29"/>
  <c r="V276" i="29"/>
  <c r="V285" i="29"/>
  <c r="V265" i="29"/>
  <c r="V256" i="29"/>
  <c r="AC120" i="27" l="1"/>
  <c r="AC162" i="27"/>
  <c r="AC77" i="27"/>
  <c r="AC164" i="27"/>
  <c r="AC79" i="27"/>
  <c r="AC122" i="27"/>
  <c r="AC80" i="27"/>
  <c r="AC123" i="27"/>
  <c r="AC165" i="27"/>
  <c r="AC78" i="27" l="1"/>
  <c r="AC121" i="27"/>
  <c r="AC163" i="27"/>
  <c r="AC66" i="27" l="1"/>
  <c r="AC151" i="27"/>
  <c r="AC109" i="27"/>
  <c r="AC106" i="27"/>
  <c r="AC148" i="27"/>
  <c r="AC166" i="27"/>
  <c r="AC81" i="27"/>
  <c r="AC124" i="27"/>
  <c r="AC182" i="27"/>
  <c r="AC140" i="27"/>
  <c r="AC97" i="27"/>
  <c r="AC141" i="27"/>
  <c r="AC183" i="27"/>
  <c r="AC98" i="27"/>
  <c r="AC176" i="27"/>
  <c r="AC134" i="27"/>
  <c r="AC91" i="27"/>
  <c r="AC169" i="27"/>
  <c r="AC84" i="27"/>
  <c r="AC127" i="27"/>
  <c r="AC175" i="27"/>
  <c r="AC133" i="27"/>
  <c r="AC90" i="27"/>
  <c r="AC116" i="27"/>
  <c r="AC73" i="27"/>
  <c r="AC158" i="27"/>
  <c r="AC67" i="27"/>
  <c r="AC152" i="27"/>
  <c r="AC110" i="27"/>
  <c r="AC95" i="27"/>
  <c r="AC180" i="27"/>
  <c r="AC138" i="27"/>
  <c r="AC119" i="27"/>
  <c r="AC76" i="27"/>
  <c r="AC161" i="27"/>
  <c r="AC117" i="27"/>
  <c r="AC159" i="27"/>
  <c r="AC74" i="27"/>
  <c r="AC177" i="27"/>
  <c r="AC135" i="27"/>
  <c r="AC92" i="27"/>
  <c r="AC82" i="27"/>
  <c r="AC125" i="27"/>
  <c r="AC167" i="27"/>
  <c r="AC83" i="27" l="1"/>
  <c r="AC168" i="27"/>
  <c r="AC126" i="27"/>
  <c r="AC99" i="27"/>
  <c r="AC184" i="27"/>
  <c r="AC142" i="27"/>
  <c r="AC86" i="27"/>
  <c r="AC171" i="27"/>
  <c r="AC129" i="27"/>
  <c r="AC178" i="27"/>
  <c r="AC136" i="27"/>
  <c r="AC93" i="27"/>
  <c r="AC111" i="27"/>
  <c r="AC68" i="27"/>
  <c r="AC153" i="27"/>
  <c r="AC174" i="27"/>
  <c r="AC89" i="27"/>
  <c r="AC132" i="27"/>
  <c r="AC181" i="27"/>
  <c r="AC96" i="27"/>
  <c r="AC139" i="27"/>
  <c r="AC107" i="27"/>
  <c r="AC64" i="27"/>
  <c r="AC149" i="27"/>
  <c r="AC131" i="27"/>
  <c r="AC173" i="27"/>
  <c r="AC88" i="27"/>
  <c r="AC128" i="27"/>
  <c r="AC85" i="27"/>
  <c r="AC170" i="27"/>
  <c r="AC130" i="27"/>
  <c r="AC87" i="27"/>
  <c r="AC172" i="27"/>
  <c r="AC100" i="27"/>
  <c r="AC143" i="27"/>
  <c r="AC185" i="27"/>
  <c r="AC118" i="27"/>
  <c r="AC160" i="27"/>
  <c r="AC75" i="27"/>
  <c r="AC63" i="27"/>
  <c r="AC108" i="27"/>
  <c r="AC150" i="27"/>
  <c r="AC65" i="27"/>
  <c r="AC179" i="27"/>
  <c r="AC137" i="27"/>
  <c r="AC94" i="27"/>
  <c r="AC102" i="27"/>
  <c r="AC187" i="27"/>
  <c r="AC145" i="27"/>
  <c r="AC186" i="27"/>
  <c r="AC144" i="27"/>
  <c r="AC101" i="27"/>
  <c r="P95" i="51" l="1"/>
  <c r="P50" i="51"/>
  <c r="P140" i="51"/>
  <c r="V98" i="10"/>
  <c r="F19" i="27"/>
  <c r="G20" i="27"/>
  <c r="W99" i="10"/>
  <c r="H20" i="27"/>
  <c r="R96" i="51"/>
  <c r="R51" i="51"/>
  <c r="R141" i="51"/>
  <c r="X99" i="10"/>
  <c r="F22" i="27"/>
  <c r="P143" i="51"/>
  <c r="P98" i="51"/>
  <c r="P53" i="51"/>
  <c r="V101" i="10"/>
  <c r="G22" i="27"/>
  <c r="W101" i="10"/>
  <c r="W98" i="10"/>
  <c r="G19" i="27"/>
  <c r="R95" i="51"/>
  <c r="R50" i="51"/>
  <c r="X98" i="10"/>
  <c r="H19" i="27"/>
  <c r="R140" i="51"/>
  <c r="F20" i="27" l="1"/>
  <c r="V99" i="10"/>
  <c r="P141" i="51"/>
  <c r="P96" i="51"/>
  <c r="P51" i="51"/>
  <c r="X50" i="51"/>
  <c r="H236" i="27" s="1"/>
  <c r="X141" i="51"/>
  <c r="H413" i="27" s="1"/>
  <c r="W100" i="10"/>
  <c r="G21" i="27"/>
  <c r="X95" i="51"/>
  <c r="H324" i="27" s="1"/>
  <c r="X51" i="51"/>
  <c r="H237" i="27" s="1"/>
  <c r="R53" i="51"/>
  <c r="X101" i="10"/>
  <c r="H22" i="27"/>
  <c r="R143" i="51"/>
  <c r="Q143" i="51" s="1"/>
  <c r="W143" i="51" s="1"/>
  <c r="G415" i="27" s="1"/>
  <c r="R98" i="51"/>
  <c r="Q98" i="51" s="1"/>
  <c r="W98" i="51" s="1"/>
  <c r="G327" i="27" s="1"/>
  <c r="X96" i="51"/>
  <c r="H325" i="27" s="1"/>
  <c r="H21" i="27"/>
  <c r="R97" i="51"/>
  <c r="R52" i="51"/>
  <c r="R142" i="51"/>
  <c r="X100" i="10"/>
  <c r="F21" i="27"/>
  <c r="P142" i="51"/>
  <c r="P97" i="51"/>
  <c r="P52" i="51"/>
  <c r="V100" i="10"/>
  <c r="V53" i="51"/>
  <c r="F239" i="27" s="1"/>
  <c r="E239" i="27" s="1"/>
  <c r="V98" i="51"/>
  <c r="F327" i="27" s="1"/>
  <c r="E327" i="27" s="1"/>
  <c r="V140" i="51"/>
  <c r="F412" i="27" s="1"/>
  <c r="Q140" i="51"/>
  <c r="W140" i="51" s="1"/>
  <c r="G412" i="27" s="1"/>
  <c r="X140" i="51"/>
  <c r="H412" i="27" s="1"/>
  <c r="V143" i="51"/>
  <c r="F415" i="27" s="1"/>
  <c r="E415" i="27" s="1"/>
  <c r="V50" i="51"/>
  <c r="F236" i="27" s="1"/>
  <c r="Q50" i="51"/>
  <c r="W50" i="51" s="1"/>
  <c r="G236" i="27" s="1"/>
  <c r="Q95" i="51"/>
  <c r="W95" i="51" s="1"/>
  <c r="G324" i="27" s="1"/>
  <c r="V95" i="51"/>
  <c r="F324" i="27" s="1"/>
  <c r="X53" i="51" l="1"/>
  <c r="H239" i="27" s="1"/>
  <c r="X142" i="51"/>
  <c r="H414" i="27" s="1"/>
  <c r="X97" i="51"/>
  <c r="H326" i="27" s="1"/>
  <c r="Q53" i="51"/>
  <c r="W53" i="51" s="1"/>
  <c r="G239" i="27" s="1"/>
  <c r="X98" i="51"/>
  <c r="H327" i="27" s="1"/>
  <c r="X143" i="51"/>
  <c r="H415" i="27" s="1"/>
  <c r="X52" i="51"/>
  <c r="H238" i="27" s="1"/>
  <c r="E236" i="27"/>
  <c r="E21" i="27"/>
  <c r="U100" i="10"/>
  <c r="V52" i="51"/>
  <c r="F238" i="27" s="1"/>
  <c r="E238" i="27" s="1"/>
  <c r="Q52" i="51"/>
  <c r="W52" i="51" s="1"/>
  <c r="G238" i="27" s="1"/>
  <c r="Q51" i="51"/>
  <c r="W51" i="51" s="1"/>
  <c r="G237" i="27" s="1"/>
  <c r="V51" i="51"/>
  <c r="F237" i="27" s="1"/>
  <c r="E237" i="27" s="1"/>
  <c r="Q97" i="51"/>
  <c r="W97" i="51" s="1"/>
  <c r="G326" i="27" s="1"/>
  <c r="V97" i="51"/>
  <c r="F326" i="27" s="1"/>
  <c r="E326" i="27" s="1"/>
  <c r="Q96" i="51"/>
  <c r="W96" i="51" s="1"/>
  <c r="G325" i="27" s="1"/>
  <c r="V96" i="51"/>
  <c r="F325" i="27" s="1"/>
  <c r="E325" i="27" s="1"/>
  <c r="E324" i="27"/>
  <c r="E412" i="27"/>
  <c r="Q142" i="51"/>
  <c r="W142" i="51" s="1"/>
  <c r="G414" i="27" s="1"/>
  <c r="V142" i="51"/>
  <c r="F414" i="27" s="1"/>
  <c r="E414" i="27" s="1"/>
  <c r="Q141" i="51"/>
  <c r="W141" i="51" s="1"/>
  <c r="G413" i="27" s="1"/>
  <c r="V141" i="51"/>
  <c r="F413" i="27" s="1"/>
  <c r="E413" i="27" s="1"/>
  <c r="G23" i="27" l="1"/>
  <c r="W102" i="10"/>
  <c r="H23" i="27"/>
  <c r="X102" i="10"/>
  <c r="R144" i="51"/>
  <c r="R54" i="51"/>
  <c r="R99" i="51"/>
  <c r="I24" i="27"/>
  <c r="Y103" i="10"/>
  <c r="F24" i="27"/>
  <c r="Z24" i="27" s="1"/>
  <c r="P55" i="51"/>
  <c r="P145" i="51"/>
  <c r="P100" i="51"/>
  <c r="V103" i="10"/>
  <c r="G24" i="27"/>
  <c r="AA24" i="27" s="1"/>
  <c r="W103" i="10"/>
  <c r="U101" i="10"/>
  <c r="E22" i="27"/>
  <c r="E20" i="27"/>
  <c r="U99" i="10"/>
  <c r="U98" i="10"/>
  <c r="E19" i="27"/>
  <c r="X99" i="51" l="1"/>
  <c r="H328" i="27" s="1"/>
  <c r="X144" i="51"/>
  <c r="H416" i="27" s="1"/>
  <c r="H24" i="27"/>
  <c r="AB24" i="27" s="1"/>
  <c r="R100" i="51"/>
  <c r="Q100" i="51" s="1"/>
  <c r="W100" i="51" s="1"/>
  <c r="G329" i="27" s="1"/>
  <c r="R145" i="51"/>
  <c r="R55" i="51"/>
  <c r="X103" i="10"/>
  <c r="AC24" i="27"/>
  <c r="I510" i="27"/>
  <c r="J24" i="27"/>
  <c r="Z103" i="10"/>
  <c r="X54" i="51"/>
  <c r="H240" i="27" s="1"/>
  <c r="V100" i="51"/>
  <c r="F329" i="27" s="1"/>
  <c r="E329" i="27" s="1"/>
  <c r="V145" i="51"/>
  <c r="F417" i="27" s="1"/>
  <c r="E417" i="27" s="1"/>
  <c r="AB23" i="27"/>
  <c r="V55" i="51"/>
  <c r="F241" i="27" s="1"/>
  <c r="E241" i="27" s="1"/>
  <c r="AA23" i="27"/>
  <c r="P99" i="51"/>
  <c r="V102" i="10"/>
  <c r="P144" i="51"/>
  <c r="F23" i="27"/>
  <c r="P54" i="51"/>
  <c r="X55" i="51" l="1"/>
  <c r="H241" i="27" s="1"/>
  <c r="Q55" i="51"/>
  <c r="W55" i="51" s="1"/>
  <c r="G241" i="27" s="1"/>
  <c r="X145" i="51"/>
  <c r="H417" i="27" s="1"/>
  <c r="X100" i="51"/>
  <c r="H329" i="27" s="1"/>
  <c r="K24" i="27"/>
  <c r="AA103" i="10"/>
  <c r="J510" i="27"/>
  <c r="AD24" i="27"/>
  <c r="J197" i="27"/>
  <c r="V54" i="51"/>
  <c r="F240" i="27" s="1"/>
  <c r="Q54" i="51"/>
  <c r="W54" i="51" s="1"/>
  <c r="G240" i="27" s="1"/>
  <c r="Z23" i="27"/>
  <c r="Q144" i="51"/>
  <c r="W144" i="51" s="1"/>
  <c r="G416" i="27" s="1"/>
  <c r="V144" i="51"/>
  <c r="F416" i="27" s="1"/>
  <c r="Q145" i="51"/>
  <c r="W145" i="51" s="1"/>
  <c r="G417" i="27" s="1"/>
  <c r="V99" i="51"/>
  <c r="F328" i="27" s="1"/>
  <c r="Q99" i="51"/>
  <c r="W99" i="51" s="1"/>
  <c r="G328" i="27" s="1"/>
  <c r="L24" i="27"/>
  <c r="AB103" i="10"/>
  <c r="E240" i="27" l="1"/>
  <c r="J286" i="27"/>
  <c r="J374" i="27"/>
  <c r="L510" i="27"/>
  <c r="L197" i="27"/>
  <c r="AF24" i="27"/>
  <c r="E328" i="27"/>
  <c r="M24" i="27"/>
  <c r="AC103" i="10"/>
  <c r="K510" i="27"/>
  <c r="AE24" i="27"/>
  <c r="K197" i="27"/>
  <c r="E416" i="27"/>
  <c r="N24" i="27" l="1"/>
  <c r="AD103" i="10"/>
  <c r="L286" i="27"/>
  <c r="L374" i="27"/>
  <c r="K374" i="27"/>
  <c r="K286" i="27"/>
  <c r="M197" i="27"/>
  <c r="AG24" i="27"/>
  <c r="M510" i="27"/>
  <c r="M286" i="27" l="1"/>
  <c r="M374" i="27"/>
  <c r="AE103" i="10"/>
  <c r="O24" i="27"/>
  <c r="AH24" i="27"/>
  <c r="N510" i="27"/>
  <c r="N197" i="27"/>
  <c r="E23" i="27" l="1"/>
  <c r="U102" i="10"/>
  <c r="N374" i="27"/>
  <c r="N286" i="27"/>
  <c r="O417" i="27"/>
  <c r="O241" i="27"/>
  <c r="O329" i="27"/>
  <c r="O68" i="27"/>
  <c r="AI68" i="27" s="1"/>
  <c r="O197" i="27"/>
  <c r="AI24" i="27"/>
  <c r="AF103" i="10"/>
  <c r="P24" i="27"/>
  <c r="O286" i="27" l="1"/>
  <c r="O111" i="27" s="1"/>
  <c r="AI111" i="27" s="1"/>
  <c r="O374" i="27"/>
  <c r="O153" i="27" s="1"/>
  <c r="AI153" i="27" s="1"/>
  <c r="P417" i="27"/>
  <c r="P241" i="27"/>
  <c r="P329" i="27"/>
  <c r="P197" i="27"/>
  <c r="AJ24" i="27"/>
  <c r="P68" i="27"/>
  <c r="AJ68" i="27" s="1"/>
  <c r="Q24" i="27"/>
  <c r="AG103" i="10"/>
  <c r="E24" i="27"/>
  <c r="Y24" i="27" s="1"/>
  <c r="AS64" i="27" s="1"/>
  <c r="U103" i="10"/>
  <c r="Y23" i="27"/>
  <c r="Q329" i="27" l="1"/>
  <c r="Q417" i="27"/>
  <c r="AK24" i="27"/>
  <c r="Q241" i="27"/>
  <c r="Q197" i="27"/>
  <c r="Q111" i="27"/>
  <c r="AK111" i="27" s="1"/>
  <c r="Q153" i="27"/>
  <c r="AK153" i="27" s="1"/>
  <c r="Q68" i="27"/>
  <c r="AK68" i="27" s="1"/>
  <c r="P374" i="27"/>
  <c r="P153" i="27" s="1"/>
  <c r="AJ153" i="27" s="1"/>
  <c r="P286" i="27"/>
  <c r="P111" i="27" s="1"/>
  <c r="AJ111" i="27" s="1"/>
  <c r="R24" i="27"/>
  <c r="AH103" i="10"/>
  <c r="AS63" i="27"/>
  <c r="Q286" i="27" l="1"/>
  <c r="Q374" i="27"/>
  <c r="S24" i="27"/>
  <c r="AI103" i="10"/>
  <c r="R153" i="27"/>
  <c r="AL153" i="27" s="1"/>
  <c r="R197" i="27"/>
  <c r="R111" i="27"/>
  <c r="AL111" i="27" s="1"/>
  <c r="AL24" i="27"/>
  <c r="R68" i="27"/>
  <c r="AL68" i="27" s="1"/>
  <c r="R417" i="27"/>
  <c r="R241" i="27"/>
  <c r="R329" i="27"/>
  <c r="R374" i="27" l="1"/>
  <c r="R286" i="27"/>
  <c r="S241" i="27"/>
  <c r="AM24" i="27"/>
  <c r="S153" i="27"/>
  <c r="AM153" i="27" s="1"/>
  <c r="S111" i="27"/>
  <c r="AM111" i="27" s="1"/>
  <c r="S197" i="27"/>
  <c r="S417" i="27"/>
  <c r="S68" i="27"/>
  <c r="AM68" i="27" s="1"/>
  <c r="S329" i="27"/>
  <c r="S374" i="27" l="1"/>
  <c r="S286" i="27"/>
  <c r="H25" i="27" l="1"/>
  <c r="R146" i="51"/>
  <c r="R56" i="51"/>
  <c r="R101" i="51"/>
  <c r="X104" i="10"/>
  <c r="R58" i="51"/>
  <c r="R148" i="51"/>
  <c r="X106" i="10"/>
  <c r="R103" i="51"/>
  <c r="H27" i="27"/>
  <c r="AB27" i="27" s="1"/>
  <c r="H37" i="27"/>
  <c r="AB37" i="27" s="1"/>
  <c r="AB289" i="27" s="1"/>
  <c r="X116" i="10"/>
  <c r="R68" i="51"/>
  <c r="R158" i="51"/>
  <c r="R113" i="51"/>
  <c r="X113" i="10"/>
  <c r="H34" i="27"/>
  <c r="AB34" i="27" s="1"/>
  <c r="R155" i="51"/>
  <c r="R110" i="51"/>
  <c r="R65" i="51"/>
  <c r="R157" i="51"/>
  <c r="R67" i="51"/>
  <c r="R112" i="51"/>
  <c r="H36" i="27"/>
  <c r="AB36" i="27" s="1"/>
  <c r="X115" i="10"/>
  <c r="X117" i="10"/>
  <c r="H38" i="27"/>
  <c r="AB38" i="27" s="1"/>
  <c r="AB290" i="27" s="1"/>
  <c r="R69" i="51"/>
  <c r="R159" i="51"/>
  <c r="R114" i="51"/>
  <c r="R160" i="51"/>
  <c r="R115" i="51"/>
  <c r="R70" i="51"/>
  <c r="X118" i="10"/>
  <c r="H39" i="27"/>
  <c r="AB39" i="27" s="1"/>
  <c r="H40" i="27"/>
  <c r="AB40" i="27" s="1"/>
  <c r="X119" i="10"/>
  <c r="R161" i="51"/>
  <c r="R116" i="51"/>
  <c r="R71" i="51"/>
  <c r="H30" i="27"/>
  <c r="AB30" i="27" s="1"/>
  <c r="X109" i="10"/>
  <c r="R106" i="51"/>
  <c r="R151" i="51"/>
  <c r="R61" i="51"/>
  <c r="R150" i="51"/>
  <c r="R60" i="51"/>
  <c r="X108" i="10"/>
  <c r="H29" i="27"/>
  <c r="AB29" i="27" s="1"/>
  <c r="R105" i="51"/>
  <c r="X157" i="51" l="1"/>
  <c r="H429" i="27" s="1"/>
  <c r="X112" i="51"/>
  <c r="H341" i="27" s="1"/>
  <c r="X116" i="51"/>
  <c r="H345" i="27" s="1"/>
  <c r="X148" i="51"/>
  <c r="H420" i="27" s="1"/>
  <c r="X71" i="51"/>
  <c r="H257" i="27" s="1"/>
  <c r="X161" i="51"/>
  <c r="H433" i="27" s="1"/>
  <c r="X67" i="51"/>
  <c r="H253" i="27" s="1"/>
  <c r="X103" i="51"/>
  <c r="H332" i="27" s="1"/>
  <c r="X101" i="51"/>
  <c r="H330" i="27" s="1"/>
  <c r="X146" i="51"/>
  <c r="H418" i="27" s="1"/>
  <c r="X61" i="51"/>
  <c r="H247" i="27" s="1"/>
  <c r="X65" i="51"/>
  <c r="H251" i="27" s="1"/>
  <c r="X106" i="51"/>
  <c r="H335" i="27" s="1"/>
  <c r="X110" i="51"/>
  <c r="H339" i="27" s="1"/>
  <c r="X114" i="51"/>
  <c r="H343" i="27" s="1"/>
  <c r="X155" i="51"/>
  <c r="H427" i="27" s="1"/>
  <c r="X151" i="51"/>
  <c r="H423" i="27" s="1"/>
  <c r="X70" i="51"/>
  <c r="H256" i="27" s="1"/>
  <c r="X56" i="51"/>
  <c r="H242" i="27" s="1"/>
  <c r="H56" i="27"/>
  <c r="AB56" i="27" s="1"/>
  <c r="R132" i="51"/>
  <c r="R87" i="51"/>
  <c r="R177" i="51"/>
  <c r="X135" i="10"/>
  <c r="H26" i="27"/>
  <c r="AB26" i="27" s="1"/>
  <c r="AB286" i="27" s="1"/>
  <c r="X105" i="10"/>
  <c r="R57" i="51"/>
  <c r="R147" i="51"/>
  <c r="R102" i="51"/>
  <c r="X60" i="51"/>
  <c r="H246" i="27" s="1"/>
  <c r="G25" i="27"/>
  <c r="W104" i="10"/>
  <c r="H53" i="27"/>
  <c r="R129" i="51"/>
  <c r="R174" i="51"/>
  <c r="R84" i="51"/>
  <c r="X132" i="10"/>
  <c r="X150" i="51"/>
  <c r="H422" i="27" s="1"/>
  <c r="AB287" i="27"/>
  <c r="H33" i="27"/>
  <c r="AB33" i="27" s="1"/>
  <c r="X112" i="10"/>
  <c r="R109" i="51"/>
  <c r="R64" i="51"/>
  <c r="R154" i="51"/>
  <c r="H58" i="27"/>
  <c r="AB58" i="27" s="1"/>
  <c r="X137" i="10"/>
  <c r="R179" i="51"/>
  <c r="R134" i="51"/>
  <c r="R89" i="51"/>
  <c r="H46" i="27"/>
  <c r="AB46" i="27" s="1"/>
  <c r="X125" i="10"/>
  <c r="R167" i="51"/>
  <c r="R77" i="51"/>
  <c r="R122" i="51"/>
  <c r="G29" i="27"/>
  <c r="AA29" i="27" s="1"/>
  <c r="W108" i="10"/>
  <c r="X123" i="10"/>
  <c r="R120" i="51"/>
  <c r="R75" i="51"/>
  <c r="R165" i="51"/>
  <c r="H44" i="27"/>
  <c r="AB44" i="27" s="1"/>
  <c r="AB294" i="27" s="1"/>
  <c r="H54" i="27"/>
  <c r="X133" i="10"/>
  <c r="R130" i="51"/>
  <c r="R175" i="51"/>
  <c r="R85" i="51"/>
  <c r="H28" i="27"/>
  <c r="AB28" i="27" s="1"/>
  <c r="AB288" i="27" s="1"/>
  <c r="X107" i="10"/>
  <c r="R149" i="51"/>
  <c r="R104" i="51"/>
  <c r="R59" i="51"/>
  <c r="X115" i="51"/>
  <c r="H344" i="27" s="1"/>
  <c r="X120" i="10"/>
  <c r="H41" i="27"/>
  <c r="AB41" i="27" s="1"/>
  <c r="AB291" i="27" s="1"/>
  <c r="R117" i="51"/>
  <c r="R162" i="51"/>
  <c r="R72" i="51"/>
  <c r="H31" i="27"/>
  <c r="AB31" i="27" s="1"/>
  <c r="X110" i="10"/>
  <c r="R107" i="51"/>
  <c r="R62" i="51"/>
  <c r="R152" i="51"/>
  <c r="G30" i="27"/>
  <c r="AA30" i="27" s="1"/>
  <c r="W109" i="10"/>
  <c r="H49" i="27"/>
  <c r="AB49" i="27" s="1"/>
  <c r="R80" i="51"/>
  <c r="R170" i="51"/>
  <c r="X128" i="10"/>
  <c r="R125" i="51"/>
  <c r="H48" i="27"/>
  <c r="X127" i="10"/>
  <c r="R169" i="51"/>
  <c r="R79" i="51"/>
  <c r="R124" i="51"/>
  <c r="X160" i="51"/>
  <c r="H432" i="27" s="1"/>
  <c r="H43" i="27"/>
  <c r="AB43" i="27" s="1"/>
  <c r="AB293" i="27" s="1"/>
  <c r="X122" i="10"/>
  <c r="R119" i="51"/>
  <c r="R74" i="51"/>
  <c r="R164" i="51"/>
  <c r="X129" i="10"/>
  <c r="R171" i="51"/>
  <c r="R126" i="51"/>
  <c r="H50" i="27"/>
  <c r="AB50" i="27" s="1"/>
  <c r="R81" i="51"/>
  <c r="X58" i="51"/>
  <c r="H244" i="27" s="1"/>
  <c r="G34" i="27"/>
  <c r="AA34" i="27" s="1"/>
  <c r="W113" i="10"/>
  <c r="G40" i="27"/>
  <c r="AA40" i="27" s="1"/>
  <c r="W119" i="10"/>
  <c r="R176" i="51"/>
  <c r="H55" i="27"/>
  <c r="AB55" i="27" s="1"/>
  <c r="X134" i="10"/>
  <c r="R131" i="51"/>
  <c r="R86" i="51"/>
  <c r="W106" i="10"/>
  <c r="G27" i="27"/>
  <c r="AA27" i="27" s="1"/>
  <c r="H47" i="27"/>
  <c r="R168" i="51"/>
  <c r="X126" i="10"/>
  <c r="R78" i="51"/>
  <c r="R123" i="51"/>
  <c r="X159" i="51"/>
  <c r="H431" i="27" s="1"/>
  <c r="G37" i="27"/>
  <c r="AA37" i="27" s="1"/>
  <c r="AA289" i="27" s="1"/>
  <c r="W116" i="10"/>
  <c r="H45" i="27"/>
  <c r="AB45" i="27" s="1"/>
  <c r="R121" i="51"/>
  <c r="X124" i="10"/>
  <c r="R76" i="51"/>
  <c r="R166" i="51"/>
  <c r="H32" i="27"/>
  <c r="AB32" i="27" s="1"/>
  <c r="R108" i="51"/>
  <c r="X111" i="10"/>
  <c r="R63" i="51"/>
  <c r="R153" i="51"/>
  <c r="X69" i="51"/>
  <c r="H255" i="27" s="1"/>
  <c r="X121" i="10"/>
  <c r="H42" i="27"/>
  <c r="AB42" i="27" s="1"/>
  <c r="AB292" i="27" s="1"/>
  <c r="R118" i="51"/>
  <c r="R163" i="51"/>
  <c r="R73" i="51"/>
  <c r="H52" i="27"/>
  <c r="X131" i="10"/>
  <c r="R173" i="51"/>
  <c r="R128" i="51"/>
  <c r="R83" i="51"/>
  <c r="X113" i="51"/>
  <c r="H342" i="27" s="1"/>
  <c r="R66" i="51"/>
  <c r="R111" i="51"/>
  <c r="H35" i="27"/>
  <c r="AB35" i="27" s="1"/>
  <c r="R156" i="51"/>
  <c r="X114" i="10"/>
  <c r="G38" i="27"/>
  <c r="AA38" i="27" s="1"/>
  <c r="AA290" i="27" s="1"/>
  <c r="W117" i="10"/>
  <c r="X105" i="51"/>
  <c r="H334" i="27" s="1"/>
  <c r="X158" i="51"/>
  <c r="H430" i="27" s="1"/>
  <c r="G39" i="27"/>
  <c r="AA39" i="27" s="1"/>
  <c r="W118" i="10"/>
  <c r="H51" i="27"/>
  <c r="X130" i="10"/>
  <c r="R82" i="51"/>
  <c r="R172" i="51"/>
  <c r="R127" i="51"/>
  <c r="W133" i="10"/>
  <c r="G54" i="27"/>
  <c r="G36" i="27"/>
  <c r="AA36" i="27" s="1"/>
  <c r="W115" i="10"/>
  <c r="R88" i="51"/>
  <c r="H57" i="27"/>
  <c r="AB57" i="27" s="1"/>
  <c r="R133" i="51"/>
  <c r="R178" i="51"/>
  <c r="X136" i="10"/>
  <c r="X68" i="51"/>
  <c r="H254" i="27" s="1"/>
  <c r="AB25" i="27"/>
  <c r="AB285" i="27" s="1"/>
  <c r="X166" i="51" l="1"/>
  <c r="H438" i="27" s="1"/>
  <c r="X120" i="51"/>
  <c r="H349" i="27" s="1"/>
  <c r="X87" i="51"/>
  <c r="H273" i="27" s="1"/>
  <c r="X164" i="51"/>
  <c r="H436" i="27" s="1"/>
  <c r="X162" i="51"/>
  <c r="H434" i="27" s="1"/>
  <c r="AB21" i="27"/>
  <c r="AB283" i="27" s="1"/>
  <c r="AB22" i="27"/>
  <c r="AB284" i="27" s="1"/>
  <c r="X132" i="51"/>
  <c r="H361" i="27" s="1"/>
  <c r="X121" i="51"/>
  <c r="H350" i="27" s="1"/>
  <c r="X74" i="51"/>
  <c r="H260" i="27" s="1"/>
  <c r="X63" i="51"/>
  <c r="H249" i="27" s="1"/>
  <c r="X119" i="51"/>
  <c r="H348" i="27" s="1"/>
  <c r="X59" i="51"/>
  <c r="H245" i="27" s="1"/>
  <c r="X130" i="51"/>
  <c r="H359" i="27" s="1"/>
  <c r="X167" i="51"/>
  <c r="H439" i="27" s="1"/>
  <c r="X89" i="51"/>
  <c r="H275" i="27" s="1"/>
  <c r="X88" i="51"/>
  <c r="H274" i="27" s="1"/>
  <c r="X173" i="51"/>
  <c r="H445" i="27" s="1"/>
  <c r="X108" i="51"/>
  <c r="H337" i="27" s="1"/>
  <c r="X165" i="51"/>
  <c r="H437" i="27" s="1"/>
  <c r="X134" i="51"/>
  <c r="H363" i="27" s="1"/>
  <c r="AB60" i="27"/>
  <c r="F315" i="29" s="1"/>
  <c r="X75" i="51"/>
  <c r="H261" i="27" s="1"/>
  <c r="X179" i="51"/>
  <c r="H451" i="27" s="1"/>
  <c r="AB19" i="27"/>
  <c r="X169" i="51"/>
  <c r="H441" i="27" s="1"/>
  <c r="X80" i="51"/>
  <c r="H266" i="27" s="1"/>
  <c r="AB20" i="27"/>
  <c r="AB282" i="27" s="1"/>
  <c r="X133" i="51"/>
  <c r="H362" i="27" s="1"/>
  <c r="AB52" i="27"/>
  <c r="AB298" i="27" s="1"/>
  <c r="X127" i="51"/>
  <c r="H356" i="27" s="1"/>
  <c r="X125" i="51"/>
  <c r="H354" i="27" s="1"/>
  <c r="X72" i="51"/>
  <c r="H258" i="27" s="1"/>
  <c r="X175" i="51"/>
  <c r="H447" i="27" s="1"/>
  <c r="X77" i="51"/>
  <c r="H263" i="27" s="1"/>
  <c r="G26" i="27"/>
  <c r="AA26" i="27" s="1"/>
  <c r="AA286" i="27" s="1"/>
  <c r="W105" i="10"/>
  <c r="F25" i="27"/>
  <c r="P101" i="51"/>
  <c r="P56" i="51"/>
  <c r="P146" i="51"/>
  <c r="V104" i="10"/>
  <c r="W111" i="10"/>
  <c r="G32" i="27"/>
  <c r="AA32" i="27" s="1"/>
  <c r="G44" i="27"/>
  <c r="AA44" i="27" s="1"/>
  <c r="AA294" i="27" s="1"/>
  <c r="W123" i="10"/>
  <c r="F54" i="27"/>
  <c r="V133" i="10"/>
  <c r="P175" i="51"/>
  <c r="P130" i="51"/>
  <c r="P85" i="51"/>
  <c r="F39" i="27"/>
  <c r="Z39" i="27" s="1"/>
  <c r="V118" i="10"/>
  <c r="P115" i="51"/>
  <c r="P70" i="51"/>
  <c r="P160" i="51"/>
  <c r="G52" i="27"/>
  <c r="W131" i="10"/>
  <c r="G47" i="27"/>
  <c r="W126" i="10"/>
  <c r="G53" i="27"/>
  <c r="W132" i="10"/>
  <c r="F34" i="27"/>
  <c r="Z34" i="27" s="1"/>
  <c r="V113" i="10"/>
  <c r="P155" i="51"/>
  <c r="P110" i="51"/>
  <c r="P65" i="51"/>
  <c r="V106" i="10"/>
  <c r="P103" i="51"/>
  <c r="P58" i="51"/>
  <c r="P148" i="51"/>
  <c r="F27" i="27"/>
  <c r="Z27" i="27" s="1"/>
  <c r="H59" i="27"/>
  <c r="H4" i="27" s="1"/>
  <c r="X153" i="51"/>
  <c r="H425" i="27" s="1"/>
  <c r="X176" i="51"/>
  <c r="H448" i="27" s="1"/>
  <c r="X170" i="51"/>
  <c r="H442" i="27" s="1"/>
  <c r="X117" i="51"/>
  <c r="H346" i="27" s="1"/>
  <c r="AB13" i="27"/>
  <c r="X102" i="51"/>
  <c r="H331" i="27" s="1"/>
  <c r="G33" i="27"/>
  <c r="AA33" i="27" s="1"/>
  <c r="W112" i="10"/>
  <c r="G31" i="27"/>
  <c r="AA31" i="27" s="1"/>
  <c r="W110" i="10"/>
  <c r="X83" i="51"/>
  <c r="H269" i="27" s="1"/>
  <c r="X123" i="51"/>
  <c r="H352" i="27" s="1"/>
  <c r="AB54" i="27"/>
  <c r="AB300" i="27" s="1"/>
  <c r="X147" i="51"/>
  <c r="H419" i="27" s="1"/>
  <c r="G48" i="27"/>
  <c r="W127" i="10"/>
  <c r="G55" i="27"/>
  <c r="AA55" i="27" s="1"/>
  <c r="W134" i="10"/>
  <c r="G42" i="27"/>
  <c r="AA42" i="27" s="1"/>
  <c r="AA292" i="27" s="1"/>
  <c r="W121" i="10"/>
  <c r="X128" i="51"/>
  <c r="H357" i="27" s="1"/>
  <c r="X78" i="51"/>
  <c r="H264" i="27" s="1"/>
  <c r="X57" i="51"/>
  <c r="H243" i="27" s="1"/>
  <c r="W129" i="10"/>
  <c r="G50" i="27"/>
  <c r="AA50" i="27" s="1"/>
  <c r="X168" i="51"/>
  <c r="H440" i="27" s="1"/>
  <c r="X84" i="51"/>
  <c r="H270" i="27" s="1"/>
  <c r="G41" i="27"/>
  <c r="AA41" i="27" s="1"/>
  <c r="AA291" i="27" s="1"/>
  <c r="W120" i="10"/>
  <c r="G56" i="27"/>
  <c r="AA56" i="27" s="1"/>
  <c r="W135" i="10"/>
  <c r="G43" i="27"/>
  <c r="AA43" i="27" s="1"/>
  <c r="AA293" i="27" s="1"/>
  <c r="W122" i="10"/>
  <c r="G35" i="27"/>
  <c r="AA35" i="27" s="1"/>
  <c r="W114" i="10"/>
  <c r="AB47" i="27"/>
  <c r="X124" i="51"/>
  <c r="H353" i="27" s="1"/>
  <c r="X152" i="51"/>
  <c r="H424" i="27" s="1"/>
  <c r="X104" i="51"/>
  <c r="H333" i="27" s="1"/>
  <c r="X174" i="51"/>
  <c r="H446" i="27" s="1"/>
  <c r="F53" i="27"/>
  <c r="V132" i="10"/>
  <c r="P129" i="51"/>
  <c r="P84" i="51"/>
  <c r="P174" i="51"/>
  <c r="P68" i="51"/>
  <c r="P158" i="51"/>
  <c r="P113" i="51"/>
  <c r="F37" i="27"/>
  <c r="Z37" i="27" s="1"/>
  <c r="Z289" i="27" s="1"/>
  <c r="V116" i="10"/>
  <c r="G28" i="27"/>
  <c r="AA28" i="27" s="1"/>
  <c r="AA288" i="27" s="1"/>
  <c r="W107" i="10"/>
  <c r="G49" i="27"/>
  <c r="AA49" i="27" s="1"/>
  <c r="W128" i="10"/>
  <c r="G58" i="27"/>
  <c r="W137" i="10"/>
  <c r="X172" i="51"/>
  <c r="H444" i="27" s="1"/>
  <c r="X156" i="51"/>
  <c r="H428" i="27" s="1"/>
  <c r="X73" i="51"/>
  <c r="H259" i="27" s="1"/>
  <c r="X76" i="51"/>
  <c r="H262" i="27" s="1"/>
  <c r="AA287" i="27"/>
  <c r="X81" i="51"/>
  <c r="H267" i="27" s="1"/>
  <c r="X79" i="51"/>
  <c r="H265" i="27" s="1"/>
  <c r="X62" i="51"/>
  <c r="H248" i="27" s="1"/>
  <c r="X149" i="51"/>
  <c r="H421" i="27" s="1"/>
  <c r="X129" i="51"/>
  <c r="H358" i="27" s="1"/>
  <c r="X177" i="51"/>
  <c r="H449" i="27" s="1"/>
  <c r="G46" i="27"/>
  <c r="AA46" i="27" s="1"/>
  <c r="W125" i="10"/>
  <c r="P173" i="51"/>
  <c r="V131" i="10"/>
  <c r="P83" i="51"/>
  <c r="F52" i="27"/>
  <c r="P128" i="51"/>
  <c r="E39" i="27"/>
  <c r="Y39" i="27" s="1"/>
  <c r="AS73" i="27" s="1"/>
  <c r="U118" i="10"/>
  <c r="P159" i="51"/>
  <c r="F38" i="27"/>
  <c r="Z38" i="27" s="1"/>
  <c r="Z290" i="27" s="1"/>
  <c r="P114" i="51"/>
  <c r="P69" i="51"/>
  <c r="V117" i="10"/>
  <c r="X82" i="51"/>
  <c r="H268" i="27" s="1"/>
  <c r="X163" i="51"/>
  <c r="H435" i="27" s="1"/>
  <c r="X107" i="51"/>
  <c r="H336" i="27" s="1"/>
  <c r="X154" i="51"/>
  <c r="H426" i="27" s="1"/>
  <c r="AB53" i="27"/>
  <c r="AB299" i="27" s="1"/>
  <c r="G51" i="27"/>
  <c r="W130" i="10"/>
  <c r="F29" i="27"/>
  <c r="Z29" i="27" s="1"/>
  <c r="V108" i="10"/>
  <c r="P60" i="51"/>
  <c r="P105" i="51"/>
  <c r="P150" i="51"/>
  <c r="G57" i="27"/>
  <c r="AA57" i="27" s="1"/>
  <c r="W136" i="10"/>
  <c r="G45" i="27"/>
  <c r="AA45" i="27" s="1"/>
  <c r="W124" i="10"/>
  <c r="X111" i="51"/>
  <c r="H340" i="27" s="1"/>
  <c r="X118" i="51"/>
  <c r="H347" i="27" s="1"/>
  <c r="X86" i="51"/>
  <c r="H272" i="27" s="1"/>
  <c r="X126" i="51"/>
  <c r="H355" i="27" s="1"/>
  <c r="X64" i="51"/>
  <c r="H250" i="27" s="1"/>
  <c r="P67" i="51"/>
  <c r="P157" i="51"/>
  <c r="P112" i="51"/>
  <c r="F36" i="27"/>
  <c r="Z36" i="27" s="1"/>
  <c r="V115" i="10"/>
  <c r="V109" i="10"/>
  <c r="F30" i="27"/>
  <c r="Z30" i="27" s="1"/>
  <c r="P151" i="51"/>
  <c r="P106" i="51"/>
  <c r="P61" i="51"/>
  <c r="F40" i="27"/>
  <c r="Z40" i="27" s="1"/>
  <c r="P116" i="51"/>
  <c r="P71" i="51"/>
  <c r="P161" i="51"/>
  <c r="V119" i="10"/>
  <c r="X178" i="51"/>
  <c r="H450" i="27" s="1"/>
  <c r="AB51" i="27"/>
  <c r="AB297" i="27" s="1"/>
  <c r="X66" i="51"/>
  <c r="H252" i="27" s="1"/>
  <c r="X131" i="51"/>
  <c r="H360" i="27" s="1"/>
  <c r="X171" i="51"/>
  <c r="H443" i="27" s="1"/>
  <c r="AB48" i="27"/>
  <c r="X85" i="51"/>
  <c r="H271" i="27" s="1"/>
  <c r="X122" i="51"/>
  <c r="H351" i="27" s="1"/>
  <c r="X109" i="51"/>
  <c r="H338" i="27" s="1"/>
  <c r="AA25" i="27"/>
  <c r="AA285" i="27" s="1"/>
  <c r="AA58" i="27" l="1"/>
  <c r="AA60" i="27"/>
  <c r="F299" i="29"/>
  <c r="AA13" i="27"/>
  <c r="AA22" i="27"/>
  <c r="AA284" i="27" s="1"/>
  <c r="AB12" i="27"/>
  <c r="AA51" i="27"/>
  <c r="AA297" i="27" s="1"/>
  <c r="H364" i="27"/>
  <c r="F194" i="29" s="1"/>
  <c r="F197" i="29" s="1"/>
  <c r="AB281" i="27"/>
  <c r="AR286" i="27" s="1"/>
  <c r="AR330" i="27" s="1"/>
  <c r="G59" i="27"/>
  <c r="G4" i="27" s="1"/>
  <c r="AA48" i="27"/>
  <c r="AB59" i="27"/>
  <c r="AB61" i="27" s="1"/>
  <c r="AA20" i="27"/>
  <c r="AA282" i="27" s="1"/>
  <c r="AA21" i="27"/>
  <c r="AA283" i="27" s="1"/>
  <c r="Q114" i="51"/>
  <c r="W114" i="51" s="1"/>
  <c r="G343" i="27" s="1"/>
  <c r="V114" i="51"/>
  <c r="F343" i="27" s="1"/>
  <c r="E343" i="27" s="1"/>
  <c r="Q174" i="51"/>
  <c r="W174" i="51" s="1"/>
  <c r="G446" i="27" s="1"/>
  <c r="V174" i="51"/>
  <c r="F446" i="27" s="1"/>
  <c r="E446" i="27" s="1"/>
  <c r="AB154" i="27" a="1"/>
  <c r="AB154" i="27" s="1"/>
  <c r="V65" i="51"/>
  <c r="F251" i="27" s="1"/>
  <c r="E251" i="27" s="1"/>
  <c r="Q65" i="51"/>
  <c r="W65" i="51" s="1"/>
  <c r="G251" i="27" s="1"/>
  <c r="Q160" i="51"/>
  <c r="W160" i="51" s="1"/>
  <c r="G432" i="27" s="1"/>
  <c r="V160" i="51"/>
  <c r="F432" i="27" s="1"/>
  <c r="E432" i="27" s="1"/>
  <c r="E30" i="27"/>
  <c r="Y30" i="27" s="1"/>
  <c r="AS66" i="27" s="1"/>
  <c r="U109" i="10"/>
  <c r="F35" i="27"/>
  <c r="Z35" i="27" s="1"/>
  <c r="V114" i="10"/>
  <c r="P66" i="51"/>
  <c r="P111" i="51"/>
  <c r="P156" i="51"/>
  <c r="F28" i="27"/>
  <c r="Z28" i="27" s="1"/>
  <c r="Z288" i="27" s="1"/>
  <c r="P104" i="51"/>
  <c r="P59" i="51"/>
  <c r="V107" i="10"/>
  <c r="P149" i="51"/>
  <c r="V61" i="51"/>
  <c r="F247" i="27" s="1"/>
  <c r="E247" i="27" s="1"/>
  <c r="Q61" i="51"/>
  <c r="W61" i="51" s="1"/>
  <c r="G247" i="27" s="1"/>
  <c r="Q84" i="51"/>
  <c r="W84" i="51" s="1"/>
  <c r="G270" i="27" s="1"/>
  <c r="V84" i="51"/>
  <c r="F270" i="27" s="1"/>
  <c r="E270" i="27" s="1"/>
  <c r="AB115" i="27" a="1"/>
  <c r="AB115" i="27" s="1"/>
  <c r="Q110" i="51"/>
  <c r="W110" i="51" s="1"/>
  <c r="G339" i="27" s="1"/>
  <c r="V110" i="51"/>
  <c r="F339" i="27" s="1"/>
  <c r="E339" i="27" s="1"/>
  <c r="V70" i="51"/>
  <c r="F256" i="27" s="1"/>
  <c r="E256" i="27" s="1"/>
  <c r="Q70" i="51"/>
  <c r="W70" i="51" s="1"/>
  <c r="G256" i="27" s="1"/>
  <c r="E36" i="27"/>
  <c r="Y36" i="27" s="1"/>
  <c r="AS72" i="27" s="1"/>
  <c r="U115" i="10"/>
  <c r="F56" i="27"/>
  <c r="Z56" i="27" s="1"/>
  <c r="P177" i="51"/>
  <c r="P132" i="51"/>
  <c r="V135" i="10"/>
  <c r="P87" i="51"/>
  <c r="V126" i="10"/>
  <c r="P123" i="51"/>
  <c r="F47" i="27"/>
  <c r="P78" i="51"/>
  <c r="P168" i="51"/>
  <c r="F32" i="27"/>
  <c r="Z32" i="27" s="1"/>
  <c r="V111" i="10"/>
  <c r="P153" i="51"/>
  <c r="P108" i="51"/>
  <c r="P63" i="51"/>
  <c r="V106" i="51"/>
  <c r="F335" i="27" s="1"/>
  <c r="E335" i="27" s="1"/>
  <c r="Q106" i="51"/>
  <c r="W106" i="51" s="1"/>
  <c r="G335" i="27" s="1"/>
  <c r="Q159" i="51"/>
  <c r="W159" i="51" s="1"/>
  <c r="G431" i="27" s="1"/>
  <c r="V159" i="51"/>
  <c r="F431" i="27" s="1"/>
  <c r="E431" i="27" s="1"/>
  <c r="AR285" i="27"/>
  <c r="AR329" i="27" s="1"/>
  <c r="V129" i="51"/>
  <c r="F358" i="27" s="1"/>
  <c r="E358" i="27" s="1"/>
  <c r="Q129" i="51"/>
  <c r="W129" i="51" s="1"/>
  <c r="G358" i="27" s="1"/>
  <c r="AR293" i="27"/>
  <c r="AR337" i="27" s="1"/>
  <c r="AB112" i="27" a="1"/>
  <c r="AB112" i="27" s="1"/>
  <c r="V155" i="51"/>
  <c r="F427" i="27" s="1"/>
  <c r="E427" i="27" s="1"/>
  <c r="Q155" i="51"/>
  <c r="W155" i="51" s="1"/>
  <c r="G427" i="27" s="1"/>
  <c r="V115" i="51"/>
  <c r="F344" i="27" s="1"/>
  <c r="E344" i="27" s="1"/>
  <c r="Q115" i="51"/>
  <c r="W115" i="51" s="1"/>
  <c r="G344" i="27" s="1"/>
  <c r="F50" i="27"/>
  <c r="Z50" i="27" s="1"/>
  <c r="P171" i="51"/>
  <c r="V129" i="10"/>
  <c r="P126" i="51"/>
  <c r="P81" i="51"/>
  <c r="V151" i="51"/>
  <c r="F423" i="27" s="1"/>
  <c r="E423" i="27" s="1"/>
  <c r="Q151" i="51"/>
  <c r="W151" i="51" s="1"/>
  <c r="G423" i="27" s="1"/>
  <c r="H276" i="27"/>
  <c r="AB114" i="27" a="1"/>
  <c r="AB114" i="27" s="1"/>
  <c r="AR300" i="27"/>
  <c r="AR344" i="27" s="1"/>
  <c r="Q146" i="51"/>
  <c r="W146" i="51" s="1"/>
  <c r="G418" i="27" s="1"/>
  <c r="V146" i="51"/>
  <c r="F418" i="27" s="1"/>
  <c r="F31" i="27"/>
  <c r="Z31" i="27" s="1"/>
  <c r="P152" i="51"/>
  <c r="P107" i="51"/>
  <c r="P62" i="51"/>
  <c r="V110" i="10"/>
  <c r="AR292" i="27"/>
  <c r="AR336" i="27" s="1"/>
  <c r="AB71" i="27" a="1"/>
  <c r="AB71" i="27" s="1"/>
  <c r="V56" i="51"/>
  <c r="F242" i="27" s="1"/>
  <c r="Q56" i="51"/>
  <c r="W56" i="51" s="1"/>
  <c r="G242" i="27" s="1"/>
  <c r="Q60" i="51"/>
  <c r="W60" i="51" s="1"/>
  <c r="G246" i="27" s="1"/>
  <c r="V60" i="51"/>
  <c r="F246" i="27" s="1"/>
  <c r="E246" i="27" s="1"/>
  <c r="U108" i="10"/>
  <c r="E29" i="27"/>
  <c r="Y29" i="27" s="1"/>
  <c r="E37" i="27"/>
  <c r="Y37" i="27" s="1"/>
  <c r="Y289" i="27" s="1"/>
  <c r="U116" i="10"/>
  <c r="V128" i="51"/>
  <c r="F357" i="27" s="1"/>
  <c r="E357" i="27" s="1"/>
  <c r="Q128" i="51"/>
  <c r="W128" i="51" s="1"/>
  <c r="G357" i="27" s="1"/>
  <c r="AA54" i="27"/>
  <c r="AA300" i="27" s="1"/>
  <c r="AB155" i="27" a="1"/>
  <c r="AB155" i="27" s="1"/>
  <c r="V85" i="51"/>
  <c r="F271" i="27" s="1"/>
  <c r="E271" i="27" s="1"/>
  <c r="Q85" i="51"/>
  <c r="W85" i="51" s="1"/>
  <c r="G271" i="27" s="1"/>
  <c r="Q101" i="51"/>
  <c r="W101" i="51" s="1"/>
  <c r="G330" i="27" s="1"/>
  <c r="V101" i="51"/>
  <c r="F330" i="27" s="1"/>
  <c r="P165" i="51"/>
  <c r="P120" i="51"/>
  <c r="P75" i="51"/>
  <c r="F44" i="27"/>
  <c r="Z44" i="27" s="1"/>
  <c r="Z294" i="27" s="1"/>
  <c r="V123" i="10"/>
  <c r="AB156" i="27" a="1"/>
  <c r="AB156" i="27" s="1"/>
  <c r="AR284" i="27"/>
  <c r="AR328" i="27" s="1"/>
  <c r="AA53" i="27"/>
  <c r="AA299" i="27" s="1"/>
  <c r="V130" i="51"/>
  <c r="F359" i="27" s="1"/>
  <c r="E359" i="27" s="1"/>
  <c r="Q130" i="51"/>
  <c r="W130" i="51" s="1"/>
  <c r="G359" i="27" s="1"/>
  <c r="Z25" i="27"/>
  <c r="Z285" i="27" s="1"/>
  <c r="P73" i="51"/>
  <c r="V121" i="10"/>
  <c r="P163" i="51"/>
  <c r="F42" i="27"/>
  <c r="Z42" i="27" s="1"/>
  <c r="Z292" i="27" s="1"/>
  <c r="P118" i="51"/>
  <c r="U128" i="10"/>
  <c r="E49" i="27"/>
  <c r="Y49" i="27" s="1"/>
  <c r="AS77" i="27" s="1"/>
  <c r="E27" i="27"/>
  <c r="Y27" i="27" s="1"/>
  <c r="U106" i="10"/>
  <c r="P127" i="51"/>
  <c r="P82" i="51"/>
  <c r="P172" i="51"/>
  <c r="F51" i="27"/>
  <c r="V130" i="10"/>
  <c r="H452" i="27"/>
  <c r="Q83" i="51"/>
  <c r="W83" i="51" s="1"/>
  <c r="G269" i="27" s="1"/>
  <c r="V83" i="51"/>
  <c r="F269" i="27" s="1"/>
  <c r="E269" i="27" s="1"/>
  <c r="AB157" i="27" a="1"/>
  <c r="AB157" i="27" s="1"/>
  <c r="AR283" i="27"/>
  <c r="AR327" i="27" s="1"/>
  <c r="Z287" i="27"/>
  <c r="V175" i="51"/>
  <c r="F447" i="27" s="1"/>
  <c r="E447" i="27" s="1"/>
  <c r="Q175" i="51"/>
  <c r="W175" i="51" s="1"/>
  <c r="G447" i="27" s="1"/>
  <c r="F26" i="27"/>
  <c r="Z26" i="27" s="1"/>
  <c r="Z286" i="27" s="1"/>
  <c r="P57" i="51"/>
  <c r="P102" i="51"/>
  <c r="P147" i="51"/>
  <c r="V105" i="10"/>
  <c r="E40" i="27"/>
  <c r="Y40" i="27" s="1"/>
  <c r="AS74" i="27" s="1"/>
  <c r="U119" i="10"/>
  <c r="E38" i="27"/>
  <c r="Y38" i="27" s="1"/>
  <c r="Y290" i="27" s="1"/>
  <c r="U117" i="10"/>
  <c r="E34" i="27"/>
  <c r="Y34" i="27" s="1"/>
  <c r="AS70" i="27" s="1"/>
  <c r="U113" i="10"/>
  <c r="E25" i="27"/>
  <c r="U104" i="10"/>
  <c r="P162" i="51"/>
  <c r="V120" i="10"/>
  <c r="P72" i="51"/>
  <c r="F41" i="27"/>
  <c r="Z41" i="27" s="1"/>
  <c r="Z291" i="27" s="1"/>
  <c r="P117" i="51"/>
  <c r="AA19" i="27"/>
  <c r="V112" i="51"/>
  <c r="F341" i="27" s="1"/>
  <c r="E341" i="27" s="1"/>
  <c r="Q112" i="51"/>
  <c r="W112" i="51" s="1"/>
  <c r="G341" i="27" s="1"/>
  <c r="Q148" i="51"/>
  <c r="W148" i="51" s="1"/>
  <c r="G420" i="27" s="1"/>
  <c r="V148" i="51"/>
  <c r="F420" i="27" s="1"/>
  <c r="E420" i="27" s="1"/>
  <c r="E299" i="29"/>
  <c r="E315" i="29"/>
  <c r="V161" i="51"/>
  <c r="F433" i="27" s="1"/>
  <c r="E433" i="27" s="1"/>
  <c r="Q161" i="51"/>
  <c r="W161" i="51" s="1"/>
  <c r="G433" i="27" s="1"/>
  <c r="Q173" i="51"/>
  <c r="W173" i="51" s="1"/>
  <c r="G445" i="27" s="1"/>
  <c r="V173" i="51"/>
  <c r="F445" i="27" s="1"/>
  <c r="E445" i="27" s="1"/>
  <c r="V113" i="51"/>
  <c r="F342" i="27" s="1"/>
  <c r="E342" i="27" s="1"/>
  <c r="Q113" i="51"/>
  <c r="W113" i="51" s="1"/>
  <c r="G342" i="27" s="1"/>
  <c r="F300" i="29"/>
  <c r="AB104" i="27"/>
  <c r="AB232" i="27" s="1"/>
  <c r="F316" i="29"/>
  <c r="AB70" i="27" a="1"/>
  <c r="AB70" i="27" s="1"/>
  <c r="AB72" i="27" a="1"/>
  <c r="AB72" i="27" s="1"/>
  <c r="V58" i="51"/>
  <c r="F244" i="27" s="1"/>
  <c r="E244" i="27" s="1"/>
  <c r="Q58" i="51"/>
  <c r="W58" i="51" s="1"/>
  <c r="G244" i="27" s="1"/>
  <c r="AA47" i="27"/>
  <c r="P179" i="51"/>
  <c r="F58" i="27"/>
  <c r="P134" i="51"/>
  <c r="P89" i="51"/>
  <c r="V137" i="10"/>
  <c r="F48" i="27"/>
  <c r="V127" i="10"/>
  <c r="P79" i="51"/>
  <c r="P169" i="51"/>
  <c r="P124" i="51"/>
  <c r="P133" i="51"/>
  <c r="P88" i="51"/>
  <c r="P178" i="51"/>
  <c r="V136" i="10"/>
  <c r="F57" i="27"/>
  <c r="Z57" i="27" s="1"/>
  <c r="F46" i="27"/>
  <c r="Z46" i="27" s="1"/>
  <c r="V125" i="10"/>
  <c r="P167" i="51"/>
  <c r="P122" i="51"/>
  <c r="P77" i="51"/>
  <c r="Q157" i="51"/>
  <c r="W157" i="51" s="1"/>
  <c r="G429" i="27" s="1"/>
  <c r="V157" i="51"/>
  <c r="F429" i="27" s="1"/>
  <c r="E429" i="27" s="1"/>
  <c r="F55" i="27"/>
  <c r="Z55" i="27" s="1"/>
  <c r="P176" i="51"/>
  <c r="P131" i="51"/>
  <c r="P86" i="51"/>
  <c r="V134" i="10"/>
  <c r="F33" i="27"/>
  <c r="Z33" i="27" s="1"/>
  <c r="P154" i="51"/>
  <c r="P109" i="51"/>
  <c r="P64" i="51"/>
  <c r="V112" i="10"/>
  <c r="F49" i="27"/>
  <c r="Z49" i="27" s="1"/>
  <c r="P125" i="51"/>
  <c r="P80" i="51"/>
  <c r="P170" i="51"/>
  <c r="V128" i="10"/>
  <c r="Q71" i="51"/>
  <c r="W71" i="51" s="1"/>
  <c r="G257" i="27" s="1"/>
  <c r="V71" i="51"/>
  <c r="F257" i="27" s="1"/>
  <c r="E257" i="27" s="1"/>
  <c r="V67" i="51"/>
  <c r="F253" i="27" s="1"/>
  <c r="E253" i="27" s="1"/>
  <c r="Q67" i="51"/>
  <c r="W67" i="51" s="1"/>
  <c r="G253" i="27" s="1"/>
  <c r="V150" i="51"/>
  <c r="F422" i="27" s="1"/>
  <c r="E422" i="27" s="1"/>
  <c r="Q150" i="51"/>
  <c r="W150" i="51" s="1"/>
  <c r="G422" i="27" s="1"/>
  <c r="V158" i="51"/>
  <c r="F430" i="27" s="1"/>
  <c r="E430" i="27" s="1"/>
  <c r="Q158" i="51"/>
  <c r="W158" i="51" s="1"/>
  <c r="G430" i="27" s="1"/>
  <c r="AR298" i="27"/>
  <c r="AR342" i="27" s="1"/>
  <c r="AR299" i="27"/>
  <c r="AR343" i="27" s="1"/>
  <c r="AR296" i="27"/>
  <c r="AR340" i="27" s="1"/>
  <c r="AR295" i="27"/>
  <c r="AR339" i="27" s="1"/>
  <c r="AR281" i="27"/>
  <c r="AR325" i="27" s="1"/>
  <c r="AR290" i="27"/>
  <c r="AR334" i="27" s="1"/>
  <c r="AR289" i="27"/>
  <c r="AR333" i="27" s="1"/>
  <c r="AB113" i="27" a="1"/>
  <c r="AB113" i="27" s="1"/>
  <c r="Q103" i="51"/>
  <c r="W103" i="51" s="1"/>
  <c r="G332" i="27" s="1"/>
  <c r="V103" i="51"/>
  <c r="F332" i="27" s="1"/>
  <c r="E332" i="27" s="1"/>
  <c r="E35" i="27"/>
  <c r="Y35" i="27" s="1"/>
  <c r="AS71" i="27" s="1"/>
  <c r="U114" i="10"/>
  <c r="E31" i="27"/>
  <c r="Y31" i="27" s="1"/>
  <c r="AS67" i="27" s="1"/>
  <c r="U110" i="10"/>
  <c r="P166" i="51"/>
  <c r="F45" i="27"/>
  <c r="Z45" i="27" s="1"/>
  <c r="V124" i="10"/>
  <c r="P121" i="51"/>
  <c r="P76" i="51"/>
  <c r="P74" i="51"/>
  <c r="F43" i="27"/>
  <c r="Z43" i="27" s="1"/>
  <c r="Z293" i="27" s="1"/>
  <c r="P164" i="51"/>
  <c r="P119" i="51"/>
  <c r="V122" i="10"/>
  <c r="Q116" i="51"/>
  <c r="W116" i="51" s="1"/>
  <c r="G345" i="27" s="1"/>
  <c r="V116" i="51"/>
  <c r="F345" i="27" s="1"/>
  <c r="E345" i="27" s="1"/>
  <c r="V105" i="51"/>
  <c r="F334" i="27" s="1"/>
  <c r="E334" i="27" s="1"/>
  <c r="Q105" i="51"/>
  <c r="W105" i="51" s="1"/>
  <c r="G334" i="27" s="1"/>
  <c r="V69" i="51"/>
  <c r="F255" i="27" s="1"/>
  <c r="E255" i="27" s="1"/>
  <c r="Q69" i="51"/>
  <c r="W69" i="51" s="1"/>
  <c r="G255" i="27" s="1"/>
  <c r="Q68" i="51"/>
  <c r="W68" i="51" s="1"/>
  <c r="G254" i="27" s="1"/>
  <c r="V68" i="51"/>
  <c r="F254" i="27" s="1"/>
  <c r="E254" i="27" s="1"/>
  <c r="AB69" i="27" a="1"/>
  <c r="AB69" i="27" s="1"/>
  <c r="AA52" i="27"/>
  <c r="AA298" i="27" s="1"/>
  <c r="Z58" i="27" l="1"/>
  <c r="Z60" i="27" s="1"/>
  <c r="D315" i="29" s="1"/>
  <c r="AR282" i="27"/>
  <c r="AR326" i="27" s="1"/>
  <c r="F185" i="29"/>
  <c r="F314" i="29" s="1"/>
  <c r="H366" i="27"/>
  <c r="Z13" i="27"/>
  <c r="AR291" i="27"/>
  <c r="AR335" i="27" s="1"/>
  <c r="AR287" i="27"/>
  <c r="AR331" i="27" s="1"/>
  <c r="AR297" i="27"/>
  <c r="AR341" i="27" s="1"/>
  <c r="AR294" i="27"/>
  <c r="AR338" i="27" s="1"/>
  <c r="AR288" i="27"/>
  <c r="AR332" i="27" s="1"/>
  <c r="U123" i="10"/>
  <c r="E44" i="27"/>
  <c r="Y44" i="27" s="1"/>
  <c r="Y294" i="27" s="1"/>
  <c r="V162" i="51"/>
  <c r="F434" i="27" s="1"/>
  <c r="E434" i="27" s="1"/>
  <c r="Q162" i="51"/>
  <c r="W162" i="51" s="1"/>
  <c r="G434" i="27" s="1"/>
  <c r="Q57" i="51"/>
  <c r="W57" i="51" s="1"/>
  <c r="G243" i="27" s="1"/>
  <c r="V57" i="51"/>
  <c r="F243" i="27" s="1"/>
  <c r="E243" i="27" s="1"/>
  <c r="H454" i="27"/>
  <c r="F204" i="29"/>
  <c r="F207" i="29" s="1"/>
  <c r="Q171" i="51"/>
  <c r="W171" i="51" s="1"/>
  <c r="G443" i="27" s="1"/>
  <c r="V171" i="51"/>
  <c r="F443" i="27" s="1"/>
  <c r="E443" i="27" s="1"/>
  <c r="V78" i="51"/>
  <c r="F264" i="27" s="1"/>
  <c r="E264" i="27" s="1"/>
  <c r="Q78" i="51"/>
  <c r="W78" i="51" s="1"/>
  <c r="G264" i="27" s="1"/>
  <c r="V59" i="51"/>
  <c r="F245" i="27" s="1"/>
  <c r="E245" i="27" s="1"/>
  <c r="Q59" i="51"/>
  <c r="W59" i="51" s="1"/>
  <c r="G245" i="27" s="1"/>
  <c r="E48" i="27"/>
  <c r="U127" i="10"/>
  <c r="Q89" i="51"/>
  <c r="W89" i="51" s="1"/>
  <c r="G275" i="27" s="1"/>
  <c r="V89" i="51"/>
  <c r="F275" i="27" s="1"/>
  <c r="E275" i="27" s="1"/>
  <c r="F297" i="29"/>
  <c r="F303" i="29" s="1"/>
  <c r="F313" i="29"/>
  <c r="F319" i="29" s="1"/>
  <c r="Q163" i="51"/>
  <c r="W163" i="51" s="1"/>
  <c r="G435" i="27" s="1"/>
  <c r="V163" i="51"/>
  <c r="F435" i="27" s="1"/>
  <c r="E435" i="27" s="1"/>
  <c r="E418" i="27"/>
  <c r="Z47" i="27"/>
  <c r="V104" i="51"/>
  <c r="F333" i="27" s="1"/>
  <c r="E333" i="27" s="1"/>
  <c r="Q104" i="51"/>
  <c r="W104" i="51" s="1"/>
  <c r="G333" i="27" s="1"/>
  <c r="E242" i="27"/>
  <c r="Q123" i="51"/>
  <c r="W123" i="51" s="1"/>
  <c r="G352" i="27" s="1"/>
  <c r="V123" i="51"/>
  <c r="F352" i="27" s="1"/>
  <c r="E352" i="27" s="1"/>
  <c r="AB4" i="27"/>
  <c r="AB188" i="27" a="1"/>
  <c r="AB188" i="27" s="1"/>
  <c r="Y25" i="27"/>
  <c r="Y285" i="27" s="1"/>
  <c r="E42" i="27"/>
  <c r="Y42" i="27" s="1"/>
  <c r="Y292" i="27" s="1"/>
  <c r="U121" i="10"/>
  <c r="V131" i="51"/>
  <c r="F360" i="27" s="1"/>
  <c r="E360" i="27" s="1"/>
  <c r="Q131" i="51"/>
  <c r="W131" i="51" s="1"/>
  <c r="G360" i="27" s="1"/>
  <c r="Z51" i="27"/>
  <c r="Z297" i="27" s="1"/>
  <c r="Q73" i="51"/>
  <c r="W73" i="51" s="1"/>
  <c r="G259" i="27" s="1"/>
  <c r="V73" i="51"/>
  <c r="F259" i="27" s="1"/>
  <c r="E259" i="27" s="1"/>
  <c r="V156" i="51"/>
  <c r="F428" i="27" s="1"/>
  <c r="E428" i="27" s="1"/>
  <c r="Q156" i="51"/>
  <c r="W156" i="51" s="1"/>
  <c r="G428" i="27" s="1"/>
  <c r="Q86" i="51"/>
  <c r="W86" i="51" s="1"/>
  <c r="G272" i="27" s="1"/>
  <c r="V86" i="51"/>
  <c r="F272" i="27" s="1"/>
  <c r="E272" i="27" s="1"/>
  <c r="V134" i="51"/>
  <c r="F363" i="27" s="1"/>
  <c r="E363" i="27" s="1"/>
  <c r="Q134" i="51"/>
  <c r="W134" i="51" s="1"/>
  <c r="G363" i="27" s="1"/>
  <c r="U134" i="10"/>
  <c r="E55" i="27"/>
  <c r="Y55" i="27" s="1"/>
  <c r="AS79" i="27" s="1"/>
  <c r="V170" i="51"/>
  <c r="F442" i="27" s="1"/>
  <c r="E442" i="27" s="1"/>
  <c r="Q170" i="51"/>
  <c r="W170" i="51" s="1"/>
  <c r="G442" i="27" s="1"/>
  <c r="V176" i="51"/>
  <c r="F448" i="27" s="1"/>
  <c r="E448" i="27" s="1"/>
  <c r="Q176" i="51"/>
  <c r="W176" i="51" s="1"/>
  <c r="G448" i="27" s="1"/>
  <c r="Q178" i="51"/>
  <c r="W178" i="51" s="1"/>
  <c r="G450" i="27" s="1"/>
  <c r="V178" i="51"/>
  <c r="F450" i="27" s="1"/>
  <c r="E450" i="27" s="1"/>
  <c r="Q179" i="51"/>
  <c r="W179" i="51" s="1"/>
  <c r="G451" i="27" s="1"/>
  <c r="V179" i="51"/>
  <c r="F451" i="27" s="1"/>
  <c r="E451" i="27" s="1"/>
  <c r="V172" i="51"/>
  <c r="F444" i="27" s="1"/>
  <c r="E444" i="27" s="1"/>
  <c r="Q172" i="51"/>
  <c r="W172" i="51" s="1"/>
  <c r="G444" i="27" s="1"/>
  <c r="F59" i="27"/>
  <c r="F4" i="27" s="1"/>
  <c r="Z52" i="27"/>
  <c r="Z298" i="27" s="1"/>
  <c r="V87" i="51"/>
  <c r="F273" i="27" s="1"/>
  <c r="E273" i="27" s="1"/>
  <c r="Q87" i="51"/>
  <c r="W87" i="51" s="1"/>
  <c r="G273" i="27" s="1"/>
  <c r="Q111" i="51"/>
  <c r="W111" i="51" s="1"/>
  <c r="G340" i="27" s="1"/>
  <c r="V111" i="51"/>
  <c r="F340" i="27" s="1"/>
  <c r="E340" i="27" s="1"/>
  <c r="E51" i="27"/>
  <c r="U130" i="10"/>
  <c r="V88" i="51"/>
  <c r="F274" i="27" s="1"/>
  <c r="E274" i="27" s="1"/>
  <c r="Q88" i="51"/>
  <c r="W88" i="51" s="1"/>
  <c r="G274" i="27" s="1"/>
  <c r="V82" i="51"/>
  <c r="F268" i="27" s="1"/>
  <c r="E268" i="27" s="1"/>
  <c r="Q82" i="51"/>
  <c r="W82" i="51" s="1"/>
  <c r="G268" i="27" s="1"/>
  <c r="Z20" i="27"/>
  <c r="Z282" i="27" s="1"/>
  <c r="Z53" i="27"/>
  <c r="Z299" i="27" s="1"/>
  <c r="Q66" i="51"/>
  <c r="W66" i="51" s="1"/>
  <c r="G252" i="27" s="1"/>
  <c r="V66" i="51"/>
  <c r="F252" i="27" s="1"/>
  <c r="E252" i="27" s="1"/>
  <c r="Q133" i="51"/>
  <c r="W133" i="51" s="1"/>
  <c r="G362" i="27" s="1"/>
  <c r="V133" i="51"/>
  <c r="F362" i="27" s="1"/>
  <c r="E362" i="27" s="1"/>
  <c r="Z54" i="27"/>
  <c r="Z300" i="27" s="1"/>
  <c r="V127" i="51"/>
  <c r="F356" i="27" s="1"/>
  <c r="E356" i="27" s="1"/>
  <c r="Q127" i="51"/>
  <c r="W127" i="51" s="1"/>
  <c r="G356" i="27" s="1"/>
  <c r="Z21" i="27"/>
  <c r="Z283" i="27" s="1"/>
  <c r="H278" i="27"/>
  <c r="F184" i="29"/>
  <c r="F187" i="29" s="1"/>
  <c r="V63" i="51"/>
  <c r="F249" i="27" s="1"/>
  <c r="E249" i="27" s="1"/>
  <c r="Q63" i="51"/>
  <c r="W63" i="51" s="1"/>
  <c r="G249" i="27" s="1"/>
  <c r="V132" i="51"/>
  <c r="F361" i="27" s="1"/>
  <c r="E361" i="27" s="1"/>
  <c r="Q132" i="51"/>
  <c r="W132" i="51" s="1"/>
  <c r="G361" i="27" s="1"/>
  <c r="E58" i="27"/>
  <c r="U137" i="10"/>
  <c r="E43" i="27"/>
  <c r="Y43" i="27" s="1"/>
  <c r="Y293" i="27" s="1"/>
  <c r="U122" i="10"/>
  <c r="V125" i="51"/>
  <c r="F354" i="27" s="1"/>
  <c r="E354" i="27" s="1"/>
  <c r="Q125" i="51"/>
  <c r="W125" i="51" s="1"/>
  <c r="G354" i="27" s="1"/>
  <c r="U132" i="10"/>
  <c r="E53" i="27"/>
  <c r="E33" i="27"/>
  <c r="Y33" i="27" s="1"/>
  <c r="AS69" i="27" s="1"/>
  <c r="U112" i="10"/>
  <c r="AB103" i="27" a="1"/>
  <c r="AB103" i="27" s="1"/>
  <c r="AB231" i="27" s="1"/>
  <c r="AB2" i="27"/>
  <c r="Q124" i="51"/>
  <c r="W124" i="51" s="1"/>
  <c r="G353" i="27" s="1"/>
  <c r="V124" i="51"/>
  <c r="F353" i="27" s="1"/>
  <c r="E353" i="27" s="1"/>
  <c r="AA104" i="27"/>
  <c r="AA232" i="27" s="1"/>
  <c r="E316" i="29"/>
  <c r="E300" i="29"/>
  <c r="AA12" i="27"/>
  <c r="AA115" i="27" a="1"/>
  <c r="AA115" i="27" s="1"/>
  <c r="AA155" i="27" a="1"/>
  <c r="AA155" i="27" s="1"/>
  <c r="AA69" i="27" a="1"/>
  <c r="AA69" i="27" s="1"/>
  <c r="AA70" i="27" a="1"/>
  <c r="AA70" i="27" s="1"/>
  <c r="AA112" i="27" a="1"/>
  <c r="AA112" i="27" s="1"/>
  <c r="AA71" i="27" a="1"/>
  <c r="AA71" i="27" s="1"/>
  <c r="AA156" i="27" a="1"/>
  <c r="AA156" i="27" s="1"/>
  <c r="AA72" i="27" a="1"/>
  <c r="AA72" i="27" s="1"/>
  <c r="AA113" i="27" a="1"/>
  <c r="AA113" i="27" s="1"/>
  <c r="AA157" i="27" a="1"/>
  <c r="AA157" i="27" s="1"/>
  <c r="AA154" i="27" a="1"/>
  <c r="AA154" i="27" s="1"/>
  <c r="AA281" i="27"/>
  <c r="AQ300" i="27" s="1"/>
  <c r="AQ344" i="27" s="1"/>
  <c r="AA114" i="27" a="1"/>
  <c r="AA114" i="27" s="1"/>
  <c r="AA59" i="27"/>
  <c r="Z19" i="27"/>
  <c r="V75" i="51"/>
  <c r="F261" i="27" s="1"/>
  <c r="E261" i="27" s="1"/>
  <c r="Q75" i="51"/>
  <c r="W75" i="51" s="1"/>
  <c r="G261" i="27" s="1"/>
  <c r="AB146" i="27" a="1"/>
  <c r="AB146" i="27" s="1"/>
  <c r="AB3" i="27"/>
  <c r="V108" i="51"/>
  <c r="F337" i="27" s="1"/>
  <c r="E337" i="27" s="1"/>
  <c r="Q108" i="51"/>
  <c r="W108" i="51" s="1"/>
  <c r="G337" i="27" s="1"/>
  <c r="Q177" i="51"/>
  <c r="W177" i="51" s="1"/>
  <c r="G449" i="27" s="1"/>
  <c r="V177" i="51"/>
  <c r="F449" i="27" s="1"/>
  <c r="E449" i="27" s="1"/>
  <c r="E52" i="27"/>
  <c r="U131" i="10"/>
  <c r="E47" i="27"/>
  <c r="U126" i="10"/>
  <c r="Q74" i="51"/>
  <c r="W74" i="51" s="1"/>
  <c r="G260" i="27" s="1"/>
  <c r="V74" i="51"/>
  <c r="F260" i="27" s="1"/>
  <c r="E260" i="27" s="1"/>
  <c r="Q169" i="51"/>
  <c r="W169" i="51" s="1"/>
  <c r="G441" i="27" s="1"/>
  <c r="V169" i="51"/>
  <c r="F441" i="27" s="1"/>
  <c r="E441" i="27" s="1"/>
  <c r="V117" i="51"/>
  <c r="F346" i="27" s="1"/>
  <c r="E346" i="27" s="1"/>
  <c r="Q117" i="51"/>
  <c r="W117" i="51" s="1"/>
  <c r="G346" i="27" s="1"/>
  <c r="Y287" i="27"/>
  <c r="Z22" i="27"/>
  <c r="Z284" i="27" s="1"/>
  <c r="V120" i="51"/>
  <c r="F349" i="27" s="1"/>
  <c r="E349" i="27" s="1"/>
  <c r="Q120" i="51"/>
  <c r="W120" i="51" s="1"/>
  <c r="G349" i="27" s="1"/>
  <c r="V153" i="51"/>
  <c r="F425" i="27" s="1"/>
  <c r="E425" i="27" s="1"/>
  <c r="Q153" i="51"/>
  <c r="W153" i="51" s="1"/>
  <c r="G425" i="27" s="1"/>
  <c r="V165" i="51"/>
  <c r="F437" i="27" s="1"/>
  <c r="E437" i="27" s="1"/>
  <c r="Q165" i="51"/>
  <c r="W165" i="51" s="1"/>
  <c r="G437" i="27" s="1"/>
  <c r="AS65" i="27"/>
  <c r="Q62" i="51"/>
  <c r="W62" i="51" s="1"/>
  <c r="G248" i="27" s="1"/>
  <c r="V62" i="51"/>
  <c r="F248" i="27" s="1"/>
  <c r="E248" i="27" s="1"/>
  <c r="Q81" i="51"/>
  <c r="W81" i="51" s="1"/>
  <c r="G267" i="27" s="1"/>
  <c r="V81" i="51"/>
  <c r="F267" i="27" s="1"/>
  <c r="E267" i="27" s="1"/>
  <c r="F113" i="29"/>
  <c r="F195" i="29"/>
  <c r="F205" i="29"/>
  <c r="E57" i="27"/>
  <c r="Y57" i="27" s="1"/>
  <c r="AS81" i="27" s="1"/>
  <c r="U136" i="10"/>
  <c r="U129" i="10"/>
  <c r="E50" i="27"/>
  <c r="Y50" i="27" s="1"/>
  <c r="AS78" i="27" s="1"/>
  <c r="Q166" i="51"/>
  <c r="W166" i="51" s="1"/>
  <c r="G438" i="27" s="1"/>
  <c r="V166" i="51"/>
  <c r="F438" i="27" s="1"/>
  <c r="E438" i="27" s="1"/>
  <c r="V119" i="51"/>
  <c r="F348" i="27" s="1"/>
  <c r="E348" i="27" s="1"/>
  <c r="Q119" i="51"/>
  <c r="W119" i="51" s="1"/>
  <c r="G348" i="27" s="1"/>
  <c r="Q80" i="51"/>
  <c r="W80" i="51" s="1"/>
  <c r="G266" i="27" s="1"/>
  <c r="V80" i="51"/>
  <c r="F266" i="27" s="1"/>
  <c r="E266" i="27" s="1"/>
  <c r="E56" i="27"/>
  <c r="Y56" i="27" s="1"/>
  <c r="AS80" i="27" s="1"/>
  <c r="U135" i="10"/>
  <c r="V164" i="51"/>
  <c r="F436" i="27" s="1"/>
  <c r="E436" i="27" s="1"/>
  <c r="Q164" i="51"/>
  <c r="W164" i="51" s="1"/>
  <c r="G436" i="27" s="1"/>
  <c r="E54" i="27"/>
  <c r="U133" i="10"/>
  <c r="U125" i="10"/>
  <c r="E46" i="27"/>
  <c r="Y46" i="27" s="1"/>
  <c r="AS76" i="27" s="1"/>
  <c r="E45" i="27"/>
  <c r="Y45" i="27" s="1"/>
  <c r="AS75" i="27" s="1"/>
  <c r="U124" i="10"/>
  <c r="E41" i="27"/>
  <c r="Y41" i="27" s="1"/>
  <c r="Y291" i="27" s="1"/>
  <c r="U120" i="10"/>
  <c r="V76" i="51"/>
  <c r="F262" i="27" s="1"/>
  <c r="E262" i="27" s="1"/>
  <c r="Q76" i="51"/>
  <c r="W76" i="51" s="1"/>
  <c r="G262" i="27" s="1"/>
  <c r="Q64" i="51"/>
  <c r="W64" i="51" s="1"/>
  <c r="G250" i="27" s="1"/>
  <c r="V64" i="51"/>
  <c r="F250" i="27" s="1"/>
  <c r="E250" i="27" s="1"/>
  <c r="Q77" i="51"/>
  <c r="W77" i="51" s="1"/>
  <c r="G263" i="27" s="1"/>
  <c r="V77" i="51"/>
  <c r="F263" i="27" s="1"/>
  <c r="E263" i="27" s="1"/>
  <c r="V79" i="51"/>
  <c r="F265" i="27" s="1"/>
  <c r="E265" i="27" s="1"/>
  <c r="Q79" i="51"/>
  <c r="W79" i="51" s="1"/>
  <c r="G265" i="27" s="1"/>
  <c r="U111" i="10"/>
  <c r="E32" i="27"/>
  <c r="Y32" i="27" s="1"/>
  <c r="AS68" i="27" s="1"/>
  <c r="E28" i="27"/>
  <c r="Y28" i="27" s="1"/>
  <c r="Y288" i="27" s="1"/>
  <c r="U107" i="10"/>
  <c r="Q121" i="51"/>
  <c r="W121" i="51" s="1"/>
  <c r="G350" i="27" s="1"/>
  <c r="V121" i="51"/>
  <c r="F350" i="27" s="1"/>
  <c r="E350" i="27" s="1"/>
  <c r="V109" i="51"/>
  <c r="F338" i="27" s="1"/>
  <c r="E338" i="27" s="1"/>
  <c r="Q109" i="51"/>
  <c r="W109" i="51" s="1"/>
  <c r="G338" i="27" s="1"/>
  <c r="Q122" i="51"/>
  <c r="W122" i="51" s="1"/>
  <c r="G351" i="27" s="1"/>
  <c r="V122" i="51"/>
  <c r="F351" i="27" s="1"/>
  <c r="E351" i="27" s="1"/>
  <c r="V72" i="51"/>
  <c r="F258" i="27" s="1"/>
  <c r="E258" i="27" s="1"/>
  <c r="Q72" i="51"/>
  <c r="W72" i="51" s="1"/>
  <c r="G258" i="27" s="1"/>
  <c r="Q147" i="51"/>
  <c r="W147" i="51" s="1"/>
  <c r="G419" i="27" s="1"/>
  <c r="V147" i="51"/>
  <c r="F419" i="27" s="1"/>
  <c r="E419" i="27" s="1"/>
  <c r="E330" i="27"/>
  <c r="Q107" i="51"/>
  <c r="W107" i="51" s="1"/>
  <c r="G336" i="27" s="1"/>
  <c r="V107" i="51"/>
  <c r="F336" i="27" s="1"/>
  <c r="E336" i="27" s="1"/>
  <c r="Q126" i="51"/>
  <c r="W126" i="51" s="1"/>
  <c r="G355" i="27" s="1"/>
  <c r="V126" i="51"/>
  <c r="F355" i="27" s="1"/>
  <c r="E355" i="27" s="1"/>
  <c r="Q149" i="51"/>
  <c r="W149" i="51" s="1"/>
  <c r="G421" i="27" s="1"/>
  <c r="V149" i="51"/>
  <c r="F421" i="27" s="1"/>
  <c r="E421" i="27" s="1"/>
  <c r="E26" i="27"/>
  <c r="Y26" i="27" s="1"/>
  <c r="Y286" i="27" s="1"/>
  <c r="U105" i="10"/>
  <c r="V154" i="51"/>
  <c r="F426" i="27" s="1"/>
  <c r="E426" i="27" s="1"/>
  <c r="Q154" i="51"/>
  <c r="W154" i="51" s="1"/>
  <c r="G426" i="27" s="1"/>
  <c r="Q167" i="51"/>
  <c r="W167" i="51" s="1"/>
  <c r="G439" i="27" s="1"/>
  <c r="V167" i="51"/>
  <c r="F439" i="27" s="1"/>
  <c r="E439" i="27" s="1"/>
  <c r="Z48" i="27"/>
  <c r="V102" i="51"/>
  <c r="F331" i="27" s="1"/>
  <c r="E331" i="27" s="1"/>
  <c r="Q102" i="51"/>
  <c r="W102" i="51" s="1"/>
  <c r="G331" i="27" s="1"/>
  <c r="Q118" i="51"/>
  <c r="W118" i="51" s="1"/>
  <c r="G347" i="27" s="1"/>
  <c r="V118" i="51"/>
  <c r="F347" i="27" s="1"/>
  <c r="E347" i="27" s="1"/>
  <c r="Q152" i="51"/>
  <c r="W152" i="51" s="1"/>
  <c r="G424" i="27" s="1"/>
  <c r="V152" i="51"/>
  <c r="F424" i="27" s="1"/>
  <c r="E424" i="27" s="1"/>
  <c r="Q168" i="51"/>
  <c r="W168" i="51" s="1"/>
  <c r="G440" i="27" s="1"/>
  <c r="V168" i="51"/>
  <c r="F440" i="27" s="1"/>
  <c r="E440" i="27" s="1"/>
  <c r="F298" i="29" l="1"/>
  <c r="Y58" i="27"/>
  <c r="AS82" i="27" s="1"/>
  <c r="AA146" i="27" a="1"/>
  <c r="AA146" i="27" s="1"/>
  <c r="D299" i="29"/>
  <c r="AA4" i="27"/>
  <c r="AU4" i="27" s="1"/>
  <c r="G364" i="27"/>
  <c r="G366" i="27" s="1"/>
  <c r="AA3" i="27"/>
  <c r="AA103" i="27" a="1"/>
  <c r="AA103" i="27" s="1"/>
  <c r="AA231" i="27" s="1"/>
  <c r="AA8" i="27" s="1"/>
  <c r="E296" i="29" s="1"/>
  <c r="E302" i="29" s="1"/>
  <c r="AQ298" i="27"/>
  <c r="AQ342" i="27" s="1"/>
  <c r="Y47" i="27"/>
  <c r="Z59" i="27"/>
  <c r="Z115" i="27" a="1"/>
  <c r="Z115" i="27" s="1"/>
  <c r="Z12" i="27"/>
  <c r="Z156" i="27" a="1"/>
  <c r="Z156" i="27" s="1"/>
  <c r="Z154" i="27" a="1"/>
  <c r="Z154" i="27" s="1"/>
  <c r="Z155" i="27" a="1"/>
  <c r="Z155" i="27" s="1"/>
  <c r="Z72" i="27" a="1"/>
  <c r="Z72" i="27" s="1"/>
  <c r="Z71" i="27" a="1"/>
  <c r="Z71" i="27" s="1"/>
  <c r="Z112" i="27" a="1"/>
  <c r="Z112" i="27" s="1"/>
  <c r="Z69" i="27" a="1"/>
  <c r="Z69" i="27" s="1"/>
  <c r="Z157" i="27" a="1"/>
  <c r="Z157" i="27" s="1"/>
  <c r="Z70" i="27" a="1"/>
  <c r="Z70" i="27" s="1"/>
  <c r="Z281" i="27"/>
  <c r="AP299" i="27" s="1"/>
  <c r="AP343" i="27" s="1"/>
  <c r="Z114" i="27" a="1"/>
  <c r="Z114" i="27" s="1"/>
  <c r="Z113" i="27" a="1"/>
  <c r="Z113" i="27" s="1"/>
  <c r="E297" i="29"/>
  <c r="E303" i="29" s="1"/>
  <c r="E313" i="29"/>
  <c r="E319" i="29" s="1"/>
  <c r="F276" i="27"/>
  <c r="AA188" i="27" a="1"/>
  <c r="AA188" i="27" s="1"/>
  <c r="E59" i="27"/>
  <c r="E4" i="27" s="1"/>
  <c r="E276" i="27"/>
  <c r="G276" i="27"/>
  <c r="Y54" i="27"/>
  <c r="Y300" i="27" s="1"/>
  <c r="AA2" i="27"/>
  <c r="AU2" i="27" s="1"/>
  <c r="G452" i="27"/>
  <c r="Y20" i="27"/>
  <c r="Y282" i="27" s="1"/>
  <c r="Y60" i="27"/>
  <c r="Y13" i="27"/>
  <c r="Y52" i="27"/>
  <c r="Y298" i="27" s="1"/>
  <c r="Y22" i="27"/>
  <c r="Y284" i="27" s="1"/>
  <c r="Y48" i="27"/>
  <c r="Y51" i="27"/>
  <c r="Y297" i="27" s="1"/>
  <c r="Y19" i="27"/>
  <c r="D300" i="29"/>
  <c r="Z104" i="27"/>
  <c r="Z232" i="27" s="1"/>
  <c r="D316" i="29"/>
  <c r="AB9" i="27"/>
  <c r="F312" i="29" s="1"/>
  <c r="F318" i="29" s="1"/>
  <c r="AB8" i="27"/>
  <c r="F296" i="29" s="1"/>
  <c r="F302" i="29" s="1"/>
  <c r="Y21" i="27"/>
  <c r="Y283" i="27" s="1"/>
  <c r="F452" i="27"/>
  <c r="E452" i="27"/>
  <c r="F364" i="27"/>
  <c r="E364" i="27"/>
  <c r="E185" i="29"/>
  <c r="AA61" i="27"/>
  <c r="AU3" i="27"/>
  <c r="Y53" i="27"/>
  <c r="Y299" i="27" s="1"/>
  <c r="AQ282" i="27"/>
  <c r="AQ326" i="27" s="1"/>
  <c r="AQ295" i="27"/>
  <c r="AQ339" i="27" s="1"/>
  <c r="AQ281" i="27"/>
  <c r="AQ325" i="27" s="1"/>
  <c r="AQ296" i="27"/>
  <c r="AQ340" i="27" s="1"/>
  <c r="AQ290" i="27"/>
  <c r="AQ334" i="27" s="1"/>
  <c r="AQ289" i="27"/>
  <c r="AQ333" i="27" s="1"/>
  <c r="AQ293" i="27"/>
  <c r="AQ337" i="27" s="1"/>
  <c r="AQ287" i="27"/>
  <c r="AQ331" i="27" s="1"/>
  <c r="AQ291" i="27"/>
  <c r="AQ335" i="27" s="1"/>
  <c r="AQ285" i="27"/>
  <c r="AQ329" i="27" s="1"/>
  <c r="AQ294" i="27"/>
  <c r="AQ338" i="27" s="1"/>
  <c r="AQ297" i="27"/>
  <c r="AQ341" i="27" s="1"/>
  <c r="AQ283" i="27"/>
  <c r="AQ327" i="27" s="1"/>
  <c r="AQ288" i="27"/>
  <c r="AQ332" i="27" s="1"/>
  <c r="AQ292" i="27"/>
  <c r="AQ336" i="27" s="1"/>
  <c r="AQ284" i="27"/>
  <c r="AQ328" i="27" s="1"/>
  <c r="AQ286" i="27"/>
  <c r="AQ330" i="27" s="1"/>
  <c r="F114" i="29"/>
  <c r="G107" i="44"/>
  <c r="AQ299" i="27"/>
  <c r="AQ343" i="27" s="1"/>
  <c r="AP298" i="27" l="1"/>
  <c r="AP342" i="27" s="1"/>
  <c r="AP282" i="27"/>
  <c r="AP326" i="27" s="1"/>
  <c r="E194" i="29"/>
  <c r="E197" i="29" s="1"/>
  <c r="AP284" i="27"/>
  <c r="AP328" i="27" s="1"/>
  <c r="Z146" i="27" a="1"/>
  <c r="Z146" i="27" s="1"/>
  <c r="Z188" i="27" a="1"/>
  <c r="Z188" i="27" s="1"/>
  <c r="Z2" i="27"/>
  <c r="AT2" i="27" s="1"/>
  <c r="AA9" i="27"/>
  <c r="E312" i="29" s="1"/>
  <c r="E318" i="29" s="1"/>
  <c r="Z3" i="27"/>
  <c r="AT3" i="27" s="1"/>
  <c r="AP300" i="27"/>
  <c r="AP344" i="27" s="1"/>
  <c r="AP297" i="27"/>
  <c r="AP341" i="27" s="1"/>
  <c r="Z4" i="27"/>
  <c r="AT4" i="27" s="1"/>
  <c r="I52" i="27"/>
  <c r="Y131" i="10"/>
  <c r="E454" i="27"/>
  <c r="C204" i="29"/>
  <c r="C207" i="29" s="1"/>
  <c r="I54" i="27"/>
  <c r="Y133" i="10"/>
  <c r="G278" i="27"/>
  <c r="E184" i="29"/>
  <c r="E187" i="29" s="1"/>
  <c r="Z103" i="27" a="1"/>
  <c r="Z103" i="27" s="1"/>
  <c r="Z231" i="27" s="1"/>
  <c r="F454" i="27"/>
  <c r="D204" i="29"/>
  <c r="D207" i="29" s="1"/>
  <c r="E278" i="27"/>
  <c r="C184" i="29"/>
  <c r="C187" i="29" s="1"/>
  <c r="I58" i="27"/>
  <c r="AC58" i="27" s="1"/>
  <c r="Y137" i="10"/>
  <c r="I56" i="27"/>
  <c r="AC56" i="27" s="1"/>
  <c r="Y135" i="10"/>
  <c r="I55" i="27"/>
  <c r="AC55" i="27" s="1"/>
  <c r="Y134" i="10"/>
  <c r="F278" i="27"/>
  <c r="D184" i="29"/>
  <c r="D187" i="29" s="1"/>
  <c r="AP283" i="27"/>
  <c r="AP327" i="27" s="1"/>
  <c r="AP281" i="27"/>
  <c r="AP325" i="27" s="1"/>
  <c r="AP295" i="27"/>
  <c r="AP339" i="27" s="1"/>
  <c r="AP296" i="27"/>
  <c r="AP340" i="27" s="1"/>
  <c r="AP290" i="27"/>
  <c r="AP334" i="27" s="1"/>
  <c r="AP289" i="27"/>
  <c r="AP333" i="27" s="1"/>
  <c r="AP294" i="27"/>
  <c r="AP338" i="27" s="1"/>
  <c r="AP291" i="27"/>
  <c r="AP335" i="27" s="1"/>
  <c r="AP286" i="27"/>
  <c r="AP330" i="27" s="1"/>
  <c r="AP288" i="27"/>
  <c r="AP332" i="27" s="1"/>
  <c r="AP285" i="27"/>
  <c r="AP329" i="27" s="1"/>
  <c r="AP293" i="27"/>
  <c r="AP337" i="27" s="1"/>
  <c r="AP287" i="27"/>
  <c r="AP331" i="27" s="1"/>
  <c r="AP292" i="27"/>
  <c r="AP336" i="27" s="1"/>
  <c r="D185" i="29"/>
  <c r="Z61" i="27"/>
  <c r="I57" i="27"/>
  <c r="AC57" i="27" s="1"/>
  <c r="Y136" i="10"/>
  <c r="D313" i="29"/>
  <c r="D319" i="29" s="1"/>
  <c r="D297" i="29"/>
  <c r="D303" i="29" s="1"/>
  <c r="C315" i="29"/>
  <c r="C299" i="29"/>
  <c r="C300" i="29"/>
  <c r="C316" i="29"/>
  <c r="Y104" i="27"/>
  <c r="Y232" i="27" s="1"/>
  <c r="E195" i="29"/>
  <c r="E314" i="29"/>
  <c r="E205" i="29"/>
  <c r="E298" i="29"/>
  <c r="E113" i="29"/>
  <c r="E366" i="27"/>
  <c r="C194" i="29"/>
  <c r="C197" i="29" s="1"/>
  <c r="Y12" i="27"/>
  <c r="Y281" i="27"/>
  <c r="AO297" i="27" s="1"/>
  <c r="AO341" i="27" s="1"/>
  <c r="Y70" i="27" a="1"/>
  <c r="Y70" i="27" s="1"/>
  <c r="Y198" i="27" s="1"/>
  <c r="Y115" i="27" a="1"/>
  <c r="Y115" i="27" s="1"/>
  <c r="Y59" i="27"/>
  <c r="C185" i="29" s="1"/>
  <c r="Y71" i="27" a="1"/>
  <c r="Y71" i="27" s="1"/>
  <c r="Y199" i="27" s="1"/>
  <c r="Y72" i="27" a="1"/>
  <c r="Y72" i="27" s="1"/>
  <c r="Y200" i="27" s="1"/>
  <c r="Y112" i="27" a="1"/>
  <c r="Y112" i="27" s="1"/>
  <c r="Y157" i="27" a="1"/>
  <c r="Y157" i="27" s="1"/>
  <c r="Y156" i="27" a="1"/>
  <c r="Y156" i="27" s="1"/>
  <c r="Y155" i="27" a="1"/>
  <c r="Y155" i="27" s="1"/>
  <c r="Y114" i="27" a="1"/>
  <c r="Y114" i="27" s="1"/>
  <c r="Y69" i="27" a="1"/>
  <c r="Y69" i="27" s="1"/>
  <c r="Y197" i="27" s="1"/>
  <c r="Y113" i="27" a="1"/>
  <c r="Y113" i="27" s="1"/>
  <c r="Y154" i="27" a="1"/>
  <c r="Y154" i="27" s="1"/>
  <c r="G454" i="27"/>
  <c r="E204" i="29"/>
  <c r="E207" i="29" s="1"/>
  <c r="I51" i="27"/>
  <c r="Y130" i="10"/>
  <c r="F366" i="27"/>
  <c r="D194" i="29"/>
  <c r="D197" i="29" s="1"/>
  <c r="I53" i="27"/>
  <c r="Y132" i="10"/>
  <c r="G113" i="44"/>
  <c r="G115" i="44" s="1"/>
  <c r="G108" i="44"/>
  <c r="G109" i="44" s="1"/>
  <c r="G103" i="44" s="1"/>
  <c r="Y4" i="27" l="1"/>
  <c r="AS4" i="27" s="1"/>
  <c r="Y3" i="27"/>
  <c r="AS3" i="27" s="1"/>
  <c r="I20" i="27"/>
  <c r="Y99" i="10"/>
  <c r="Y146" i="27" a="1"/>
  <c r="Y146" i="27" s="1"/>
  <c r="Z200" i="27"/>
  <c r="Y311" i="27"/>
  <c r="I38" i="27"/>
  <c r="AC38" i="27" s="1"/>
  <c r="AC290" i="27" s="1"/>
  <c r="Y117" i="10"/>
  <c r="Z199" i="27"/>
  <c r="Y310" i="27"/>
  <c r="AO298" i="27"/>
  <c r="AO342" i="27" s="1"/>
  <c r="I42" i="27"/>
  <c r="AC42" i="27" s="1"/>
  <c r="AC292" i="27" s="1"/>
  <c r="Y121" i="10"/>
  <c r="I25" i="27"/>
  <c r="Y104" i="10"/>
  <c r="C205" i="29"/>
  <c r="C298" i="29"/>
  <c r="C195" i="29"/>
  <c r="C314" i="29"/>
  <c r="C113" i="29"/>
  <c r="Z9" i="27"/>
  <c r="D312" i="29" s="1"/>
  <c r="D318" i="29" s="1"/>
  <c r="Z8" i="27"/>
  <c r="D296" i="29" s="1"/>
  <c r="D302" i="29" s="1"/>
  <c r="J51" i="27"/>
  <c r="Z130" i="10"/>
  <c r="J56" i="27"/>
  <c r="AD56" i="27" s="1"/>
  <c r="J229" i="27" s="1"/>
  <c r="Z135" i="10"/>
  <c r="Y120" i="10"/>
  <c r="I41" i="27"/>
  <c r="AC41" i="27" s="1"/>
  <c r="AC291" i="27" s="1"/>
  <c r="Y188" i="27" a="1"/>
  <c r="Y188" i="27" s="1"/>
  <c r="D298" i="29"/>
  <c r="D314" i="29"/>
  <c r="D195" i="29"/>
  <c r="D113" i="29"/>
  <c r="D205" i="29"/>
  <c r="J53" i="27"/>
  <c r="Z132" i="10"/>
  <c r="I22" i="27"/>
  <c r="Y101" i="10"/>
  <c r="I37" i="27"/>
  <c r="AC37" i="27" s="1"/>
  <c r="AC289" i="27" s="1"/>
  <c r="Y116" i="10"/>
  <c r="Y309" i="27"/>
  <c r="Z198" i="27"/>
  <c r="C297" i="29"/>
  <c r="C303" i="29" s="1"/>
  <c r="C313" i="29"/>
  <c r="C319" i="29" s="1"/>
  <c r="AO299" i="27"/>
  <c r="AO343" i="27" s="1"/>
  <c r="AO295" i="27"/>
  <c r="AO339" i="27" s="1"/>
  <c r="AO281" i="27"/>
  <c r="AO325" i="27" s="1"/>
  <c r="AO296" i="27"/>
  <c r="AO340" i="27" s="1"/>
  <c r="AO289" i="27"/>
  <c r="AO333" i="27" s="1"/>
  <c r="AO290" i="27"/>
  <c r="AO334" i="27" s="1"/>
  <c r="AO294" i="27"/>
  <c r="AO338" i="27" s="1"/>
  <c r="AO292" i="27"/>
  <c r="AO336" i="27" s="1"/>
  <c r="AO293" i="27"/>
  <c r="AO337" i="27" s="1"/>
  <c r="AO288" i="27"/>
  <c r="AO332" i="27" s="1"/>
  <c r="AO285" i="27"/>
  <c r="AO329" i="27" s="1"/>
  <c r="AO286" i="27"/>
  <c r="AO330" i="27" s="1"/>
  <c r="AO291" i="27"/>
  <c r="AO335" i="27" s="1"/>
  <c r="AO287" i="27"/>
  <c r="AO331" i="27" s="1"/>
  <c r="Z131" i="10"/>
  <c r="J52" i="27"/>
  <c r="I21" i="27"/>
  <c r="Y100" i="10"/>
  <c r="Y98" i="10"/>
  <c r="I19" i="27"/>
  <c r="Z197" i="27"/>
  <c r="Y308" i="27"/>
  <c r="Z134" i="10"/>
  <c r="J55" i="27"/>
  <c r="AD55" i="27" s="1"/>
  <c r="J228" i="27" s="1"/>
  <c r="I26" i="27"/>
  <c r="Y105" i="10"/>
  <c r="Y61" i="27"/>
  <c r="AO300" i="27"/>
  <c r="AO344" i="27" s="1"/>
  <c r="Y123" i="10"/>
  <c r="I44" i="27"/>
  <c r="AC44" i="27" s="1"/>
  <c r="AC294" i="27" s="1"/>
  <c r="J58" i="27"/>
  <c r="AD58" i="27" s="1"/>
  <c r="J231" i="27" s="1"/>
  <c r="Z137" i="10"/>
  <c r="AO284" i="27"/>
  <c r="AO328" i="27" s="1"/>
  <c r="Z133" i="10"/>
  <c r="J54" i="27"/>
  <c r="I43" i="27"/>
  <c r="AC43" i="27" s="1"/>
  <c r="AC293" i="27" s="1"/>
  <c r="Y122" i="10"/>
  <c r="J57" i="27"/>
  <c r="AD57" i="27" s="1"/>
  <c r="J230" i="27" s="1"/>
  <c r="Z136" i="10"/>
  <c r="I28" i="27"/>
  <c r="Y107" i="10"/>
  <c r="AO283" i="27"/>
  <c r="AO327" i="27" s="1"/>
  <c r="I27" i="27"/>
  <c r="Y106" i="10"/>
  <c r="AO282" i="27"/>
  <c r="AO326" i="27" s="1"/>
  <c r="F107" i="44"/>
  <c r="E114" i="29"/>
  <c r="Y7" i="27" l="1"/>
  <c r="C52" i="50" s="1"/>
  <c r="C53" i="50" s="1"/>
  <c r="C139" i="29" s="1"/>
  <c r="Y303" i="27"/>
  <c r="AA135" i="10"/>
  <c r="K56" i="27"/>
  <c r="AE56" i="27" s="1"/>
  <c r="K229" i="27" s="1"/>
  <c r="J20" i="27"/>
  <c r="Z99" i="10"/>
  <c r="Y119" i="10"/>
  <c r="I40" i="27"/>
  <c r="AC40" i="27" s="1"/>
  <c r="Z101" i="10"/>
  <c r="J22" i="27"/>
  <c r="AA197" i="27"/>
  <c r="Z308" i="27"/>
  <c r="E107" i="44"/>
  <c r="D114" i="29"/>
  <c r="J21" i="27"/>
  <c r="Z100" i="10"/>
  <c r="J38" i="27"/>
  <c r="Z117" i="10"/>
  <c r="J28" i="27"/>
  <c r="Z107" i="10"/>
  <c r="AC27" i="27"/>
  <c r="I513" i="27"/>
  <c r="J320" i="27"/>
  <c r="J408" i="27"/>
  <c r="D107" i="44"/>
  <c r="C114" i="29"/>
  <c r="J37" i="27"/>
  <c r="Z116" i="10"/>
  <c r="I29" i="27"/>
  <c r="Y108" i="10"/>
  <c r="I31" i="27"/>
  <c r="AC31" i="27" s="1"/>
  <c r="Y110" i="10"/>
  <c r="I505" i="27"/>
  <c r="Z310" i="27"/>
  <c r="AA199" i="27"/>
  <c r="I36" i="27"/>
  <c r="AC36" i="27" s="1"/>
  <c r="Y115" i="10"/>
  <c r="K55" i="27"/>
  <c r="AE55" i="27" s="1"/>
  <c r="K228" i="27" s="1"/>
  <c r="AA134" i="10"/>
  <c r="I30" i="27"/>
  <c r="Y109" i="10"/>
  <c r="AA198" i="27"/>
  <c r="Z309" i="27"/>
  <c r="K53" i="27"/>
  <c r="AA132" i="10"/>
  <c r="K58" i="27"/>
  <c r="AE58" i="27" s="1"/>
  <c r="K231" i="27" s="1"/>
  <c r="AA137" i="10"/>
  <c r="J25" i="27"/>
  <c r="Z104" i="10"/>
  <c r="AC28" i="27"/>
  <c r="AC288" i="27" s="1"/>
  <c r="I514" i="27"/>
  <c r="K54" i="27"/>
  <c r="AA133" i="10"/>
  <c r="J19" i="27"/>
  <c r="Z98" i="10"/>
  <c r="I35" i="27"/>
  <c r="AC35" i="27" s="1"/>
  <c r="Y114" i="10"/>
  <c r="Y111" i="10"/>
  <c r="I32" i="27"/>
  <c r="AC32" i="27" s="1"/>
  <c r="I507" i="27"/>
  <c r="K51" i="27"/>
  <c r="AA130" i="10"/>
  <c r="K57" i="27"/>
  <c r="AE57" i="27" s="1"/>
  <c r="K230" i="27" s="1"/>
  <c r="AA136" i="10"/>
  <c r="Y102" i="10"/>
  <c r="I23" i="27"/>
  <c r="J319" i="27"/>
  <c r="J407" i="27"/>
  <c r="Y6" i="27"/>
  <c r="C295" i="29" s="1"/>
  <c r="C301" i="29" s="1"/>
  <c r="K52" i="27"/>
  <c r="AA131" i="10"/>
  <c r="Z122" i="10"/>
  <c r="J43" i="27"/>
  <c r="I512" i="27"/>
  <c r="AC26" i="27"/>
  <c r="AC286" i="27" s="1"/>
  <c r="Z311" i="27"/>
  <c r="AA200" i="27"/>
  <c r="I34" i="27"/>
  <c r="AC34" i="27" s="1"/>
  <c r="Y113" i="10"/>
  <c r="Z121" i="10"/>
  <c r="J42" i="27"/>
  <c r="Z105" i="10"/>
  <c r="J26" i="27"/>
  <c r="F113" i="44"/>
  <c r="F115" i="44" s="1"/>
  <c r="F108" i="44"/>
  <c r="F109" i="44" s="1"/>
  <c r="F103" i="44" s="1"/>
  <c r="J405" i="27"/>
  <c r="J317" i="27"/>
  <c r="I508" i="27"/>
  <c r="J318" i="27"/>
  <c r="J406" i="27"/>
  <c r="I39" i="27"/>
  <c r="AC39" i="27" s="1"/>
  <c r="Y118" i="10"/>
  <c r="J27" i="27"/>
  <c r="Z106" i="10"/>
  <c r="J41" i="27"/>
  <c r="Z120" i="10"/>
  <c r="AC25" i="27"/>
  <c r="AC285" i="27" s="1"/>
  <c r="I511" i="27"/>
  <c r="I33" i="27"/>
  <c r="AC33" i="27" s="1"/>
  <c r="Y112" i="10"/>
  <c r="J44" i="27"/>
  <c r="Z123" i="10"/>
  <c r="I506" i="27"/>
  <c r="C311" i="29" l="1"/>
  <c r="L52" i="27"/>
  <c r="AB131" i="10"/>
  <c r="AB137" i="10"/>
  <c r="L58" i="27"/>
  <c r="AF58" i="27" s="1"/>
  <c r="L231" i="27" s="1"/>
  <c r="K42" i="27"/>
  <c r="AA121" i="10"/>
  <c r="K317" i="27"/>
  <c r="K405" i="27"/>
  <c r="I515" i="27"/>
  <c r="AC29" i="27"/>
  <c r="L54" i="27"/>
  <c r="AB133" i="10"/>
  <c r="J34" i="27"/>
  <c r="AD34" i="27" s="1"/>
  <c r="J207" i="27" s="1"/>
  <c r="Z113" i="10"/>
  <c r="K27" i="27"/>
  <c r="AA106" i="10"/>
  <c r="AB134" i="10"/>
  <c r="L55" i="27"/>
  <c r="AF55" i="27" s="1"/>
  <c r="L228" i="27" s="1"/>
  <c r="AB200" i="27"/>
  <c r="AA311" i="27"/>
  <c r="AD38" i="27"/>
  <c r="AD290" i="27" s="1"/>
  <c r="L53" i="27"/>
  <c r="AB132" i="10"/>
  <c r="J39" i="27"/>
  <c r="AD39" i="27" s="1"/>
  <c r="J212" i="27" s="1"/>
  <c r="Z118" i="10"/>
  <c r="K26" i="27"/>
  <c r="AA105" i="10"/>
  <c r="AD25" i="27"/>
  <c r="AD285" i="27" s="1"/>
  <c r="J511" i="27"/>
  <c r="AD37" i="27"/>
  <c r="AD289" i="27" s="1"/>
  <c r="Z119" i="10"/>
  <c r="J40" i="27"/>
  <c r="AD40" i="27" s="1"/>
  <c r="J213" i="27" s="1"/>
  <c r="AB130" i="10"/>
  <c r="L51" i="27"/>
  <c r="AA123" i="10"/>
  <c r="K44" i="27"/>
  <c r="K21" i="27"/>
  <c r="AA100" i="10"/>
  <c r="AA310" i="27"/>
  <c r="AB199" i="27"/>
  <c r="J507" i="27"/>
  <c r="L56" i="27"/>
  <c r="AF56" i="27" s="1"/>
  <c r="L229" i="27" s="1"/>
  <c r="AB135" i="10"/>
  <c r="K28" i="27"/>
  <c r="AA107" i="10"/>
  <c r="I46" i="27"/>
  <c r="AC46" i="27" s="1"/>
  <c r="Y125" i="10"/>
  <c r="K408" i="27"/>
  <c r="K320" i="27"/>
  <c r="D108" i="44"/>
  <c r="D109" i="44" s="1"/>
  <c r="D103" i="44" s="1"/>
  <c r="D113" i="44"/>
  <c r="L57" i="27"/>
  <c r="AF57" i="27" s="1"/>
  <c r="L230" i="27" s="1"/>
  <c r="AB136" i="10"/>
  <c r="J36" i="27"/>
  <c r="AD36" i="27" s="1"/>
  <c r="J209" i="27" s="1"/>
  <c r="Z115" i="10"/>
  <c r="AD41" i="27"/>
  <c r="AD291" i="27" s="1"/>
  <c r="AD43" i="27"/>
  <c r="AD293" i="27" s="1"/>
  <c r="AC23" i="27"/>
  <c r="I509" i="27"/>
  <c r="J35" i="27"/>
  <c r="AD35" i="27" s="1"/>
  <c r="J208" i="27" s="1"/>
  <c r="Z114" i="10"/>
  <c r="AA117" i="10"/>
  <c r="K38" i="27"/>
  <c r="J32" i="27"/>
  <c r="AD32" i="27" s="1"/>
  <c r="J205" i="27" s="1"/>
  <c r="Z111" i="10"/>
  <c r="K37" i="27"/>
  <c r="AA116" i="10"/>
  <c r="E108" i="44"/>
  <c r="E109" i="44" s="1"/>
  <c r="E103" i="44" s="1"/>
  <c r="E113" i="44"/>
  <c r="E115" i="44" s="1"/>
  <c r="J506" i="27"/>
  <c r="Z108" i="10"/>
  <c r="J29" i="27"/>
  <c r="J30" i="27"/>
  <c r="Z109" i="10"/>
  <c r="J513" i="27"/>
  <c r="AD27" i="27"/>
  <c r="J200" i="27" s="1"/>
  <c r="AD26" i="27"/>
  <c r="AD286" i="27" s="1"/>
  <c r="J512" i="27"/>
  <c r="Z6" i="27"/>
  <c r="D295" i="29" s="1"/>
  <c r="D301" i="29" s="1"/>
  <c r="Z303" i="27"/>
  <c r="Z7" i="27"/>
  <c r="K318" i="27"/>
  <c r="K406" i="27"/>
  <c r="J33" i="27"/>
  <c r="AD33" i="27" s="1"/>
  <c r="J206" i="27" s="1"/>
  <c r="Z112" i="10"/>
  <c r="K319" i="27"/>
  <c r="K407" i="27"/>
  <c r="J505" i="27"/>
  <c r="AA309" i="27"/>
  <c r="AB198" i="27"/>
  <c r="AB197" i="27"/>
  <c r="AA308" i="27"/>
  <c r="AA104" i="10"/>
  <c r="K25" i="27"/>
  <c r="K43" i="27"/>
  <c r="AA122" i="10"/>
  <c r="AA101" i="10"/>
  <c r="K22" i="27"/>
  <c r="AD44" i="27"/>
  <c r="AD294" i="27" s="1"/>
  <c r="AD42" i="27"/>
  <c r="AD292" i="27" s="1"/>
  <c r="AC287" i="27"/>
  <c r="J508" i="27"/>
  <c r="AA98" i="10"/>
  <c r="K19" i="27"/>
  <c r="K41" i="27"/>
  <c r="AA120" i="10"/>
  <c r="J31" i="27"/>
  <c r="AD31" i="27" s="1"/>
  <c r="J204" i="27" s="1"/>
  <c r="Z110" i="10"/>
  <c r="I516" i="27"/>
  <c r="AC30" i="27"/>
  <c r="C242" i="29"/>
  <c r="C317" i="29"/>
  <c r="J23" i="27"/>
  <c r="Z102" i="10"/>
  <c r="I45" i="27"/>
  <c r="AC45" i="27" s="1"/>
  <c r="Y124" i="10"/>
  <c r="AA99" i="10"/>
  <c r="K20" i="27"/>
  <c r="AD28" i="27"/>
  <c r="AD288" i="27" s="1"/>
  <c r="J514" i="27"/>
  <c r="C233" i="29"/>
  <c r="C235" i="29" s="1"/>
  <c r="C238" i="29" s="1"/>
  <c r="C138" i="29"/>
  <c r="C273" i="29" s="1"/>
  <c r="C275" i="29" s="1"/>
  <c r="C278" i="29" s="1"/>
  <c r="C137" i="29"/>
  <c r="C253" i="29" s="1"/>
  <c r="C255" i="29" s="1"/>
  <c r="C258" i="29" s="1"/>
  <c r="J211" i="27" l="1"/>
  <c r="J300" i="27" s="1"/>
  <c r="J214" i="27"/>
  <c r="J199" i="27"/>
  <c r="J288" i="27" s="1"/>
  <c r="AC13" i="27"/>
  <c r="J217" i="27"/>
  <c r="J306" i="27" s="1"/>
  <c r="J210" i="27"/>
  <c r="J299" i="27" s="1"/>
  <c r="C262" i="29"/>
  <c r="C264" i="29" s="1"/>
  <c r="M55" i="27"/>
  <c r="AG55" i="27" s="1"/>
  <c r="M228" i="27" s="1"/>
  <c r="AC134" i="10"/>
  <c r="K23" i="27"/>
  <c r="AA102" i="10"/>
  <c r="AB120" i="10"/>
  <c r="L41" i="27"/>
  <c r="K505" i="27"/>
  <c r="J297" i="27"/>
  <c r="J385" i="27"/>
  <c r="D115" i="44"/>
  <c r="AC133" i="10"/>
  <c r="M54" i="27"/>
  <c r="L44" i="27"/>
  <c r="AB123" i="10"/>
  <c r="J45" i="27"/>
  <c r="AD45" i="27" s="1"/>
  <c r="J218" i="27" s="1"/>
  <c r="Z124" i="10"/>
  <c r="C244" i="29"/>
  <c r="AC199" i="27"/>
  <c r="AB310" i="27"/>
  <c r="AC130" i="10"/>
  <c r="M51" i="27"/>
  <c r="L25" i="27"/>
  <c r="AB104" i="10"/>
  <c r="AE43" i="27"/>
  <c r="AE293" i="27" s="1"/>
  <c r="M53" i="27"/>
  <c r="AC132" i="10"/>
  <c r="L26" i="27"/>
  <c r="AB105" i="10"/>
  <c r="K506" i="27"/>
  <c r="AE25" i="27"/>
  <c r="AE285" i="27" s="1"/>
  <c r="K511" i="27"/>
  <c r="J377" i="27"/>
  <c r="J289" i="27"/>
  <c r="J198" i="27"/>
  <c r="AC200" i="27"/>
  <c r="AB311" i="27"/>
  <c r="AC131" i="10"/>
  <c r="M52" i="27"/>
  <c r="K29" i="27"/>
  <c r="AA108" i="10"/>
  <c r="M57" i="27"/>
  <c r="AC136" i="10"/>
  <c r="K31" i="27"/>
  <c r="AE31" i="27" s="1"/>
  <c r="K204" i="27" s="1"/>
  <c r="AA110" i="10"/>
  <c r="AD287" i="27"/>
  <c r="J216" i="27"/>
  <c r="K34" i="27"/>
  <c r="AE34" i="27" s="1"/>
  <c r="K207" i="27" s="1"/>
  <c r="AA113" i="10"/>
  <c r="AA118" i="10"/>
  <c r="K39" i="27"/>
  <c r="AE39" i="27" s="1"/>
  <c r="K212" i="27" s="1"/>
  <c r="L38" i="27"/>
  <c r="AB117" i="10"/>
  <c r="AA6" i="27"/>
  <c r="E295" i="29" s="1"/>
  <c r="E301" i="29" s="1"/>
  <c r="AA303" i="27"/>
  <c r="AA7" i="27"/>
  <c r="K507" i="27"/>
  <c r="L317" i="27"/>
  <c r="L405" i="27"/>
  <c r="L37" i="27"/>
  <c r="AB116" i="10"/>
  <c r="AB121" i="10"/>
  <c r="L42" i="27"/>
  <c r="AA119" i="10"/>
  <c r="K40" i="27"/>
  <c r="AE40" i="27" s="1"/>
  <c r="K213" i="27" s="1"/>
  <c r="AB308" i="27"/>
  <c r="AC197" i="27"/>
  <c r="J383" i="27"/>
  <c r="J295" i="27"/>
  <c r="AE37" i="27"/>
  <c r="AE289" i="27" s="1"/>
  <c r="J391" i="27"/>
  <c r="J303" i="27"/>
  <c r="AE44" i="27"/>
  <c r="AE294" i="27" s="1"/>
  <c r="M58" i="27"/>
  <c r="AG58" i="27" s="1"/>
  <c r="M231" i="27" s="1"/>
  <c r="AC137" i="10"/>
  <c r="L27" i="27"/>
  <c r="AB106" i="10"/>
  <c r="J215" i="27"/>
  <c r="AC198" i="27"/>
  <c r="AB309" i="27"/>
  <c r="AD30" i="27"/>
  <c r="J203" i="27" s="1"/>
  <c r="J516" i="27"/>
  <c r="K514" i="27"/>
  <c r="AE28" i="27"/>
  <c r="AE288" i="27" s="1"/>
  <c r="AE26" i="27"/>
  <c r="AE286" i="27" s="1"/>
  <c r="K512" i="27"/>
  <c r="AE42" i="27"/>
  <c r="AE292" i="27" s="1"/>
  <c r="AB122" i="10"/>
  <c r="L43" i="27"/>
  <c r="K30" i="27"/>
  <c r="AA109" i="10"/>
  <c r="AA114" i="10"/>
  <c r="K35" i="27"/>
  <c r="AE35" i="27" s="1"/>
  <c r="K208" i="27" s="1"/>
  <c r="J509" i="27"/>
  <c r="AD23" i="27"/>
  <c r="J515" i="27"/>
  <c r="AD29" i="27"/>
  <c r="J202" i="27" s="1"/>
  <c r="J382" i="27"/>
  <c r="J294" i="27"/>
  <c r="AE27" i="27"/>
  <c r="K200" i="27" s="1"/>
  <c r="K513" i="27"/>
  <c r="L320" i="27"/>
  <c r="L408" i="27"/>
  <c r="L19" i="27"/>
  <c r="AB98" i="10"/>
  <c r="L28" i="27"/>
  <c r="AB107" i="10"/>
  <c r="AA112" i="10"/>
  <c r="K33" i="27"/>
  <c r="AE33" i="27" s="1"/>
  <c r="K206" i="27" s="1"/>
  <c r="J293" i="27"/>
  <c r="J381" i="27"/>
  <c r="D52" i="50"/>
  <c r="D53" i="50" s="1"/>
  <c r="D139" i="29" s="1"/>
  <c r="D311" i="29"/>
  <c r="AE38" i="27"/>
  <c r="AE290" i="27" s="1"/>
  <c r="J298" i="27"/>
  <c r="J386" i="27"/>
  <c r="L318" i="27"/>
  <c r="L406" i="27"/>
  <c r="J389" i="27"/>
  <c r="J301" i="27"/>
  <c r="L21" i="27"/>
  <c r="AB100" i="10"/>
  <c r="M56" i="27"/>
  <c r="AG56" i="27" s="1"/>
  <c r="M229" i="27" s="1"/>
  <c r="AC135" i="10"/>
  <c r="K32" i="27"/>
  <c r="AE32" i="27" s="1"/>
  <c r="K205" i="27" s="1"/>
  <c r="AA111" i="10"/>
  <c r="J201" i="27"/>
  <c r="C282" i="29"/>
  <c r="J390" i="27"/>
  <c r="J302" i="27"/>
  <c r="J384" i="27"/>
  <c r="J296" i="27"/>
  <c r="AB99" i="10"/>
  <c r="L20" i="27"/>
  <c r="Z125" i="10"/>
  <c r="J46" i="27"/>
  <c r="AD46" i="27" s="1"/>
  <c r="J219" i="27" s="1"/>
  <c r="K36" i="27"/>
  <c r="AE36" i="27" s="1"/>
  <c r="K209" i="27" s="1"/>
  <c r="AA115" i="10"/>
  <c r="L22" i="27"/>
  <c r="AB101" i="10"/>
  <c r="AE41" i="27"/>
  <c r="AE291" i="27" s="1"/>
  <c r="K508" i="27"/>
  <c r="D306" i="29"/>
  <c r="D304" i="29"/>
  <c r="L407" i="27"/>
  <c r="L319" i="27"/>
  <c r="J387" i="27" l="1"/>
  <c r="J394" i="27"/>
  <c r="J388" i="27"/>
  <c r="K210" i="27"/>
  <c r="K387" i="27" s="1"/>
  <c r="J376" i="27"/>
  <c r="K214" i="27"/>
  <c r="K391" i="27" s="1"/>
  <c r="K199" i="27"/>
  <c r="K376" i="27" s="1"/>
  <c r="L32" i="27"/>
  <c r="AF32" i="27" s="1"/>
  <c r="L205" i="27" s="1"/>
  <c r="AB111" i="10"/>
  <c r="AD243" i="27"/>
  <c r="AD199" i="27"/>
  <c r="AC310" i="27"/>
  <c r="AC105" i="10"/>
  <c r="M26" i="27"/>
  <c r="C267" i="29"/>
  <c r="K289" i="27"/>
  <c r="K377" i="27"/>
  <c r="AF37" i="27"/>
  <c r="AF289" i="27" s="1"/>
  <c r="K381" i="27"/>
  <c r="K293" i="27"/>
  <c r="AD133" i="10"/>
  <c r="N54" i="27"/>
  <c r="N55" i="27"/>
  <c r="AH55" i="27" s="1"/>
  <c r="N228" i="27" s="1"/>
  <c r="AD134" i="10"/>
  <c r="M27" i="27"/>
  <c r="AC106" i="10"/>
  <c r="AF38" i="27"/>
  <c r="AF290" i="27" s="1"/>
  <c r="K198" i="27"/>
  <c r="K216" i="27"/>
  <c r="C247" i="29"/>
  <c r="N57" i="27"/>
  <c r="AH57" i="27" s="1"/>
  <c r="AD136" i="10"/>
  <c r="N53" i="27"/>
  <c r="AD132" i="10"/>
  <c r="N52" i="27"/>
  <c r="AD131" i="10"/>
  <c r="AC104" i="10"/>
  <c r="M25" i="27"/>
  <c r="L508" i="27"/>
  <c r="C284" i="29"/>
  <c r="AE287" i="27"/>
  <c r="K301" i="27"/>
  <c r="K389" i="27"/>
  <c r="AG57" i="27"/>
  <c r="M230" i="27" s="1"/>
  <c r="N51" i="27"/>
  <c r="AD130" i="10"/>
  <c r="M21" i="27"/>
  <c r="AC100" i="10"/>
  <c r="M41" i="27"/>
  <c r="AC120" i="10"/>
  <c r="J290" i="27"/>
  <c r="J378" i="27"/>
  <c r="K201" i="27"/>
  <c r="M42" i="27"/>
  <c r="AC121" i="10"/>
  <c r="AC117" i="10"/>
  <c r="M38" i="27"/>
  <c r="L23" i="27"/>
  <c r="AB102" i="10"/>
  <c r="AD135" i="10"/>
  <c r="N56" i="27"/>
  <c r="AH56" i="27" s="1"/>
  <c r="N229" i="27" s="1"/>
  <c r="K298" i="27"/>
  <c r="K386" i="27"/>
  <c r="K211" i="27"/>
  <c r="K295" i="27"/>
  <c r="K383" i="27"/>
  <c r="K297" i="27"/>
  <c r="K385" i="27"/>
  <c r="AC308" i="27"/>
  <c r="AD197" i="27"/>
  <c r="AD241" i="27"/>
  <c r="K515" i="27"/>
  <c r="AE29" i="27"/>
  <c r="K202" i="27" s="1"/>
  <c r="L511" i="27"/>
  <c r="AF25" i="27"/>
  <c r="AF285" i="27" s="1"/>
  <c r="L198" i="27"/>
  <c r="J392" i="27"/>
  <c r="J304" i="27"/>
  <c r="L31" i="27"/>
  <c r="AB110" i="10"/>
  <c r="M37" i="27"/>
  <c r="AC116" i="10"/>
  <c r="J308" i="27"/>
  <c r="J396" i="27"/>
  <c r="K294" i="27"/>
  <c r="K382" i="27"/>
  <c r="L513" i="27"/>
  <c r="AF27" i="27"/>
  <c r="L200" i="27"/>
  <c r="AB6" i="27"/>
  <c r="F295" i="29" s="1"/>
  <c r="F301" i="29" s="1"/>
  <c r="AB303" i="27"/>
  <c r="AB7" i="27"/>
  <c r="K296" i="27"/>
  <c r="K384" i="27"/>
  <c r="AF41" i="27"/>
  <c r="AF291" i="27" s="1"/>
  <c r="K46" i="27"/>
  <c r="AE46" i="27" s="1"/>
  <c r="K219" i="27" s="1"/>
  <c r="AA125" i="10"/>
  <c r="L33" i="27"/>
  <c r="AF33" i="27" s="1"/>
  <c r="L206" i="27" s="1"/>
  <c r="AB112" i="10"/>
  <c r="L36" i="27"/>
  <c r="AF36" i="27" s="1"/>
  <c r="L209" i="27" s="1"/>
  <c r="AB115" i="10"/>
  <c r="L34" i="27"/>
  <c r="AF34" i="27" s="1"/>
  <c r="L207" i="27" s="1"/>
  <c r="AB113" i="10"/>
  <c r="M44" i="27"/>
  <c r="AC123" i="10"/>
  <c r="D317" i="29"/>
  <c r="D242" i="29"/>
  <c r="J393" i="27"/>
  <c r="J305" i="27"/>
  <c r="J307" i="27"/>
  <c r="J395" i="27"/>
  <c r="AA124" i="10"/>
  <c r="K45" i="27"/>
  <c r="L30" i="27"/>
  <c r="AB109" i="10"/>
  <c r="L506" i="27"/>
  <c r="M406" i="27"/>
  <c r="M318" i="27"/>
  <c r="D233" i="29"/>
  <c r="D235" i="29" s="1"/>
  <c r="D238" i="29" s="1"/>
  <c r="D137" i="29"/>
  <c r="D253" i="29" s="1"/>
  <c r="D255" i="29" s="1"/>
  <c r="D258" i="29" s="1"/>
  <c r="D138" i="29"/>
  <c r="D273" i="29" s="1"/>
  <c r="D275" i="29" s="1"/>
  <c r="D278" i="29" s="1"/>
  <c r="L514" i="27"/>
  <c r="AF28" i="27"/>
  <c r="AF288" i="27" s="1"/>
  <c r="L201" i="27"/>
  <c r="J379" i="27"/>
  <c r="J291" i="27"/>
  <c r="K516" i="27"/>
  <c r="AE30" i="27"/>
  <c r="K203" i="27" s="1"/>
  <c r="M408" i="27"/>
  <c r="M320" i="27"/>
  <c r="K390" i="27"/>
  <c r="K302" i="27"/>
  <c r="L40" i="27"/>
  <c r="AF40" i="27" s="1"/>
  <c r="L213" i="27" s="1"/>
  <c r="AB119" i="10"/>
  <c r="L29" i="27"/>
  <c r="AB108" i="10"/>
  <c r="L35" i="27"/>
  <c r="AF35" i="27" s="1"/>
  <c r="L208" i="27" s="1"/>
  <c r="AB114" i="10"/>
  <c r="AF43" i="27"/>
  <c r="AF293" i="27" s="1"/>
  <c r="J292" i="27"/>
  <c r="J380" i="27"/>
  <c r="K217" i="27"/>
  <c r="E52" i="50"/>
  <c r="E53" i="50" s="1"/>
  <c r="E139" i="29" s="1"/>
  <c r="E311" i="29"/>
  <c r="AD13" i="27"/>
  <c r="AD200" i="27"/>
  <c r="AC311" i="27"/>
  <c r="AD244" i="27"/>
  <c r="L512" i="27"/>
  <c r="AF26" i="27"/>
  <c r="AF286" i="27" s="1"/>
  <c r="L199" i="27"/>
  <c r="AF44" i="27"/>
  <c r="AF294" i="27" s="1"/>
  <c r="K509" i="27"/>
  <c r="AE23" i="27"/>
  <c r="K196" i="27" s="1"/>
  <c r="M20" i="27"/>
  <c r="AC99" i="10"/>
  <c r="M43" i="27"/>
  <c r="AC122" i="10"/>
  <c r="AC101" i="10"/>
  <c r="M22" i="27"/>
  <c r="L39" i="27"/>
  <c r="AF39" i="27" s="1"/>
  <c r="L212" i="27" s="1"/>
  <c r="AB118" i="10"/>
  <c r="L507" i="27"/>
  <c r="L505" i="27"/>
  <c r="AF42" i="27"/>
  <c r="AF292" i="27" s="1"/>
  <c r="J375" i="27"/>
  <c r="J287" i="27"/>
  <c r="M19" i="27"/>
  <c r="AC98" i="10"/>
  <c r="AC107" i="10"/>
  <c r="M28" i="27"/>
  <c r="N58" i="27"/>
  <c r="AH58" i="27" s="1"/>
  <c r="N231" i="27" s="1"/>
  <c r="AD137" i="10"/>
  <c r="J196" i="27"/>
  <c r="K215" i="27"/>
  <c r="AC309" i="27"/>
  <c r="AD242" i="27"/>
  <c r="AD198" i="27"/>
  <c r="E306" i="29"/>
  <c r="E304" i="29"/>
  <c r="M405" i="27"/>
  <c r="M317" i="27"/>
  <c r="K303" i="27" l="1"/>
  <c r="L214" i="27"/>
  <c r="L391" i="27" s="1"/>
  <c r="K288" i="27"/>
  <c r="K299" i="27"/>
  <c r="L210" i="27"/>
  <c r="L387" i="27" s="1"/>
  <c r="L217" i="27"/>
  <c r="L394" i="27" s="1"/>
  <c r="D282" i="29"/>
  <c r="D284" i="29" s="1"/>
  <c r="D287" i="29" s="1"/>
  <c r="D262" i="29"/>
  <c r="D264" i="29" s="1"/>
  <c r="M407" i="27"/>
  <c r="M319" i="27"/>
  <c r="O51" i="27"/>
  <c r="AE130" i="10"/>
  <c r="N22" i="27"/>
  <c r="AD101" i="10"/>
  <c r="J285" i="27"/>
  <c r="J373" i="27"/>
  <c r="D333" i="29"/>
  <c r="L386" i="27"/>
  <c r="L298" i="27"/>
  <c r="AE241" i="27"/>
  <c r="AD330" i="27"/>
  <c r="C287" i="29"/>
  <c r="D130" i="44"/>
  <c r="AC102" i="10"/>
  <c r="M23" i="27"/>
  <c r="M39" i="27"/>
  <c r="AG39" i="27" s="1"/>
  <c r="M212" i="27" s="1"/>
  <c r="AC118" i="10"/>
  <c r="L215" i="27"/>
  <c r="AE197" i="27"/>
  <c r="AD308" i="27"/>
  <c r="D134" i="44"/>
  <c r="AE131" i="10"/>
  <c r="O52" i="27"/>
  <c r="L301" i="27"/>
  <c r="L389" i="27"/>
  <c r="L376" i="27"/>
  <c r="L288" i="27"/>
  <c r="L216" i="27"/>
  <c r="L383" i="27"/>
  <c r="L295" i="27"/>
  <c r="F52" i="50"/>
  <c r="F53" i="50" s="1"/>
  <c r="F139" i="29" s="1"/>
  <c r="F311" i="29"/>
  <c r="AG37" i="27"/>
  <c r="AG289" i="27" s="1"/>
  <c r="AF23" i="27"/>
  <c r="L509" i="27"/>
  <c r="K393" i="27"/>
  <c r="K305" i="27"/>
  <c r="AD98" i="10"/>
  <c r="N19" i="27"/>
  <c r="AE133" i="10"/>
  <c r="O54" i="27"/>
  <c r="AD122" i="10"/>
  <c r="N43" i="27"/>
  <c r="N320" i="27"/>
  <c r="N408" i="27"/>
  <c r="M508" i="27"/>
  <c r="K292" i="27"/>
  <c r="K380" i="27"/>
  <c r="AG38" i="27"/>
  <c r="AG290" i="27" s="1"/>
  <c r="K287" i="27"/>
  <c r="K375" i="27"/>
  <c r="M199" i="27"/>
  <c r="M512" i="27"/>
  <c r="AG26" i="27"/>
  <c r="AG286" i="27" s="1"/>
  <c r="M40" i="27"/>
  <c r="AG40" i="27" s="1"/>
  <c r="M213" i="27" s="1"/>
  <c r="AC119" i="10"/>
  <c r="M514" i="27"/>
  <c r="AG28" i="27"/>
  <c r="AG288" i="27" s="1"/>
  <c r="M201" i="27"/>
  <c r="K308" i="27"/>
  <c r="K396" i="27"/>
  <c r="F306" i="29"/>
  <c r="F304" i="29"/>
  <c r="L204" i="27"/>
  <c r="AF31" i="27"/>
  <c r="K290" i="27"/>
  <c r="K378" i="27"/>
  <c r="M511" i="27"/>
  <c r="M198" i="27"/>
  <c r="AG25" i="27"/>
  <c r="AG285" i="27" s="1"/>
  <c r="L211" i="27"/>
  <c r="N21" i="27"/>
  <c r="AD100" i="10"/>
  <c r="N38" i="27"/>
  <c r="AD117" i="10"/>
  <c r="AE135" i="10"/>
  <c r="O56" i="27"/>
  <c r="AE132" i="10"/>
  <c r="O53" i="27"/>
  <c r="AE244" i="27"/>
  <c r="AD333" i="27"/>
  <c r="D244" i="29"/>
  <c r="L289" i="27"/>
  <c r="L377" i="27"/>
  <c r="M35" i="27"/>
  <c r="AG35" i="27" s="1"/>
  <c r="M208" i="27" s="1"/>
  <c r="AC114" i="10"/>
  <c r="N26" i="27"/>
  <c r="AD105" i="10"/>
  <c r="N44" i="27"/>
  <c r="AD123" i="10"/>
  <c r="AG43" i="27"/>
  <c r="AG293" i="27" s="1"/>
  <c r="L297" i="27"/>
  <c r="L385" i="27"/>
  <c r="D322" i="29"/>
  <c r="D320" i="29"/>
  <c r="L303" i="27"/>
  <c r="AF287" i="27"/>
  <c r="AG42" i="27"/>
  <c r="AG292" i="27" s="1"/>
  <c r="AE199" i="27"/>
  <c r="AD310" i="27"/>
  <c r="AC113" i="10"/>
  <c r="M34" i="27"/>
  <c r="AG34" i="27" s="1"/>
  <c r="M207" i="27" s="1"/>
  <c r="M32" i="27"/>
  <c r="AC111" i="10"/>
  <c r="N28" i="27"/>
  <c r="AD107" i="10"/>
  <c r="M505" i="27"/>
  <c r="AE200" i="27"/>
  <c r="AD311" i="27"/>
  <c r="L378" i="27"/>
  <c r="L290" i="27"/>
  <c r="AF30" i="27"/>
  <c r="L203" i="27" s="1"/>
  <c r="L516" i="27"/>
  <c r="L287" i="27"/>
  <c r="L375" i="27"/>
  <c r="AD332" i="27"/>
  <c r="AE243" i="27"/>
  <c r="N25" i="27"/>
  <c r="AD104" i="10"/>
  <c r="AB124" i="10"/>
  <c r="L45" i="27"/>
  <c r="N42" i="27"/>
  <c r="AD121" i="10"/>
  <c r="AE137" i="10"/>
  <c r="O58" i="27"/>
  <c r="AD309" i="27"/>
  <c r="AE198" i="27"/>
  <c r="M506" i="27"/>
  <c r="AF29" i="27"/>
  <c r="L515" i="27"/>
  <c r="L202" i="27"/>
  <c r="AE45" i="27"/>
  <c r="K218" i="27" s="1"/>
  <c r="AG44" i="27"/>
  <c r="AG294" i="27" s="1"/>
  <c r="K300" i="27"/>
  <c r="K388" i="27"/>
  <c r="AG41" i="27"/>
  <c r="AG291" i="27" s="1"/>
  <c r="L46" i="27"/>
  <c r="AB125" i="10"/>
  <c r="AD331" i="27"/>
  <c r="AE242" i="27"/>
  <c r="K285" i="27"/>
  <c r="K373" i="27"/>
  <c r="E242" i="29"/>
  <c r="E244" i="29" s="1"/>
  <c r="E317" i="29"/>
  <c r="AE13" i="27"/>
  <c r="AG27" i="27"/>
  <c r="M513" i="27"/>
  <c r="M200" i="27"/>
  <c r="L294" i="27"/>
  <c r="L382" i="27"/>
  <c r="M31" i="27"/>
  <c r="AG31" i="27" s="1"/>
  <c r="M204" i="27" s="1"/>
  <c r="AC110" i="10"/>
  <c r="N41" i="27"/>
  <c r="AD120" i="10"/>
  <c r="AD99" i="10"/>
  <c r="N20" i="27"/>
  <c r="N27" i="27"/>
  <c r="AD106" i="10"/>
  <c r="M29" i="27"/>
  <c r="AC108" i="10"/>
  <c r="E233" i="29"/>
  <c r="E235" i="29" s="1"/>
  <c r="E238" i="29" s="1"/>
  <c r="E137" i="29"/>
  <c r="E253" i="29" s="1"/>
  <c r="E255" i="29" s="1"/>
  <c r="E258" i="29" s="1"/>
  <c r="E335" i="29" s="1"/>
  <c r="E138" i="29"/>
  <c r="E273" i="29" s="1"/>
  <c r="E275" i="29" s="1"/>
  <c r="E278" i="29" s="1"/>
  <c r="E334" i="29" s="1"/>
  <c r="L302" i="27"/>
  <c r="L390" i="27"/>
  <c r="D334" i="29"/>
  <c r="L296" i="27"/>
  <c r="L384" i="27"/>
  <c r="K291" i="27"/>
  <c r="K379" i="27"/>
  <c r="M507" i="27"/>
  <c r="N37" i="27"/>
  <c r="AD116" i="10"/>
  <c r="M30" i="27"/>
  <c r="AC109" i="10"/>
  <c r="AC112" i="10"/>
  <c r="M33" i="27"/>
  <c r="AE136" i="10"/>
  <c r="O57" i="27"/>
  <c r="AC115" i="10"/>
  <c r="M36" i="27"/>
  <c r="AG36" i="27" s="1"/>
  <c r="M209" i="27" s="1"/>
  <c r="O55" i="27"/>
  <c r="AE134" i="10"/>
  <c r="K392" i="27"/>
  <c r="K304" i="27"/>
  <c r="K394" i="27"/>
  <c r="K306" i="27"/>
  <c r="D335" i="29"/>
  <c r="N318" i="27"/>
  <c r="N406" i="27"/>
  <c r="N230" i="27"/>
  <c r="N317" i="27"/>
  <c r="N405" i="27"/>
  <c r="E139" i="44" l="1"/>
  <c r="L299" i="27"/>
  <c r="L306" i="27"/>
  <c r="E262" i="29"/>
  <c r="E264" i="29" s="1"/>
  <c r="F140" i="44" s="1"/>
  <c r="M211" i="27"/>
  <c r="M388" i="27" s="1"/>
  <c r="M210" i="27"/>
  <c r="M387" i="27" s="1"/>
  <c r="M215" i="27"/>
  <c r="M392" i="27" s="1"/>
  <c r="AF13" i="27"/>
  <c r="N35" i="27"/>
  <c r="AD114" i="10"/>
  <c r="N23" i="27"/>
  <c r="AD102" i="10"/>
  <c r="AF133" i="10"/>
  <c r="P54" i="27"/>
  <c r="AH37" i="27"/>
  <c r="AH289" i="27" s="1"/>
  <c r="M205" i="27"/>
  <c r="AG32" i="27"/>
  <c r="O361" i="27"/>
  <c r="O229" i="27"/>
  <c r="AI56" i="27"/>
  <c r="O100" i="27"/>
  <c r="AI100" i="27" s="1"/>
  <c r="O449" i="27"/>
  <c r="O273" i="27"/>
  <c r="M302" i="27"/>
  <c r="M390" i="27"/>
  <c r="L305" i="27"/>
  <c r="L393" i="27"/>
  <c r="M206" i="27"/>
  <c r="AG33" i="27"/>
  <c r="AE120" i="10"/>
  <c r="O41" i="27"/>
  <c r="O38" i="27"/>
  <c r="AE117" i="10"/>
  <c r="N319" i="27"/>
  <c r="N407" i="27"/>
  <c r="E267" i="29"/>
  <c r="N511" i="27"/>
  <c r="AH25" i="27"/>
  <c r="AH285" i="27" s="1"/>
  <c r="N198" i="27"/>
  <c r="M384" i="27"/>
  <c r="M296" i="27"/>
  <c r="E136" i="44"/>
  <c r="L293" i="27"/>
  <c r="L381" i="27"/>
  <c r="AD118" i="10"/>
  <c r="N39" i="27"/>
  <c r="P56" i="27"/>
  <c r="AF135" i="10"/>
  <c r="AD108" i="10"/>
  <c r="N29" i="27"/>
  <c r="O272" i="27"/>
  <c r="O99" i="27"/>
  <c r="AI99" i="27" s="1"/>
  <c r="O360" i="27"/>
  <c r="O448" i="27"/>
  <c r="AI55" i="27"/>
  <c r="O228" i="27" s="1"/>
  <c r="AH41" i="27"/>
  <c r="AH291" i="27" s="1"/>
  <c r="E282" i="29"/>
  <c r="AF243" i="27"/>
  <c r="AE332" i="27"/>
  <c r="AF197" i="27"/>
  <c r="AE308" i="27"/>
  <c r="D132" i="44"/>
  <c r="P52" i="27"/>
  <c r="AF131" i="10"/>
  <c r="AF130" i="10"/>
  <c r="P51" i="27"/>
  <c r="M298" i="27"/>
  <c r="M386" i="27"/>
  <c r="E322" i="29"/>
  <c r="F136" i="44" s="1"/>
  <c r="E320" i="29"/>
  <c r="AF200" i="27"/>
  <c r="AE311" i="27"/>
  <c r="AH38" i="27"/>
  <c r="AH290" i="27" s="1"/>
  <c r="M288" i="27"/>
  <c r="M376" i="27"/>
  <c r="AF136" i="10"/>
  <c r="P57" i="27"/>
  <c r="O22" i="27"/>
  <c r="AE101" i="10"/>
  <c r="AF137" i="10"/>
  <c r="P58" i="27"/>
  <c r="M381" i="27"/>
  <c r="M293" i="27"/>
  <c r="E247" i="29"/>
  <c r="F138" i="44"/>
  <c r="M217" i="27"/>
  <c r="AF198" i="27"/>
  <c r="AE309" i="27"/>
  <c r="AF199" i="27"/>
  <c r="AE310" i="27"/>
  <c r="M216" i="27"/>
  <c r="L392" i="27"/>
  <c r="L304" i="27"/>
  <c r="O274" i="27"/>
  <c r="O362" i="27"/>
  <c r="AI57" i="27"/>
  <c r="O230" i="27" s="1"/>
  <c r="O450" i="27"/>
  <c r="O101" i="27"/>
  <c r="AI101" i="27" s="1"/>
  <c r="N507" i="27"/>
  <c r="L196" i="27"/>
  <c r="O44" i="27"/>
  <c r="AE123" i="10"/>
  <c r="AD111" i="10"/>
  <c r="N32" i="27"/>
  <c r="M45" i="27"/>
  <c r="AG45" i="27" s="1"/>
  <c r="AC124" i="10"/>
  <c r="O37" i="27"/>
  <c r="AE116" i="10"/>
  <c r="AD119" i="10"/>
  <c r="N40" i="27"/>
  <c r="AH40" i="27" s="1"/>
  <c r="N213" i="27" s="1"/>
  <c r="N30" i="27"/>
  <c r="AD109" i="10"/>
  <c r="N31" i="27"/>
  <c r="AD110" i="10"/>
  <c r="AI58" i="27"/>
  <c r="O102" i="27"/>
  <c r="AI102" i="27" s="1"/>
  <c r="O451" i="27"/>
  <c r="O275" i="27"/>
  <c r="O363" i="27"/>
  <c r="O231" i="27"/>
  <c r="D247" i="29"/>
  <c r="E138" i="44"/>
  <c r="L300" i="27"/>
  <c r="L388" i="27"/>
  <c r="M300" i="27"/>
  <c r="M299" i="27"/>
  <c r="M389" i="27"/>
  <c r="M301" i="27"/>
  <c r="N508" i="27"/>
  <c r="M377" i="27"/>
  <c r="M289" i="27"/>
  <c r="AE331" i="27"/>
  <c r="AF242" i="27"/>
  <c r="K307" i="27"/>
  <c r="K395" i="27"/>
  <c r="AH44" i="27"/>
  <c r="AH294" i="27" s="1"/>
  <c r="E140" i="44"/>
  <c r="D267" i="29"/>
  <c r="AH43" i="27"/>
  <c r="AH293" i="27" s="1"/>
  <c r="AG23" i="27"/>
  <c r="M196" i="27" s="1"/>
  <c r="M509" i="27"/>
  <c r="AE330" i="27"/>
  <c r="AF241" i="27"/>
  <c r="P53" i="27"/>
  <c r="AF132" i="10"/>
  <c r="M515" i="27"/>
  <c r="AG29" i="27"/>
  <c r="M202" i="27"/>
  <c r="E333" i="29"/>
  <c r="AF244" i="27"/>
  <c r="AE333" i="27"/>
  <c r="M287" i="27"/>
  <c r="M375" i="27"/>
  <c r="M378" i="27"/>
  <c r="M290" i="27"/>
  <c r="F242" i="29"/>
  <c r="F317" i="29"/>
  <c r="AC125" i="10"/>
  <c r="M46" i="27"/>
  <c r="O19" i="27"/>
  <c r="AE98" i="10"/>
  <c r="AE106" i="10"/>
  <c r="O27" i="27"/>
  <c r="O28" i="27"/>
  <c r="AE107" i="10"/>
  <c r="N33" i="27"/>
  <c r="AH33" i="27" s="1"/>
  <c r="N206" i="27" s="1"/>
  <c r="AD112" i="10"/>
  <c r="O25" i="27"/>
  <c r="AE104" i="10"/>
  <c r="AG287" i="27"/>
  <c r="AH42" i="27"/>
  <c r="AH292" i="27" s="1"/>
  <c r="N512" i="27"/>
  <c r="N199" i="27"/>
  <c r="AH26" i="27"/>
  <c r="AH286" i="27" s="1"/>
  <c r="E132" i="44"/>
  <c r="D350" i="29"/>
  <c r="F233" i="29"/>
  <c r="F235" i="29" s="1"/>
  <c r="F238" i="29" s="1"/>
  <c r="F137" i="29"/>
  <c r="F253" i="29" s="1"/>
  <c r="F255" i="29" s="1"/>
  <c r="F258" i="29" s="1"/>
  <c r="F138" i="29"/>
  <c r="F273" i="29" s="1"/>
  <c r="F275" i="29" s="1"/>
  <c r="F278" i="29" s="1"/>
  <c r="F334" i="29" s="1"/>
  <c r="O20" i="27"/>
  <c r="AE99" i="10"/>
  <c r="AF134" i="10"/>
  <c r="P55" i="27"/>
  <c r="N34" i="27"/>
  <c r="AH34" i="27" s="1"/>
  <c r="N207" i="27" s="1"/>
  <c r="AD113" i="10"/>
  <c r="AD115" i="10"/>
  <c r="N36" i="27"/>
  <c r="AG30" i="27"/>
  <c r="M516" i="27"/>
  <c r="M203" i="27"/>
  <c r="N200" i="27"/>
  <c r="N513" i="27"/>
  <c r="AH27" i="27"/>
  <c r="AF46" i="27"/>
  <c r="L219" i="27" s="1"/>
  <c r="L291" i="27"/>
  <c r="L379" i="27"/>
  <c r="AF45" i="27"/>
  <c r="AH28" i="27"/>
  <c r="AH288" i="27" s="1"/>
  <c r="N201" i="27"/>
  <c r="N514" i="27"/>
  <c r="O43" i="27"/>
  <c r="AE122" i="10"/>
  <c r="O42" i="27"/>
  <c r="AE121" i="10"/>
  <c r="O26" i="27"/>
  <c r="AE105" i="10"/>
  <c r="O21" i="27"/>
  <c r="AE100" i="10"/>
  <c r="N506" i="27"/>
  <c r="M214" i="27"/>
  <c r="L380" i="27"/>
  <c r="L292" i="27"/>
  <c r="M297" i="27"/>
  <c r="M385" i="27"/>
  <c r="N505" i="27"/>
  <c r="M304" i="27" l="1"/>
  <c r="M218" i="27"/>
  <c r="M307" i="27" s="1"/>
  <c r="E144" i="44"/>
  <c r="N217" i="27"/>
  <c r="N306" i="27" s="1"/>
  <c r="AG13" i="27"/>
  <c r="N214" i="27"/>
  <c r="N303" i="27" s="1"/>
  <c r="N216" i="27"/>
  <c r="N393" i="27" s="1"/>
  <c r="F282" i="29"/>
  <c r="F284" i="29" s="1"/>
  <c r="F287" i="29" s="1"/>
  <c r="L308" i="27"/>
  <c r="L396" i="27"/>
  <c r="O31" i="27"/>
  <c r="AE110" i="10"/>
  <c r="O23" i="27"/>
  <c r="AE102" i="10"/>
  <c r="O33" i="27"/>
  <c r="AE112" i="10"/>
  <c r="Q51" i="27"/>
  <c r="AG130" i="10"/>
  <c r="L218" i="27"/>
  <c r="N215" i="27"/>
  <c r="F322" i="29"/>
  <c r="F320" i="29"/>
  <c r="N302" i="27"/>
  <c r="N390" i="27"/>
  <c r="L373" i="27"/>
  <c r="L285" i="27"/>
  <c r="AJ58" i="27"/>
  <c r="P231" i="27" s="1"/>
  <c r="P102" i="27"/>
  <c r="AJ102" i="27" s="1"/>
  <c r="P275" i="27"/>
  <c r="P451" i="27"/>
  <c r="P363" i="27"/>
  <c r="P19" i="27"/>
  <c r="AF98" i="10"/>
  <c r="AF120" i="10"/>
  <c r="P41" i="27"/>
  <c r="AG132" i="10"/>
  <c r="Q53" i="27"/>
  <c r="AD124" i="10"/>
  <c r="N45" i="27"/>
  <c r="P25" i="27"/>
  <c r="AF104" i="10"/>
  <c r="AH36" i="27"/>
  <c r="N209" i="27"/>
  <c r="F244" i="29"/>
  <c r="AG242" i="27"/>
  <c r="AF331" i="27"/>
  <c r="M393" i="27"/>
  <c r="M305" i="27"/>
  <c r="AG136" i="10"/>
  <c r="Q57" i="27"/>
  <c r="N46" i="27"/>
  <c r="AD125" i="10"/>
  <c r="P22" i="27"/>
  <c r="AF101" i="10"/>
  <c r="AF106" i="10"/>
  <c r="P27" i="27"/>
  <c r="AG46" i="27"/>
  <c r="M219" i="27" s="1"/>
  <c r="O320" i="27"/>
  <c r="O145" i="27" s="1"/>
  <c r="AI145" i="27" s="1"/>
  <c r="O408" i="27"/>
  <c r="O187" i="27" s="1"/>
  <c r="AI187" i="27" s="1"/>
  <c r="AF311" i="27"/>
  <c r="AG200" i="27"/>
  <c r="AI38" i="27"/>
  <c r="AI290" i="27" s="1"/>
  <c r="N210" i="27"/>
  <c r="O34" i="27"/>
  <c r="AE113" i="10"/>
  <c r="AI37" i="27"/>
  <c r="AI289" i="27" s="1"/>
  <c r="AF310" i="27"/>
  <c r="AG199" i="27"/>
  <c r="N515" i="27"/>
  <c r="N202" i="27"/>
  <c r="AH29" i="27"/>
  <c r="O170" i="27"/>
  <c r="AI170" i="27" s="1"/>
  <c r="O85" i="27"/>
  <c r="AI85" i="27" s="1"/>
  <c r="O434" i="27"/>
  <c r="O258" i="27"/>
  <c r="O346" i="27"/>
  <c r="AI41" i="27"/>
  <c r="AI291" i="27" s="1"/>
  <c r="O128" i="27"/>
  <c r="AI128" i="27" s="1"/>
  <c r="O214" i="27"/>
  <c r="O40" i="27"/>
  <c r="AE119" i="10"/>
  <c r="AF121" i="10"/>
  <c r="P42" i="27"/>
  <c r="AF123" i="10"/>
  <c r="P44" i="27"/>
  <c r="N384" i="27"/>
  <c r="N296" i="27"/>
  <c r="P274" i="27"/>
  <c r="P362" i="27"/>
  <c r="AJ57" i="27"/>
  <c r="P230" i="27" s="1"/>
  <c r="P450" i="27"/>
  <c r="P101" i="27"/>
  <c r="AJ101" i="27" s="1"/>
  <c r="AF308" i="27"/>
  <c r="AG197" i="27"/>
  <c r="O30" i="27"/>
  <c r="AE109" i="10"/>
  <c r="P142" i="27"/>
  <c r="AJ142" i="27" s="1"/>
  <c r="P448" i="27"/>
  <c r="P272" i="27"/>
  <c r="AJ55" i="27"/>
  <c r="P228" i="27" s="1"/>
  <c r="P360" i="27"/>
  <c r="P99" i="27"/>
  <c r="AJ99" i="27" s="1"/>
  <c r="AI25" i="27"/>
  <c r="AI285" i="27" s="1"/>
  <c r="O242" i="27"/>
  <c r="O69" i="27"/>
  <c r="O330" i="27"/>
  <c r="O418" i="27"/>
  <c r="O112" i="27"/>
  <c r="O154" i="27"/>
  <c r="O198" i="27"/>
  <c r="E134" i="44"/>
  <c r="D351" i="29"/>
  <c r="AF309" i="27"/>
  <c r="AG198" i="27"/>
  <c r="O318" i="27"/>
  <c r="O143" i="27" s="1"/>
  <c r="AI143" i="27" s="1"/>
  <c r="O406" i="27"/>
  <c r="O185" i="27" s="1"/>
  <c r="AI185" i="27" s="1"/>
  <c r="N205" i="27"/>
  <c r="AH32" i="27"/>
  <c r="M306" i="27"/>
  <c r="M394" i="27"/>
  <c r="AF332" i="27"/>
  <c r="AG243" i="27"/>
  <c r="P361" i="27"/>
  <c r="P273" i="27"/>
  <c r="P449" i="27"/>
  <c r="AJ56" i="27"/>
  <c r="P229" i="27" s="1"/>
  <c r="P100" i="27"/>
  <c r="AJ100" i="27" s="1"/>
  <c r="N287" i="27"/>
  <c r="N375" i="27"/>
  <c r="M295" i="27"/>
  <c r="M383" i="27"/>
  <c r="Q56" i="27"/>
  <c r="AG135" i="10"/>
  <c r="N383" i="27"/>
  <c r="N295" i="27"/>
  <c r="AG244" i="27"/>
  <c r="AF333" i="27"/>
  <c r="E284" i="29"/>
  <c r="AH39" i="27"/>
  <c r="N212" i="27" s="1"/>
  <c r="AH23" i="27"/>
  <c r="N196" i="27" s="1"/>
  <c r="N509" i="27"/>
  <c r="O36" i="27"/>
  <c r="AE115" i="10"/>
  <c r="AE111" i="10"/>
  <c r="O32" i="27"/>
  <c r="AG137" i="10"/>
  <c r="Q58" i="27"/>
  <c r="P26" i="27"/>
  <c r="AF105" i="10"/>
  <c r="AI42" i="27"/>
  <c r="AI292" i="27" s="1"/>
  <c r="N289" i="27"/>
  <c r="N377" i="27"/>
  <c r="AF330" i="27"/>
  <c r="AG241" i="27"/>
  <c r="O407" i="27"/>
  <c r="O186" i="27" s="1"/>
  <c r="AI186" i="27" s="1"/>
  <c r="O319" i="27"/>
  <c r="O144" i="27" s="1"/>
  <c r="AI144" i="27" s="1"/>
  <c r="E349" i="29"/>
  <c r="F130" i="44"/>
  <c r="F143" i="44" s="1"/>
  <c r="M294" i="27"/>
  <c r="M382" i="27"/>
  <c r="P28" i="27"/>
  <c r="AF107" i="10"/>
  <c r="P21" i="27"/>
  <c r="AF100" i="10"/>
  <c r="Q55" i="27"/>
  <c r="AG134" i="10"/>
  <c r="AF117" i="10"/>
  <c r="P38" i="27"/>
  <c r="O35" i="27"/>
  <c r="AE114" i="10"/>
  <c r="P20" i="27"/>
  <c r="AF99" i="10"/>
  <c r="M303" i="27"/>
  <c r="M391" i="27"/>
  <c r="N378" i="27"/>
  <c r="N290" i="27"/>
  <c r="N288" i="27"/>
  <c r="N376" i="27"/>
  <c r="O333" i="27"/>
  <c r="O72" i="27"/>
  <c r="AI28" i="27"/>
  <c r="AI288" i="27" s="1"/>
  <c r="O157" i="27"/>
  <c r="O201" i="27"/>
  <c r="O115" i="27"/>
  <c r="O421" i="27"/>
  <c r="O245" i="27"/>
  <c r="M291" i="27"/>
  <c r="M379" i="27"/>
  <c r="AH31" i="27"/>
  <c r="N204" i="27"/>
  <c r="AI44" i="27"/>
  <c r="AI294" i="27" s="1"/>
  <c r="AH35" i="27"/>
  <c r="N208" i="27"/>
  <c r="AI26" i="27"/>
  <c r="AI286" i="27" s="1"/>
  <c r="O243" i="27"/>
  <c r="O419" i="27"/>
  <c r="O331" i="27"/>
  <c r="O199" i="27"/>
  <c r="O113" i="27"/>
  <c r="O70" i="27"/>
  <c r="O155" i="27"/>
  <c r="AH287" i="27"/>
  <c r="Q52" i="27"/>
  <c r="AG131" i="10"/>
  <c r="O29" i="27"/>
  <c r="AE108" i="10"/>
  <c r="P37" i="27"/>
  <c r="AF116" i="10"/>
  <c r="O348" i="27"/>
  <c r="AI43" i="27"/>
  <c r="AI293" i="27" s="1"/>
  <c r="O216" i="27"/>
  <c r="O87" i="27"/>
  <c r="AI87" i="27" s="1"/>
  <c r="O436" i="27"/>
  <c r="O260" i="27"/>
  <c r="M292" i="27"/>
  <c r="M380" i="27"/>
  <c r="F335" i="29"/>
  <c r="O244" i="27"/>
  <c r="O420" i="27"/>
  <c r="O332" i="27"/>
  <c r="O200" i="27"/>
  <c r="O71" i="27"/>
  <c r="O114" i="27"/>
  <c r="O156" i="27"/>
  <c r="AI27" i="27"/>
  <c r="M285" i="27"/>
  <c r="M373" i="27"/>
  <c r="F333" i="29"/>
  <c r="O405" i="27"/>
  <c r="O184" i="27" s="1"/>
  <c r="AI184" i="27" s="1"/>
  <c r="O317" i="27"/>
  <c r="O142" i="27" s="1"/>
  <c r="AI142" i="27" s="1"/>
  <c r="E351" i="29"/>
  <c r="F134" i="44"/>
  <c r="F145" i="44" s="1"/>
  <c r="Q54" i="27"/>
  <c r="AG133" i="10"/>
  <c r="O39" i="27"/>
  <c r="AE118" i="10"/>
  <c r="P43" i="27"/>
  <c r="AF122" i="10"/>
  <c r="F262" i="29"/>
  <c r="E130" i="44"/>
  <c r="D349" i="29"/>
  <c r="AH30" i="27"/>
  <c r="N203" i="27"/>
  <c r="N516" i="27"/>
  <c r="N211" i="27"/>
  <c r="N391" i="27" l="1"/>
  <c r="G139" i="44"/>
  <c r="N394" i="27"/>
  <c r="AH13" i="27"/>
  <c r="M395" i="27"/>
  <c r="N305" i="27"/>
  <c r="O215" i="27"/>
  <c r="O259" i="27" s="1"/>
  <c r="O86" i="27" s="1"/>
  <c r="AI86" i="27" s="1"/>
  <c r="N285" i="27"/>
  <c r="N373" i="27"/>
  <c r="N389" i="27"/>
  <c r="N301" i="27"/>
  <c r="M308" i="27"/>
  <c r="M396" i="27"/>
  <c r="AG106" i="10"/>
  <c r="Q27" i="27"/>
  <c r="P23" i="27"/>
  <c r="AF102" i="10"/>
  <c r="Q38" i="27"/>
  <c r="AG117" i="10"/>
  <c r="AI39" i="27"/>
  <c r="O212" i="27" s="1"/>
  <c r="O256" i="27" s="1"/>
  <c r="O83" i="27" s="1"/>
  <c r="AI83" i="27" s="1"/>
  <c r="Q96" i="27"/>
  <c r="AK96" i="27" s="1"/>
  <c r="Q181" i="27"/>
  <c r="AK181" i="27" s="1"/>
  <c r="Q357" i="27"/>
  <c r="Q445" i="27"/>
  <c r="AK52" i="27"/>
  <c r="AK298" i="27" s="1"/>
  <c r="Q269" i="27"/>
  <c r="Q225" i="27"/>
  <c r="O425" i="27"/>
  <c r="O249" i="27"/>
  <c r="O337" i="27"/>
  <c r="AI32" i="27"/>
  <c r="O205" i="27"/>
  <c r="O76" i="27"/>
  <c r="AI76" i="27" s="1"/>
  <c r="E287" i="29"/>
  <c r="F139" i="44"/>
  <c r="O375" i="27"/>
  <c r="O287" i="27"/>
  <c r="O210" i="27"/>
  <c r="AJ41" i="27"/>
  <c r="AJ291" i="27" s="1"/>
  <c r="P214" i="27"/>
  <c r="P258" i="27"/>
  <c r="P170" i="27"/>
  <c r="AJ170" i="27" s="1"/>
  <c r="P85" i="27"/>
  <c r="AJ85" i="27" s="1"/>
  <c r="P346" i="27"/>
  <c r="P434" i="27"/>
  <c r="O426" i="27"/>
  <c r="O250" i="27"/>
  <c r="O338" i="27"/>
  <c r="AI33" i="27"/>
  <c r="O206" i="27" s="1"/>
  <c r="O77" i="27"/>
  <c r="AI77" i="27" s="1"/>
  <c r="Q26" i="27"/>
  <c r="AG105" i="10"/>
  <c r="AG100" i="10"/>
  <c r="Q21" i="27"/>
  <c r="P36" i="27"/>
  <c r="AF115" i="10"/>
  <c r="N388" i="27"/>
  <c r="N300" i="27"/>
  <c r="P157" i="27"/>
  <c r="P201" i="27"/>
  <c r="AJ28" i="27"/>
  <c r="AJ288" i="27" s="1"/>
  <c r="P421" i="27"/>
  <c r="P245" i="27"/>
  <c r="P333" i="27"/>
  <c r="P72" i="27"/>
  <c r="P115" i="27"/>
  <c r="N294" i="27"/>
  <c r="N382" i="27"/>
  <c r="N379" i="27"/>
  <c r="N291" i="27"/>
  <c r="P30" i="27"/>
  <c r="AF109" i="10"/>
  <c r="R52" i="27"/>
  <c r="AH131" i="10"/>
  <c r="Q28" i="27"/>
  <c r="AG107" i="10"/>
  <c r="Q359" i="27"/>
  <c r="Q447" i="27"/>
  <c r="AK54" i="27"/>
  <c r="AK300" i="27" s="1"/>
  <c r="Q271" i="27"/>
  <c r="Q227" i="27"/>
  <c r="Q98" i="27"/>
  <c r="AK98" i="27" s="1"/>
  <c r="AI40" i="27"/>
  <c r="O213" i="27" s="1"/>
  <c r="O257" i="27" s="1"/>
  <c r="O84" i="27" s="1"/>
  <c r="AI84" i="27" s="1"/>
  <c r="AG311" i="27"/>
  <c r="AH200" i="27"/>
  <c r="AH46" i="27"/>
  <c r="N219" i="27"/>
  <c r="AI23" i="27"/>
  <c r="O67" i="27"/>
  <c r="AI67" i="27" s="1"/>
  <c r="O416" i="27"/>
  <c r="O240" i="27"/>
  <c r="O328" i="27"/>
  <c r="O196" i="27"/>
  <c r="AF110" i="10"/>
  <c r="P31" i="27"/>
  <c r="R56" i="27"/>
  <c r="AH135" i="10"/>
  <c r="N292" i="27"/>
  <c r="N380" i="27"/>
  <c r="O289" i="27"/>
  <c r="O377" i="27"/>
  <c r="O290" i="27"/>
  <c r="O378" i="27"/>
  <c r="AI36" i="27"/>
  <c r="O209" i="27"/>
  <c r="O80" i="27"/>
  <c r="AI80" i="27" s="1"/>
  <c r="O429" i="27"/>
  <c r="O253" i="27"/>
  <c r="O341" i="27"/>
  <c r="O423" i="27"/>
  <c r="O247" i="27"/>
  <c r="O335" i="27"/>
  <c r="AI30" i="27"/>
  <c r="O203" i="27"/>
  <c r="O74" i="27"/>
  <c r="AI74" i="27" s="1"/>
  <c r="AK57" i="27"/>
  <c r="Q274" i="27"/>
  <c r="Q362" i="27"/>
  <c r="Q450" i="27"/>
  <c r="Q230" i="27"/>
  <c r="Q101" i="27"/>
  <c r="AK101" i="27" s="1"/>
  <c r="AH242" i="27"/>
  <c r="AG331" i="27"/>
  <c r="N298" i="27"/>
  <c r="N386" i="27"/>
  <c r="R54" i="27"/>
  <c r="AH133" i="10"/>
  <c r="R58" i="27"/>
  <c r="AH137" i="10"/>
  <c r="P34" i="27"/>
  <c r="AF113" i="10"/>
  <c r="AG98" i="10"/>
  <c r="Q19" i="27"/>
  <c r="O393" i="27"/>
  <c r="O172" i="27" s="1"/>
  <c r="AI172" i="27" s="1"/>
  <c r="O305" i="27"/>
  <c r="O130" i="27" s="1"/>
  <c r="AI130" i="27" s="1"/>
  <c r="O217" i="27"/>
  <c r="AG330" i="27"/>
  <c r="AH241" i="27"/>
  <c r="P406" i="27"/>
  <c r="P185" i="27" s="1"/>
  <c r="AJ185" i="27" s="1"/>
  <c r="P318" i="27"/>
  <c r="P143" i="27" s="1"/>
  <c r="AJ143" i="27" s="1"/>
  <c r="O391" i="27"/>
  <c r="O303" i="27"/>
  <c r="O75" i="27"/>
  <c r="AI75" i="27" s="1"/>
  <c r="O424" i="27"/>
  <c r="O248" i="27"/>
  <c r="O336" i="27"/>
  <c r="AI31" i="27"/>
  <c r="O204" i="27"/>
  <c r="Q37" i="27"/>
  <c r="AG116" i="10"/>
  <c r="P29" i="27"/>
  <c r="AF108" i="10"/>
  <c r="O79" i="27"/>
  <c r="AI79" i="27" s="1"/>
  <c r="O164" i="27"/>
  <c r="AI164" i="27" s="1"/>
  <c r="AI35" i="27"/>
  <c r="O208" i="27"/>
  <c r="O340" i="27"/>
  <c r="O252" i="27"/>
  <c r="O428" i="27"/>
  <c r="AG333" i="27"/>
  <c r="AH244" i="27"/>
  <c r="AH198" i="27"/>
  <c r="AG309" i="27"/>
  <c r="AI34" i="27"/>
  <c r="O207" i="27" s="1"/>
  <c r="O78" i="27"/>
  <c r="AI78" i="27" s="1"/>
  <c r="O427" i="27"/>
  <c r="O251" i="27"/>
  <c r="O339" i="27"/>
  <c r="F247" i="29"/>
  <c r="G138" i="44"/>
  <c r="P39" i="27"/>
  <c r="AF118" i="10"/>
  <c r="O288" i="27"/>
  <c r="O376" i="27"/>
  <c r="N293" i="27"/>
  <c r="N381" i="27"/>
  <c r="AJ38" i="27"/>
  <c r="AJ290" i="27" s="1"/>
  <c r="N299" i="27"/>
  <c r="N387" i="27"/>
  <c r="G136" i="44"/>
  <c r="Q25" i="27"/>
  <c r="AG104" i="10"/>
  <c r="AG120" i="10"/>
  <c r="Q41" i="27"/>
  <c r="R53" i="27"/>
  <c r="AH132" i="10"/>
  <c r="E143" i="44"/>
  <c r="AG308" i="27"/>
  <c r="AH197" i="27"/>
  <c r="P330" i="27"/>
  <c r="P112" i="27"/>
  <c r="P154" i="27"/>
  <c r="AJ25" i="27"/>
  <c r="AJ285" i="27" s="1"/>
  <c r="P69" i="27"/>
  <c r="P198" i="27"/>
  <c r="P418" i="27"/>
  <c r="P242" i="27"/>
  <c r="N304" i="27"/>
  <c r="N392" i="27"/>
  <c r="Q42" i="27"/>
  <c r="AG121" i="10"/>
  <c r="O45" i="27"/>
  <c r="AE124" i="10"/>
  <c r="P40" i="27"/>
  <c r="AF119" i="10"/>
  <c r="F264" i="29"/>
  <c r="AJ37" i="27"/>
  <c r="AJ289" i="27" s="1"/>
  <c r="AH243" i="27"/>
  <c r="AG332" i="27"/>
  <c r="AH45" i="27"/>
  <c r="N218" i="27"/>
  <c r="L395" i="27"/>
  <c r="L307" i="27"/>
  <c r="R57" i="27"/>
  <c r="AH136" i="10"/>
  <c r="R55" i="27"/>
  <c r="AH134" i="10"/>
  <c r="AG123" i="10"/>
  <c r="Q44" i="27"/>
  <c r="R51" i="27"/>
  <c r="AH130" i="10"/>
  <c r="Q360" i="27"/>
  <c r="Q448" i="27"/>
  <c r="AK55" i="27"/>
  <c r="Q272" i="27"/>
  <c r="Q99" i="27"/>
  <c r="AK99" i="27" s="1"/>
  <c r="Q142" i="27"/>
  <c r="AK142" i="27" s="1"/>
  <c r="Q184" i="27"/>
  <c r="AK184" i="27" s="1"/>
  <c r="Q228" i="27"/>
  <c r="AJ26" i="27"/>
  <c r="AJ286" i="27" s="1"/>
  <c r="P419" i="27"/>
  <c r="P243" i="27"/>
  <c r="P331" i="27"/>
  <c r="P70" i="27"/>
  <c r="P199" i="27"/>
  <c r="P155" i="27"/>
  <c r="P113" i="27"/>
  <c r="AJ44" i="27"/>
  <c r="AJ294" i="27" s="1"/>
  <c r="AG310" i="27"/>
  <c r="AH199" i="27"/>
  <c r="P420" i="27"/>
  <c r="P244" i="27"/>
  <c r="P332" i="27"/>
  <c r="P200" i="27"/>
  <c r="P71" i="27"/>
  <c r="P114" i="27"/>
  <c r="AJ27" i="27"/>
  <c r="P156" i="27"/>
  <c r="Q22" i="27"/>
  <c r="AG101" i="10"/>
  <c r="Q20" i="27"/>
  <c r="AG99" i="10"/>
  <c r="P32" i="27"/>
  <c r="AF111" i="10"/>
  <c r="P216" i="27"/>
  <c r="P260" i="27"/>
  <c r="P348" i="27"/>
  <c r="AJ43" i="27"/>
  <c r="AJ293" i="27" s="1"/>
  <c r="P436" i="27"/>
  <c r="P130" i="27"/>
  <c r="AJ130" i="27" s="1"/>
  <c r="P172" i="27"/>
  <c r="AJ172" i="27" s="1"/>
  <c r="P87" i="27"/>
  <c r="AJ87" i="27" s="1"/>
  <c r="G132" i="44"/>
  <c r="F350" i="29"/>
  <c r="O334" i="27"/>
  <c r="O202" i="27"/>
  <c r="AI29" i="27"/>
  <c r="O422" i="27"/>
  <c r="O73" i="27"/>
  <c r="AI73" i="27" s="1"/>
  <c r="O246" i="27"/>
  <c r="AK58" i="27"/>
  <c r="Q275" i="27"/>
  <c r="Q363" i="27"/>
  <c r="Q451" i="27"/>
  <c r="Q102" i="27"/>
  <c r="AK102" i="27" s="1"/>
  <c r="Q231" i="27"/>
  <c r="Q145" i="27"/>
  <c r="AK145" i="27" s="1"/>
  <c r="Q187" i="27"/>
  <c r="AK187" i="27" s="1"/>
  <c r="Q185" i="27"/>
  <c r="AK185" i="27" s="1"/>
  <c r="Q143" i="27"/>
  <c r="AK143" i="27" s="1"/>
  <c r="Q100" i="27"/>
  <c r="AK100" i="27" s="1"/>
  <c r="Q229" i="27"/>
  <c r="Q273" i="27"/>
  <c r="Q361" i="27"/>
  <c r="Q449" i="27"/>
  <c r="AK56" i="27"/>
  <c r="P317" i="27"/>
  <c r="P405" i="27"/>
  <c r="P184" i="27" s="1"/>
  <c r="AJ184" i="27" s="1"/>
  <c r="O211" i="27"/>
  <c r="Q226" i="27"/>
  <c r="Q97" i="27"/>
  <c r="AK97" i="27" s="1"/>
  <c r="Q182" i="27"/>
  <c r="AK182" i="27" s="1"/>
  <c r="Q358" i="27"/>
  <c r="Q446" i="27"/>
  <c r="AK53" i="27"/>
  <c r="AK299" i="27" s="1"/>
  <c r="Q270" i="27"/>
  <c r="Q444" i="27"/>
  <c r="Q138" i="27"/>
  <c r="AK138" i="27" s="1"/>
  <c r="AK51" i="27"/>
  <c r="AK297" i="27" s="1"/>
  <c r="Q268" i="27"/>
  <c r="Q224" i="27"/>
  <c r="Q95" i="27"/>
  <c r="AK95" i="27" s="1"/>
  <c r="Q356" i="27"/>
  <c r="AF112" i="10"/>
  <c r="P33" i="27"/>
  <c r="O46" i="27"/>
  <c r="AE125" i="10"/>
  <c r="Q43" i="27"/>
  <c r="AG122" i="10"/>
  <c r="AF114" i="10"/>
  <c r="P35" i="27"/>
  <c r="AI287" i="27"/>
  <c r="N385" i="27"/>
  <c r="N297" i="27"/>
  <c r="E145" i="44"/>
  <c r="P319" i="27"/>
  <c r="P144" i="27" s="1"/>
  <c r="AJ144" i="27" s="1"/>
  <c r="P407" i="27"/>
  <c r="P186" i="27" s="1"/>
  <c r="AJ186" i="27" s="1"/>
  <c r="AJ42" i="27"/>
  <c r="AJ292" i="27" s="1"/>
  <c r="P408" i="27"/>
  <c r="P187" i="27" s="1"/>
  <c r="AJ187" i="27" s="1"/>
  <c r="P320" i="27"/>
  <c r="P145" i="27" s="1"/>
  <c r="AJ145" i="27" s="1"/>
  <c r="AI13" i="27" l="1"/>
  <c r="O304" i="27"/>
  <c r="O347" i="27" s="1"/>
  <c r="O129" i="27" s="1"/>
  <c r="AI129" i="27" s="1"/>
  <c r="O392" i="27"/>
  <c r="O435" i="27" s="1"/>
  <c r="O171" i="27" s="1"/>
  <c r="AI171" i="27" s="1"/>
  <c r="P210" i="27"/>
  <c r="P387" i="27" s="1"/>
  <c r="R43" i="27"/>
  <c r="AH122" i="10"/>
  <c r="R41" i="27"/>
  <c r="AH120" i="10"/>
  <c r="R27" i="27"/>
  <c r="AH106" i="10"/>
  <c r="P340" i="27"/>
  <c r="P208" i="27"/>
  <c r="AJ35" i="27"/>
  <c r="P79" i="27"/>
  <c r="AJ79" i="27" s="1"/>
  <c r="P164" i="27"/>
  <c r="AJ164" i="27" s="1"/>
  <c r="P122" i="27"/>
  <c r="AJ122" i="27" s="1"/>
  <c r="P428" i="27"/>
  <c r="P252" i="27"/>
  <c r="P288" i="27"/>
  <c r="P376" i="27"/>
  <c r="O381" i="27"/>
  <c r="O160" i="27" s="1"/>
  <c r="AI160" i="27" s="1"/>
  <c r="O293" i="27"/>
  <c r="O118" i="27" s="1"/>
  <c r="AI118" i="27" s="1"/>
  <c r="AI242" i="27"/>
  <c r="AH331" i="27"/>
  <c r="R96" i="27"/>
  <c r="AL96" i="27" s="1"/>
  <c r="R181" i="27"/>
  <c r="AL181" i="27" s="1"/>
  <c r="R445" i="27"/>
  <c r="R357" i="27"/>
  <c r="R269" i="27"/>
  <c r="AL52" i="27"/>
  <c r="AL298" i="27" s="1"/>
  <c r="R225" i="27"/>
  <c r="O295" i="27"/>
  <c r="O120" i="27" s="1"/>
  <c r="AI120" i="27" s="1"/>
  <c r="O383" i="27"/>
  <c r="O162" i="27" s="1"/>
  <c r="AI162" i="27" s="1"/>
  <c r="R38" i="27"/>
  <c r="AH117" i="10"/>
  <c r="Q29" i="27"/>
  <c r="AG108" i="10"/>
  <c r="P377" i="27"/>
  <c r="P289" i="27"/>
  <c r="R142" i="27"/>
  <c r="AL142" i="27" s="1"/>
  <c r="R272" i="27"/>
  <c r="R448" i="27"/>
  <c r="R228" i="27"/>
  <c r="R360" i="27"/>
  <c r="AL55" i="27"/>
  <c r="R184" i="27"/>
  <c r="AL184" i="27" s="1"/>
  <c r="R99" i="27"/>
  <c r="AL99" i="27" s="1"/>
  <c r="F349" i="29"/>
  <c r="G130" i="44"/>
  <c r="AL54" i="27"/>
  <c r="AL300" i="27" s="1"/>
  <c r="R227" i="27"/>
  <c r="R98" i="27"/>
  <c r="AL98" i="27" s="1"/>
  <c r="R271" i="27"/>
  <c r="R447" i="27"/>
  <c r="R359" i="27"/>
  <c r="Q402" i="27"/>
  <c r="Q314" i="27"/>
  <c r="Q139" i="27" s="1"/>
  <c r="AK139" i="27" s="1"/>
  <c r="AH100" i="10"/>
  <c r="R21" i="27"/>
  <c r="Q30" i="27"/>
  <c r="AG109" i="10"/>
  <c r="AH105" i="10"/>
  <c r="R26" i="27"/>
  <c r="P393" i="27"/>
  <c r="P305" i="27"/>
  <c r="O385" i="27"/>
  <c r="O297" i="27"/>
  <c r="O122" i="27" s="1"/>
  <c r="AI122" i="27" s="1"/>
  <c r="O306" i="27"/>
  <c r="O349" i="27" s="1"/>
  <c r="O131" i="27" s="1"/>
  <c r="AI131" i="27" s="1"/>
  <c r="O394" i="27"/>
  <c r="O437" i="27" s="1"/>
  <c r="O173" i="27" s="1"/>
  <c r="AI173" i="27" s="1"/>
  <c r="O261" i="27"/>
  <c r="Q407" i="27"/>
  <c r="Q186" i="27" s="1"/>
  <c r="AK186" i="27" s="1"/>
  <c r="Q319" i="27"/>
  <c r="Q144" i="27" s="1"/>
  <c r="AK144" i="27" s="1"/>
  <c r="P335" i="27"/>
  <c r="P159" i="27"/>
  <c r="AJ159" i="27" s="1"/>
  <c r="P117" i="27"/>
  <c r="AJ117" i="27" s="1"/>
  <c r="AJ30" i="27"/>
  <c r="P203" i="27"/>
  <c r="P74" i="27"/>
  <c r="AJ74" i="27" s="1"/>
  <c r="P423" i="27"/>
  <c r="P247" i="27"/>
  <c r="O254" i="27"/>
  <c r="O299" i="27"/>
  <c r="O342" i="27" s="1"/>
  <c r="O124" i="27" s="1"/>
  <c r="AI124" i="27" s="1"/>
  <c r="O387" i="27"/>
  <c r="O430" i="27" s="1"/>
  <c r="O166" i="27" s="1"/>
  <c r="AI166" i="27" s="1"/>
  <c r="P416" i="27"/>
  <c r="P240" i="27"/>
  <c r="P328" i="27"/>
  <c r="AJ23" i="27"/>
  <c r="P196" i="27"/>
  <c r="P67" i="27"/>
  <c r="AJ67" i="27" s="1"/>
  <c r="R28" i="27"/>
  <c r="AH107" i="10"/>
  <c r="Q23" i="27"/>
  <c r="AG102" i="10"/>
  <c r="P46" i="27"/>
  <c r="AF125" i="10"/>
  <c r="Q33" i="27"/>
  <c r="AG112" i="10"/>
  <c r="Q130" i="27"/>
  <c r="AK130" i="27" s="1"/>
  <c r="Q87" i="27"/>
  <c r="AK87" i="27" s="1"/>
  <c r="Q172" i="27"/>
  <c r="AK172" i="27" s="1"/>
  <c r="AK43" i="27"/>
  <c r="AK293" i="27" s="1"/>
  <c r="Q348" i="27"/>
  <c r="Q436" i="27"/>
  <c r="Q260" i="27"/>
  <c r="Q216" i="27"/>
  <c r="O291" i="27"/>
  <c r="O116" i="27" s="1"/>
  <c r="AI116" i="27" s="1"/>
  <c r="O379" i="27"/>
  <c r="O158" i="27" s="1"/>
  <c r="AI158" i="27" s="1"/>
  <c r="R274" i="27"/>
  <c r="R362" i="27"/>
  <c r="R230" i="27"/>
  <c r="AL57" i="27"/>
  <c r="R101" i="27"/>
  <c r="AL101" i="27" s="1"/>
  <c r="R450" i="27"/>
  <c r="G140" i="44"/>
  <c r="F267" i="29"/>
  <c r="P287" i="27"/>
  <c r="P375" i="27"/>
  <c r="N308" i="27"/>
  <c r="N396" i="27"/>
  <c r="AK27" i="27"/>
  <c r="Q244" i="27"/>
  <c r="Q332" i="27"/>
  <c r="Q420" i="27"/>
  <c r="Q114" i="27"/>
  <c r="Q156" i="27"/>
  <c r="Q200" i="27"/>
  <c r="Q71" i="27"/>
  <c r="AH104" i="10"/>
  <c r="R25" i="27"/>
  <c r="Q34" i="27"/>
  <c r="AG113" i="10"/>
  <c r="Q320" i="27"/>
  <c r="Q408" i="27"/>
  <c r="P425" i="27"/>
  <c r="P249" i="27"/>
  <c r="P337" i="27"/>
  <c r="P76" i="27"/>
  <c r="AJ76" i="27" s="1"/>
  <c r="P205" i="27"/>
  <c r="AJ32" i="27"/>
  <c r="P161" i="27"/>
  <c r="AJ161" i="27" s="1"/>
  <c r="Q316" i="27"/>
  <c r="Q141" i="27" s="1"/>
  <c r="AK141" i="27" s="1"/>
  <c r="Q404" i="27"/>
  <c r="Q183" i="27" s="1"/>
  <c r="AK183" i="27" s="1"/>
  <c r="P429" i="27"/>
  <c r="P253" i="27"/>
  <c r="P341" i="27"/>
  <c r="AJ36" i="27"/>
  <c r="P209" i="27"/>
  <c r="P80" i="27"/>
  <c r="AJ80" i="27" s="1"/>
  <c r="AH98" i="10"/>
  <c r="R19" i="27"/>
  <c r="AJ40" i="27"/>
  <c r="P213" i="27" s="1"/>
  <c r="P257" i="27" s="1"/>
  <c r="P84" i="27" s="1"/>
  <c r="AJ84" i="27" s="1"/>
  <c r="AI200" i="27"/>
  <c r="AH311" i="27"/>
  <c r="R37" i="27"/>
  <c r="AH116" i="10"/>
  <c r="P426" i="27"/>
  <c r="P250" i="27"/>
  <c r="P338" i="27"/>
  <c r="P77" i="27"/>
  <c r="AJ77" i="27" s="1"/>
  <c r="P206" i="27"/>
  <c r="AJ33" i="27"/>
  <c r="G144" i="44"/>
  <c r="Q325" i="27"/>
  <c r="Q413" i="27"/>
  <c r="Q193" i="27"/>
  <c r="Q107" i="27"/>
  <c r="AK107" i="27" s="1"/>
  <c r="Q64" i="27"/>
  <c r="AK64" i="27" s="1"/>
  <c r="AK20" i="27"/>
  <c r="AK282" i="27" s="1"/>
  <c r="Q237" i="27"/>
  <c r="R97" i="27"/>
  <c r="AL97" i="27" s="1"/>
  <c r="R182" i="27"/>
  <c r="AL182" i="27" s="1"/>
  <c r="R140" i="27"/>
  <c r="AL140" i="27" s="1"/>
  <c r="R270" i="27"/>
  <c r="R446" i="27"/>
  <c r="R358" i="27"/>
  <c r="AL53" i="27"/>
  <c r="AL299" i="27" s="1"/>
  <c r="R226" i="27"/>
  <c r="O384" i="27"/>
  <c r="O163" i="27" s="1"/>
  <c r="AI163" i="27" s="1"/>
  <c r="O296" i="27"/>
  <c r="O121" i="27" s="1"/>
  <c r="AI121" i="27" s="1"/>
  <c r="Q412" i="27"/>
  <c r="Q236" i="27"/>
  <c r="AK19" i="27"/>
  <c r="Q106" i="27"/>
  <c r="AK106" i="27" s="1"/>
  <c r="Q192" i="27"/>
  <c r="Q148" i="27"/>
  <c r="AK148" i="27" s="1"/>
  <c r="Q63" i="27"/>
  <c r="AK63" i="27" s="1"/>
  <c r="Q324" i="27"/>
  <c r="O386" i="27"/>
  <c r="O165" i="27" s="1"/>
  <c r="AI165" i="27" s="1"/>
  <c r="O298" i="27"/>
  <c r="O123" i="27" s="1"/>
  <c r="AI123" i="27" s="1"/>
  <c r="R449" i="27"/>
  <c r="R273" i="27"/>
  <c r="R361" i="27"/>
  <c r="AL56" i="27"/>
  <c r="R229" i="27"/>
  <c r="R100" i="27"/>
  <c r="AL100" i="27" s="1"/>
  <c r="E350" i="29"/>
  <c r="F132" i="44"/>
  <c r="AI46" i="27"/>
  <c r="O90" i="27"/>
  <c r="AI90" i="27" s="1"/>
  <c r="O263" i="27"/>
  <c r="O439" i="27"/>
  <c r="O351" i="27"/>
  <c r="O219" i="27"/>
  <c r="AG111" i="10"/>
  <c r="Q32" i="27"/>
  <c r="P45" i="27"/>
  <c r="AF124" i="10"/>
  <c r="Q405" i="27"/>
  <c r="Q317" i="27"/>
  <c r="N307" i="27"/>
  <c r="N395" i="27"/>
  <c r="O438" i="27"/>
  <c r="O262" i="27"/>
  <c r="O350" i="27"/>
  <c r="AI45" i="27"/>
  <c r="O218" i="27"/>
  <c r="O89" i="27"/>
  <c r="AI89" i="27" s="1"/>
  <c r="AK41" i="27"/>
  <c r="AK291" i="27" s="1"/>
  <c r="Q258" i="27"/>
  <c r="Q346" i="27"/>
  <c r="Q434" i="27"/>
  <c r="Q85" i="27"/>
  <c r="AK85" i="27" s="1"/>
  <c r="Q214" i="27"/>
  <c r="Q170" i="27"/>
  <c r="AK170" i="27" s="1"/>
  <c r="Q128" i="27"/>
  <c r="AK128" i="27" s="1"/>
  <c r="P160" i="27"/>
  <c r="AJ160" i="27" s="1"/>
  <c r="P424" i="27"/>
  <c r="P336" i="27"/>
  <c r="P75" i="27"/>
  <c r="AJ75" i="27" s="1"/>
  <c r="P248" i="27"/>
  <c r="AJ31" i="27"/>
  <c r="P204" i="27" s="1"/>
  <c r="P118" i="27"/>
  <c r="AJ118" i="27" s="1"/>
  <c r="AI199" i="27"/>
  <c r="AH310" i="27"/>
  <c r="Q65" i="27"/>
  <c r="AK65" i="27" s="1"/>
  <c r="Q326" i="27"/>
  <c r="AK21" i="27"/>
  <c r="AK283" i="27" s="1"/>
  <c r="Q238" i="27"/>
  <c r="Q414" i="27"/>
  <c r="Q194" i="27"/>
  <c r="Q36" i="27"/>
  <c r="AG115" i="10"/>
  <c r="R22" i="27"/>
  <c r="AH101" i="10"/>
  <c r="Q415" i="27"/>
  <c r="AK22" i="27"/>
  <c r="AK284" i="27" s="1"/>
  <c r="Q239" i="27"/>
  <c r="Q195" i="27"/>
  <c r="Q151" i="27"/>
  <c r="AK151" i="27" s="1"/>
  <c r="Q66" i="27"/>
  <c r="AK66" i="27" s="1"/>
  <c r="Q327" i="27"/>
  <c r="P217" i="27"/>
  <c r="P211" i="27"/>
  <c r="AI198" i="27"/>
  <c r="AH309" i="27"/>
  <c r="P422" i="27"/>
  <c r="P246" i="27"/>
  <c r="P334" i="27"/>
  <c r="P73" i="27"/>
  <c r="AJ73" i="27" s="1"/>
  <c r="AJ29" i="27"/>
  <c r="P202" i="27" s="1"/>
  <c r="O292" i="27"/>
  <c r="O117" i="27" s="1"/>
  <c r="AI117" i="27" s="1"/>
  <c r="O380" i="27"/>
  <c r="O159" i="27" s="1"/>
  <c r="AI159" i="27" s="1"/>
  <c r="O390" i="27"/>
  <c r="O433" i="27" s="1"/>
  <c r="O169" i="27" s="1"/>
  <c r="AI169" i="27" s="1"/>
  <c r="O302" i="27"/>
  <c r="O345" i="27" s="1"/>
  <c r="O127" i="27" s="1"/>
  <c r="AI127" i="27" s="1"/>
  <c r="Q331" i="27"/>
  <c r="Q419" i="27"/>
  <c r="Q70" i="27"/>
  <c r="AK26" i="27"/>
  <c r="AK286" i="27" s="1"/>
  <c r="Q243" i="27"/>
  <c r="Q113" i="27"/>
  <c r="Q199" i="27"/>
  <c r="Q155" i="27"/>
  <c r="O382" i="27"/>
  <c r="O161" i="27" s="1"/>
  <c r="AI161" i="27" s="1"/>
  <c r="O294" i="27"/>
  <c r="O119" i="27" s="1"/>
  <c r="AI119" i="27" s="1"/>
  <c r="AH121" i="10"/>
  <c r="R42" i="27"/>
  <c r="Q31" i="27"/>
  <c r="AG110" i="10"/>
  <c r="AG118" i="10"/>
  <c r="Q39" i="27"/>
  <c r="AG119" i="10"/>
  <c r="Q40" i="27"/>
  <c r="Q403" i="27"/>
  <c r="Q315" i="27"/>
  <c r="Q140" i="27" s="1"/>
  <c r="AK140" i="27" s="1"/>
  <c r="R444" i="27"/>
  <c r="R268" i="27"/>
  <c r="R356" i="27"/>
  <c r="AL51" i="27"/>
  <c r="AL297" i="27" s="1"/>
  <c r="R224" i="27"/>
  <c r="R138" i="27"/>
  <c r="AL138" i="27" s="1"/>
  <c r="R180" i="27"/>
  <c r="AL180" i="27" s="1"/>
  <c r="R95" i="27"/>
  <c r="AL95" i="27" s="1"/>
  <c r="Q347" i="27"/>
  <c r="Q435" i="27"/>
  <c r="AK42" i="27"/>
  <c r="AK292" i="27" s="1"/>
  <c r="Q259" i="27"/>
  <c r="Q215" i="27"/>
  <c r="Q86" i="27"/>
  <c r="AK86" i="27" s="1"/>
  <c r="AI197" i="27"/>
  <c r="AH308" i="27"/>
  <c r="AH333" i="27"/>
  <c r="AI244" i="27"/>
  <c r="AJ34" i="27"/>
  <c r="P339" i="27"/>
  <c r="P251" i="27"/>
  <c r="P427" i="27"/>
  <c r="P78" i="27"/>
  <c r="AJ78" i="27" s="1"/>
  <c r="P207" i="27"/>
  <c r="O373" i="27"/>
  <c r="O152" i="27" s="1"/>
  <c r="AI152" i="27" s="1"/>
  <c r="O285" i="27"/>
  <c r="O110" i="27" s="1"/>
  <c r="AI110" i="27" s="1"/>
  <c r="P378" i="27"/>
  <c r="P290" i="27"/>
  <c r="P391" i="27"/>
  <c r="P303" i="27"/>
  <c r="P128" i="27" s="1"/>
  <c r="AJ128" i="27" s="1"/>
  <c r="O389" i="27"/>
  <c r="O432" i="27" s="1"/>
  <c r="O168" i="27" s="1"/>
  <c r="AI168" i="27" s="1"/>
  <c r="O301" i="27"/>
  <c r="O344" i="27" s="1"/>
  <c r="O126" i="27" s="1"/>
  <c r="AI126" i="27" s="1"/>
  <c r="Q313" i="27"/>
  <c r="Q401" i="27"/>
  <c r="Q180" i="27" s="1"/>
  <c r="AK180" i="27" s="1"/>
  <c r="O300" i="27"/>
  <c r="O343" i="27" s="1"/>
  <c r="O125" i="27" s="1"/>
  <c r="AI125" i="27" s="1"/>
  <c r="O388" i="27"/>
  <c r="O431" i="27" s="1"/>
  <c r="O167" i="27" s="1"/>
  <c r="AI167" i="27" s="1"/>
  <c r="O255" i="27"/>
  <c r="Q318" i="27"/>
  <c r="Q406" i="27"/>
  <c r="AJ287" i="27"/>
  <c r="Q349" i="27"/>
  <c r="Q437" i="27"/>
  <c r="AK44" i="27"/>
  <c r="AK294" i="27" s="1"/>
  <c r="Q261" i="27"/>
  <c r="Q217" i="27"/>
  <c r="Q88" i="27"/>
  <c r="AK88" i="27" s="1"/>
  <c r="Q131" i="27"/>
  <c r="AK131" i="27" s="1"/>
  <c r="Q173" i="27"/>
  <c r="AK173" i="27" s="1"/>
  <c r="AI243" i="27"/>
  <c r="AH332" i="27"/>
  <c r="Q69" i="27"/>
  <c r="Q330" i="27"/>
  <c r="Q242" i="27"/>
  <c r="AK25" i="27"/>
  <c r="AK285" i="27" s="1"/>
  <c r="Q154" i="27"/>
  <c r="Q418" i="27"/>
  <c r="Q112" i="27"/>
  <c r="Q198" i="27"/>
  <c r="Q421" i="27"/>
  <c r="Q245" i="27"/>
  <c r="Q201" i="27"/>
  <c r="Q115" i="27"/>
  <c r="Q157" i="27"/>
  <c r="Q72" i="27"/>
  <c r="Q333" i="27"/>
  <c r="AK28" i="27"/>
  <c r="AK288" i="27" s="1"/>
  <c r="R44" i="27"/>
  <c r="AH123" i="10"/>
  <c r="R20" i="27"/>
  <c r="AH99" i="10"/>
  <c r="Q35" i="27"/>
  <c r="AG114" i="10"/>
  <c r="P215" i="27"/>
  <c r="AJ39" i="27"/>
  <c r="P212" i="27" s="1"/>
  <c r="P256" i="27" s="1"/>
  <c r="P83" i="27" s="1"/>
  <c r="AJ83" i="27" s="1"/>
  <c r="Q254" i="27"/>
  <c r="Q210" i="27"/>
  <c r="Q166" i="27"/>
  <c r="AK166" i="27" s="1"/>
  <c r="Q81" i="27"/>
  <c r="AK81" i="27" s="1"/>
  <c r="Q342" i="27"/>
  <c r="AK37" i="27"/>
  <c r="AK289" i="27" s="1"/>
  <c r="Q430" i="27"/>
  <c r="AI241" i="27"/>
  <c r="AH330" i="27"/>
  <c r="R275" i="27"/>
  <c r="R363" i="27"/>
  <c r="R102" i="27"/>
  <c r="AL102" i="27" s="1"/>
  <c r="AL58" i="27"/>
  <c r="R145" i="27"/>
  <c r="AL145" i="27" s="1"/>
  <c r="R231" i="27"/>
  <c r="R187" i="27"/>
  <c r="AL187" i="27" s="1"/>
  <c r="R451" i="27"/>
  <c r="Q255" i="27"/>
  <c r="Q211" i="27"/>
  <c r="Q82" i="27"/>
  <c r="AK82" i="27" s="1"/>
  <c r="Q431" i="27"/>
  <c r="Q343" i="27"/>
  <c r="AK38" i="27"/>
  <c r="AK290" i="27" s="1"/>
  <c r="P299" i="27" l="1"/>
  <c r="P342" i="27"/>
  <c r="P124" i="27" s="1"/>
  <c r="AJ124" i="27" s="1"/>
  <c r="AJ13" i="27"/>
  <c r="R255" i="27"/>
  <c r="R343" i="27"/>
  <c r="R431" i="27"/>
  <c r="AL38" i="27"/>
  <c r="AL290" i="27" s="1"/>
  <c r="R211" i="27"/>
  <c r="R82" i="27"/>
  <c r="AL82" i="27" s="1"/>
  <c r="R29" i="27"/>
  <c r="AH108" i="10"/>
  <c r="P389" i="27"/>
  <c r="P432" i="27" s="1"/>
  <c r="P168" i="27" s="1"/>
  <c r="AJ168" i="27" s="1"/>
  <c r="P301" i="27"/>
  <c r="P344" i="27" s="1"/>
  <c r="P126" i="27" s="1"/>
  <c r="AJ126" i="27" s="1"/>
  <c r="Q283" i="27"/>
  <c r="Q108" i="27" s="1"/>
  <c r="AK108" i="27" s="1"/>
  <c r="Q371" i="27"/>
  <c r="Q150" i="27" s="1"/>
  <c r="AK150" i="27" s="1"/>
  <c r="F144" i="44"/>
  <c r="P380" i="27"/>
  <c r="P292" i="27"/>
  <c r="P394" i="27"/>
  <c r="P437" i="27" s="1"/>
  <c r="P173" i="27" s="1"/>
  <c r="AJ173" i="27" s="1"/>
  <c r="P306" i="27"/>
  <c r="P349" i="27" s="1"/>
  <c r="P131" i="27" s="1"/>
  <c r="AJ131" i="27" s="1"/>
  <c r="P302" i="27"/>
  <c r="P345" i="27" s="1"/>
  <c r="P127" i="27" s="1"/>
  <c r="AJ127" i="27" s="1"/>
  <c r="P390" i="27"/>
  <c r="P433" i="27" s="1"/>
  <c r="P169" i="27" s="1"/>
  <c r="AJ169" i="27" s="1"/>
  <c r="P373" i="27"/>
  <c r="P152" i="27" s="1"/>
  <c r="AJ152" i="27" s="1"/>
  <c r="P285" i="27"/>
  <c r="P110" i="27" s="1"/>
  <c r="AJ110" i="27" s="1"/>
  <c r="R317" i="27"/>
  <c r="R405" i="27"/>
  <c r="P381" i="27"/>
  <c r="P293" i="27"/>
  <c r="Q213" i="27"/>
  <c r="Q257" i="27"/>
  <c r="AK40" i="27"/>
  <c r="Q345" i="27"/>
  <c r="Q433" i="27"/>
  <c r="Q84" i="27"/>
  <c r="AK84" i="27" s="1"/>
  <c r="Q127" i="27"/>
  <c r="AK127" i="27" s="1"/>
  <c r="P174" i="27"/>
  <c r="AJ174" i="27" s="1"/>
  <c r="AJ45" i="27"/>
  <c r="P218" i="27"/>
  <c r="P89" i="27"/>
  <c r="AJ89" i="27" s="1"/>
  <c r="P132" i="27"/>
  <c r="AJ132" i="27" s="1"/>
  <c r="P438" i="27"/>
  <c r="P262" i="27"/>
  <c r="P350" i="27"/>
  <c r="AL19" i="27"/>
  <c r="R106" i="27"/>
  <c r="AL106" i="27" s="1"/>
  <c r="R412" i="27"/>
  <c r="R148" i="27"/>
  <c r="AL148" i="27" s="1"/>
  <c r="R63" i="27"/>
  <c r="AL63" i="27" s="1"/>
  <c r="R236" i="27"/>
  <c r="R324" i="27"/>
  <c r="R192" i="27"/>
  <c r="AK287" i="27"/>
  <c r="R402" i="27"/>
  <c r="R314" i="27"/>
  <c r="R139" i="27" s="1"/>
  <c r="AL139" i="27" s="1"/>
  <c r="P385" i="27"/>
  <c r="P297" i="27"/>
  <c r="AH109" i="10"/>
  <c r="R30" i="27"/>
  <c r="AJ241" i="27"/>
  <c r="AI330" i="27"/>
  <c r="Q288" i="27"/>
  <c r="Q376" i="27"/>
  <c r="P291" i="27"/>
  <c r="P116" i="27" s="1"/>
  <c r="AJ116" i="27" s="1"/>
  <c r="P379" i="27"/>
  <c r="P158" i="27" s="1"/>
  <c r="AJ158" i="27" s="1"/>
  <c r="Q284" i="27"/>
  <c r="Q109" i="27" s="1"/>
  <c r="AK109" i="27" s="1"/>
  <c r="Q372" i="27"/>
  <c r="Q76" i="27"/>
  <c r="AK76" i="27" s="1"/>
  <c r="Q119" i="27"/>
  <c r="AK119" i="27" s="1"/>
  <c r="Q161" i="27"/>
  <c r="AK161" i="27" s="1"/>
  <c r="Q425" i="27"/>
  <c r="Q337" i="27"/>
  <c r="AK32" i="27"/>
  <c r="Q249" i="27"/>
  <c r="Q205" i="27"/>
  <c r="Q369" i="27"/>
  <c r="Q281" i="27"/>
  <c r="P383" i="27"/>
  <c r="P162" i="27" s="1"/>
  <c r="AJ162" i="27" s="1"/>
  <c r="P295" i="27"/>
  <c r="P120" i="27" s="1"/>
  <c r="AJ120" i="27" s="1"/>
  <c r="R319" i="27"/>
  <c r="R144" i="27" s="1"/>
  <c r="AL144" i="27" s="1"/>
  <c r="R407" i="27"/>
  <c r="R186" i="27" s="1"/>
  <c r="AL186" i="27" s="1"/>
  <c r="R419" i="27"/>
  <c r="R70" i="27"/>
  <c r="R243" i="27"/>
  <c r="R331" i="27"/>
  <c r="R155" i="27"/>
  <c r="R113" i="27"/>
  <c r="AL26" i="27"/>
  <c r="AL286" i="27" s="1"/>
  <c r="R199" i="27"/>
  <c r="R404" i="27"/>
  <c r="R183" i="27" s="1"/>
  <c r="AL183" i="27" s="1"/>
  <c r="R316" i="27"/>
  <c r="R141" i="27" s="1"/>
  <c r="AL141" i="27" s="1"/>
  <c r="P430" i="27"/>
  <c r="P166" i="27" s="1"/>
  <c r="AJ166" i="27" s="1"/>
  <c r="Q45" i="27"/>
  <c r="AG124" i="10"/>
  <c r="AH102" i="10"/>
  <c r="R23" i="27"/>
  <c r="Q388" i="27"/>
  <c r="Q167" i="27" s="1"/>
  <c r="AK167" i="27" s="1"/>
  <c r="Q300" i="27"/>
  <c r="Q125" i="27" s="1"/>
  <c r="AK125" i="27" s="1"/>
  <c r="AI333" i="27"/>
  <c r="AJ244" i="27"/>
  <c r="AK39" i="27"/>
  <c r="Q256" i="27"/>
  <c r="Q344" i="27"/>
  <c r="Q432" i="27"/>
  <c r="Q212" i="27"/>
  <c r="Q83" i="27"/>
  <c r="AK83" i="27" s="1"/>
  <c r="O307" i="27"/>
  <c r="O132" i="27" s="1"/>
  <c r="AI132" i="27" s="1"/>
  <c r="O395" i="27"/>
  <c r="O174" i="27" s="1"/>
  <c r="AI174" i="27" s="1"/>
  <c r="R318" i="27"/>
  <c r="R143" i="27" s="1"/>
  <c r="AL143" i="27" s="1"/>
  <c r="R406" i="27"/>
  <c r="R185" i="27" s="1"/>
  <c r="AL185" i="27" s="1"/>
  <c r="Q78" i="27"/>
  <c r="AK78" i="27" s="1"/>
  <c r="Q251" i="27"/>
  <c r="Q339" i="27"/>
  <c r="Q427" i="27"/>
  <c r="AK34" i="27"/>
  <c r="Q207" i="27"/>
  <c r="R437" i="27"/>
  <c r="R261" i="27"/>
  <c r="R349" i="27"/>
  <c r="AL44" i="27"/>
  <c r="AL294" i="27" s="1"/>
  <c r="R173" i="27"/>
  <c r="AL173" i="27" s="1"/>
  <c r="R217" i="27"/>
  <c r="R131" i="27"/>
  <c r="AL131" i="27" s="1"/>
  <c r="R88" i="27"/>
  <c r="AL88" i="27" s="1"/>
  <c r="AI311" i="27"/>
  <c r="AJ200" i="27"/>
  <c r="O308" i="27"/>
  <c r="O133" i="27" s="1"/>
  <c r="AI133" i="27" s="1"/>
  <c r="O396" i="27"/>
  <c r="O175" i="27" s="1"/>
  <c r="AI175" i="27" s="1"/>
  <c r="AK281" i="27"/>
  <c r="P386" i="27"/>
  <c r="P165" i="27" s="1"/>
  <c r="AJ165" i="27" s="1"/>
  <c r="P298" i="27"/>
  <c r="P123" i="27" s="1"/>
  <c r="AJ123" i="27" s="1"/>
  <c r="R418" i="27"/>
  <c r="R242" i="27"/>
  <c r="R112" i="27"/>
  <c r="R330" i="27"/>
  <c r="R198" i="27"/>
  <c r="AL25" i="27"/>
  <c r="AL285" i="27" s="1"/>
  <c r="R154" i="27"/>
  <c r="R69" i="27"/>
  <c r="Q338" i="27"/>
  <c r="Q426" i="27"/>
  <c r="Q77" i="27"/>
  <c r="AK77" i="27" s="1"/>
  <c r="Q162" i="27"/>
  <c r="AK162" i="27" s="1"/>
  <c r="Q206" i="27"/>
  <c r="AK33" i="27"/>
  <c r="Q250" i="27"/>
  <c r="AH111" i="10"/>
  <c r="R32" i="27"/>
  <c r="Q378" i="27"/>
  <c r="Q290" i="27"/>
  <c r="Q203" i="27"/>
  <c r="Q159" i="27"/>
  <c r="AK159" i="27" s="1"/>
  <c r="Q74" i="27"/>
  <c r="AK74" i="27" s="1"/>
  <c r="AK30" i="27"/>
  <c r="Q247" i="27"/>
  <c r="Q423" i="27"/>
  <c r="Q335" i="27"/>
  <c r="Q117" i="27"/>
  <c r="AK117" i="27" s="1"/>
  <c r="G143" i="44"/>
  <c r="R332" i="27"/>
  <c r="R420" i="27"/>
  <c r="R114" i="27"/>
  <c r="AL27" i="27"/>
  <c r="R71" i="27"/>
  <c r="R156" i="27"/>
  <c r="R200" i="27"/>
  <c r="R244" i="27"/>
  <c r="Q341" i="27"/>
  <c r="Q429" i="27"/>
  <c r="AK36" i="27"/>
  <c r="Q253" i="27"/>
  <c r="Q165" i="27"/>
  <c r="AK165" i="27" s="1"/>
  <c r="Q123" i="27"/>
  <c r="AK123" i="27" s="1"/>
  <c r="Q209" i="27"/>
  <c r="Q80" i="27"/>
  <c r="AK80" i="27" s="1"/>
  <c r="P382" i="27"/>
  <c r="P294" i="27"/>
  <c r="P119" i="27" s="1"/>
  <c r="AJ119" i="27" s="1"/>
  <c r="R35" i="27"/>
  <c r="AH114" i="10"/>
  <c r="R36" i="27"/>
  <c r="AH115" i="10"/>
  <c r="AJ243" i="27"/>
  <c r="AI332" i="27"/>
  <c r="R401" i="27"/>
  <c r="R313" i="27"/>
  <c r="R34" i="27"/>
  <c r="AH113" i="10"/>
  <c r="Q340" i="27"/>
  <c r="Q79" i="27"/>
  <c r="AK79" i="27" s="1"/>
  <c r="Q428" i="27"/>
  <c r="AK35" i="27"/>
  <c r="Q252" i="27"/>
  <c r="Q122" i="27"/>
  <c r="AK122" i="27" s="1"/>
  <c r="Q208" i="27"/>
  <c r="Q164" i="27"/>
  <c r="AK164" i="27" s="1"/>
  <c r="Q303" i="27"/>
  <c r="Q391" i="27"/>
  <c r="P263" i="27"/>
  <c r="AJ46" i="27"/>
  <c r="P351" i="27"/>
  <c r="P439" i="27"/>
  <c r="P219" i="27"/>
  <c r="P175" i="27"/>
  <c r="AJ175" i="27" s="1"/>
  <c r="P90" i="27"/>
  <c r="AJ90" i="27" s="1"/>
  <c r="P133" i="27"/>
  <c r="AJ133" i="27" s="1"/>
  <c r="R238" i="27"/>
  <c r="R326" i="27"/>
  <c r="AL21" i="27"/>
  <c r="AL283" i="27" s="1"/>
  <c r="R194" i="27"/>
  <c r="R65" i="27"/>
  <c r="AL65" i="27" s="1"/>
  <c r="R108" i="27"/>
  <c r="AL108" i="27" s="1"/>
  <c r="R150" i="27"/>
  <c r="AL150" i="27" s="1"/>
  <c r="R414" i="27"/>
  <c r="R39" i="27"/>
  <c r="AH118" i="10"/>
  <c r="AI308" i="27"/>
  <c r="AJ197" i="27"/>
  <c r="Q377" i="27"/>
  <c r="Q289" i="27"/>
  <c r="Q393" i="27"/>
  <c r="Q305" i="27"/>
  <c r="O81" i="27"/>
  <c r="AI81" i="27" s="1"/>
  <c r="P254" i="27"/>
  <c r="P81" i="27" s="1"/>
  <c r="AJ81" i="27" s="1"/>
  <c r="O88" i="27"/>
  <c r="AI88" i="27" s="1"/>
  <c r="P261" i="27"/>
  <c r="P88" i="27" s="1"/>
  <c r="AJ88" i="27" s="1"/>
  <c r="R128" i="27"/>
  <c r="AL128" i="27" s="1"/>
  <c r="R170" i="27"/>
  <c r="AL170" i="27" s="1"/>
  <c r="R346" i="27"/>
  <c r="AL41" i="27"/>
  <c r="AL291" i="27" s="1"/>
  <c r="R214" i="27"/>
  <c r="R434" i="27"/>
  <c r="R258" i="27"/>
  <c r="R85" i="27"/>
  <c r="AL85" i="27" s="1"/>
  <c r="R33" i="27"/>
  <c r="AH112" i="10"/>
  <c r="R31" i="27"/>
  <c r="AH110" i="10"/>
  <c r="Q387" i="27"/>
  <c r="Q299" i="27"/>
  <c r="Q124" i="27" s="1"/>
  <c r="AK124" i="27" s="1"/>
  <c r="R237" i="27"/>
  <c r="R325" i="27"/>
  <c r="AL20" i="27"/>
  <c r="AL282" i="27" s="1"/>
  <c r="R193" i="27"/>
  <c r="R413" i="27"/>
  <c r="R64" i="27"/>
  <c r="AL64" i="27" s="1"/>
  <c r="Q375" i="27"/>
  <c r="Q287" i="27"/>
  <c r="O82" i="27"/>
  <c r="AI82" i="27" s="1"/>
  <c r="P255" i="27"/>
  <c r="P82" i="27" s="1"/>
  <c r="AJ82" i="27" s="1"/>
  <c r="Q75" i="27"/>
  <c r="AK75" i="27" s="1"/>
  <c r="AK31" i="27"/>
  <c r="Q248" i="27"/>
  <c r="Q160" i="27"/>
  <c r="AK160" i="27" s="1"/>
  <c r="Q336" i="27"/>
  <c r="Q424" i="27"/>
  <c r="Q118" i="27"/>
  <c r="AK118" i="27" s="1"/>
  <c r="Q204" i="27"/>
  <c r="AI309" i="27"/>
  <c r="AJ198" i="27"/>
  <c r="R239" i="27"/>
  <c r="R327" i="27"/>
  <c r="R415" i="27"/>
  <c r="AL22" i="27"/>
  <c r="AL284" i="27" s="1"/>
  <c r="R195" i="27"/>
  <c r="R66" i="27"/>
  <c r="AL66" i="27" s="1"/>
  <c r="AJ199" i="27"/>
  <c r="AI310" i="27"/>
  <c r="R430" i="27"/>
  <c r="R254" i="27"/>
  <c r="R124" i="27"/>
  <c r="AL124" i="27" s="1"/>
  <c r="R342" i="27"/>
  <c r="AL37" i="27"/>
  <c r="AL289" i="27" s="1"/>
  <c r="R210" i="27"/>
  <c r="R166" i="27"/>
  <c r="AL166" i="27" s="1"/>
  <c r="R81" i="27"/>
  <c r="AL81" i="27" s="1"/>
  <c r="Q328" i="27"/>
  <c r="AK23" i="27"/>
  <c r="Q416" i="27"/>
  <c r="Q240" i="27"/>
  <c r="Q196" i="27"/>
  <c r="Q67" i="27"/>
  <c r="AK67" i="27" s="1"/>
  <c r="Q334" i="27"/>
  <c r="Q422" i="27"/>
  <c r="AK29" i="27"/>
  <c r="Q158" i="27"/>
  <c r="AK158" i="27" s="1"/>
  <c r="Q246" i="27"/>
  <c r="Q202" i="27"/>
  <c r="Q73" i="27"/>
  <c r="AK73" i="27" s="1"/>
  <c r="R72" i="27"/>
  <c r="R115" i="27"/>
  <c r="R421" i="27"/>
  <c r="R245" i="27"/>
  <c r="R333" i="27"/>
  <c r="R201" i="27"/>
  <c r="AL28" i="27"/>
  <c r="AL288" i="27" s="1"/>
  <c r="R157" i="27"/>
  <c r="AG125" i="10"/>
  <c r="Q46" i="27"/>
  <c r="P304" i="27"/>
  <c r="P347" i="27" s="1"/>
  <c r="P129" i="27" s="1"/>
  <c r="AJ129" i="27" s="1"/>
  <c r="P392" i="27"/>
  <c r="P435" i="27" s="1"/>
  <c r="P171" i="27" s="1"/>
  <c r="AJ171" i="27" s="1"/>
  <c r="P259" i="27"/>
  <c r="P86" i="27" s="1"/>
  <c r="AJ86" i="27" s="1"/>
  <c r="R320" i="27"/>
  <c r="R408" i="27"/>
  <c r="R40" i="27"/>
  <c r="AH119" i="10"/>
  <c r="Q306" i="27"/>
  <c r="Q394" i="27"/>
  <c r="P296" i="27"/>
  <c r="P121" i="27" s="1"/>
  <c r="AJ121" i="27" s="1"/>
  <c r="P384" i="27"/>
  <c r="P163" i="27" s="1"/>
  <c r="AJ163" i="27" s="1"/>
  <c r="Q392" i="27"/>
  <c r="Q171" i="27" s="1"/>
  <c r="AK171" i="27" s="1"/>
  <c r="Q304" i="27"/>
  <c r="Q129" i="27" s="1"/>
  <c r="AK129" i="27" s="1"/>
  <c r="R259" i="27"/>
  <c r="R347" i="27"/>
  <c r="AL42" i="27"/>
  <c r="AL292" i="27" s="1"/>
  <c r="R215" i="27"/>
  <c r="R435" i="27"/>
  <c r="R129" i="27"/>
  <c r="AL129" i="27" s="1"/>
  <c r="R86" i="27"/>
  <c r="AL86" i="27" s="1"/>
  <c r="P388" i="27"/>
  <c r="P431" i="27" s="1"/>
  <c r="P167" i="27" s="1"/>
  <c r="AJ167" i="27" s="1"/>
  <c r="P300" i="27"/>
  <c r="P343" i="27" s="1"/>
  <c r="P125" i="27" s="1"/>
  <c r="AJ125" i="27" s="1"/>
  <c r="R315" i="27"/>
  <c r="R403" i="27"/>
  <c r="Q282" i="27"/>
  <c r="Q370" i="27"/>
  <c r="Q149" i="27" s="1"/>
  <c r="AK149" i="27" s="1"/>
  <c r="F351" i="29"/>
  <c r="G134" i="44"/>
  <c r="AI331" i="27"/>
  <c r="AJ242" i="27"/>
  <c r="R260" i="27"/>
  <c r="R348" i="27"/>
  <c r="R130" i="27"/>
  <c r="AL130" i="27" s="1"/>
  <c r="AL43" i="27"/>
  <c r="AL293" i="27" s="1"/>
  <c r="R172" i="27"/>
  <c r="AL172" i="27" s="1"/>
  <c r="R216" i="27"/>
  <c r="R87" i="27"/>
  <c r="AL87" i="27" s="1"/>
  <c r="R436" i="27"/>
  <c r="AK13" i="27" l="1"/>
  <c r="BA289" i="27"/>
  <c r="BA333" i="27" s="1"/>
  <c r="AI102" i="10"/>
  <c r="S23" i="27"/>
  <c r="R305" i="27"/>
  <c r="R393" i="27"/>
  <c r="R282" i="27"/>
  <c r="R107" i="27" s="1"/>
  <c r="AL107" i="27" s="1"/>
  <c r="R370" i="27"/>
  <c r="R149" i="27" s="1"/>
  <c r="AL149" i="27" s="1"/>
  <c r="P308" i="27"/>
  <c r="P396" i="27"/>
  <c r="BA281" i="27"/>
  <c r="BA325" i="27" s="1"/>
  <c r="BA295" i="27"/>
  <c r="BA339" i="27" s="1"/>
  <c r="BA296" i="27"/>
  <c r="BA340" i="27" s="1"/>
  <c r="BA297" i="27"/>
  <c r="BA341" i="27" s="1"/>
  <c r="BA299" i="27"/>
  <c r="BA343" i="27" s="1"/>
  <c r="BA298" i="27"/>
  <c r="BA342" i="27" s="1"/>
  <c r="BA300" i="27"/>
  <c r="BA344" i="27" s="1"/>
  <c r="AI111" i="10"/>
  <c r="S32" i="27"/>
  <c r="AJ310" i="27"/>
  <c r="AK199" i="27"/>
  <c r="R391" i="27"/>
  <c r="R303" i="27"/>
  <c r="AK243" i="27"/>
  <c r="AJ332" i="27"/>
  <c r="Q382" i="27"/>
  <c r="Q294" i="27"/>
  <c r="AL281" i="27"/>
  <c r="R46" i="27"/>
  <c r="AH125" i="10"/>
  <c r="AK12" i="27"/>
  <c r="AJ308" i="27"/>
  <c r="AK197" i="27"/>
  <c r="R249" i="27"/>
  <c r="R205" i="27"/>
  <c r="R337" i="27"/>
  <c r="R161" i="27"/>
  <c r="AL161" i="27" s="1"/>
  <c r="R425" i="27"/>
  <c r="R76" i="27"/>
  <c r="AL76" i="27" s="1"/>
  <c r="AL32" i="27"/>
  <c r="R119" i="27"/>
  <c r="AL119" i="27" s="1"/>
  <c r="R375" i="27"/>
  <c r="R287" i="27"/>
  <c r="BA290" i="27"/>
  <c r="BA334" i="27" s="1"/>
  <c r="R67" i="27"/>
  <c r="AL67" i="27" s="1"/>
  <c r="R196" i="27"/>
  <c r="R240" i="27"/>
  <c r="R416" i="27"/>
  <c r="R328" i="27"/>
  <c r="AL23" i="27"/>
  <c r="AL12" i="27" s="1"/>
  <c r="BA287" i="27"/>
  <c r="BA331" i="27" s="1"/>
  <c r="R284" i="27"/>
  <c r="R109" i="27" s="1"/>
  <c r="AL109" i="27" s="1"/>
  <c r="R372" i="27"/>
  <c r="R151" i="27" s="1"/>
  <c r="AL151" i="27" s="1"/>
  <c r="R341" i="27"/>
  <c r="R80" i="27"/>
  <c r="AL80" i="27" s="1"/>
  <c r="R253" i="27"/>
  <c r="AL36" i="27"/>
  <c r="R209" i="27"/>
  <c r="R123" i="27"/>
  <c r="AL123" i="27" s="1"/>
  <c r="R165" i="27"/>
  <c r="AL165" i="27" s="1"/>
  <c r="R429" i="27"/>
  <c r="S31" i="27"/>
  <c r="AI110" i="10"/>
  <c r="Q379" i="27"/>
  <c r="Q291" i="27"/>
  <c r="Q116" i="27" s="1"/>
  <c r="AK116" i="27" s="1"/>
  <c r="Q384" i="27"/>
  <c r="Q163" i="27" s="1"/>
  <c r="AK163" i="27" s="1"/>
  <c r="Q296" i="27"/>
  <c r="Q121" i="27" s="1"/>
  <c r="AK121" i="27" s="1"/>
  <c r="BA293" i="27"/>
  <c r="BA337" i="27" s="1"/>
  <c r="R158" i="27"/>
  <c r="AL158" i="27" s="1"/>
  <c r="R73" i="27"/>
  <c r="AL73" i="27" s="1"/>
  <c r="R202" i="27"/>
  <c r="AL29" i="27"/>
  <c r="R246" i="27"/>
  <c r="R422" i="27"/>
  <c r="R116" i="27"/>
  <c r="AL116" i="27" s="1"/>
  <c r="R334" i="27"/>
  <c r="AJ311" i="27"/>
  <c r="AK200" i="27"/>
  <c r="Q301" i="27"/>
  <c r="Q126" i="27" s="1"/>
  <c r="AK126" i="27" s="1"/>
  <c r="Q389" i="27"/>
  <c r="Q168" i="27" s="1"/>
  <c r="AK168" i="27" s="1"/>
  <c r="R283" i="27"/>
  <c r="R371" i="27"/>
  <c r="S36" i="27"/>
  <c r="AI115" i="10"/>
  <c r="AK242" i="27"/>
  <c r="AJ331" i="27"/>
  <c r="R299" i="27"/>
  <c r="R387" i="27"/>
  <c r="BA284" i="27"/>
  <c r="BA328" i="27" s="1"/>
  <c r="BA282" i="27"/>
  <c r="BA326" i="27" s="1"/>
  <c r="R122" i="27"/>
  <c r="AL122" i="27" s="1"/>
  <c r="AL35" i="27"/>
  <c r="R164" i="27"/>
  <c r="AL164" i="27" s="1"/>
  <c r="R428" i="27"/>
  <c r="R79" i="27"/>
  <c r="AL79" i="27" s="1"/>
  <c r="R252" i="27"/>
  <c r="R340" i="27"/>
  <c r="R208" i="27"/>
  <c r="Q295" i="27"/>
  <c r="Q120" i="27" s="1"/>
  <c r="AK120" i="27" s="1"/>
  <c r="Q383" i="27"/>
  <c r="Q132" i="27"/>
  <c r="AK132" i="27" s="1"/>
  <c r="Q218" i="27"/>
  <c r="AK45" i="27"/>
  <c r="Q438" i="27"/>
  <c r="Q262" i="27"/>
  <c r="Q350" i="27"/>
  <c r="Q89" i="27"/>
  <c r="AK89" i="27" s="1"/>
  <c r="Q174" i="27"/>
  <c r="AK174" i="27" s="1"/>
  <c r="AK241" i="27"/>
  <c r="AJ330" i="27"/>
  <c r="R369" i="27"/>
  <c r="R281" i="27"/>
  <c r="Q302" i="27"/>
  <c r="Q390" i="27"/>
  <c r="Q169" i="27" s="1"/>
  <c r="AK169" i="27" s="1"/>
  <c r="R300" i="27"/>
  <c r="R125" i="27" s="1"/>
  <c r="AL125" i="27" s="1"/>
  <c r="R388" i="27"/>
  <c r="R167" i="27" s="1"/>
  <c r="AL167" i="27" s="1"/>
  <c r="AI114" i="10"/>
  <c r="S35" i="27"/>
  <c r="Q133" i="27"/>
  <c r="AK133" i="27" s="1"/>
  <c r="Q175" i="27"/>
  <c r="AK175" i="27" s="1"/>
  <c r="Q351" i="27"/>
  <c r="AK46" i="27"/>
  <c r="Q439" i="27"/>
  <c r="Q219" i="27"/>
  <c r="Q90" i="27"/>
  <c r="AK90" i="27" s="1"/>
  <c r="Q263" i="27"/>
  <c r="R432" i="27"/>
  <c r="R256" i="27"/>
  <c r="R344" i="27"/>
  <c r="R83" i="27"/>
  <c r="AL83" i="27" s="1"/>
  <c r="R168" i="27"/>
  <c r="AL168" i="27" s="1"/>
  <c r="R212" i="27"/>
  <c r="AL39" i="27"/>
  <c r="R126" i="27"/>
  <c r="AL126" i="27" s="1"/>
  <c r="AI112" i="10"/>
  <c r="S33" i="27"/>
  <c r="R336" i="27"/>
  <c r="R75" i="27"/>
  <c r="AL75" i="27" s="1"/>
  <c r="R118" i="27"/>
  <c r="AL118" i="27" s="1"/>
  <c r="R424" i="27"/>
  <c r="R204" i="27"/>
  <c r="AL31" i="27"/>
  <c r="R160" i="27"/>
  <c r="AL160" i="27" s="1"/>
  <c r="R248" i="27"/>
  <c r="AL34" i="27"/>
  <c r="R207" i="27"/>
  <c r="R78" i="27"/>
  <c r="AL78" i="27" s="1"/>
  <c r="R251" i="27"/>
  <c r="R339" i="27"/>
  <c r="R427" i="27"/>
  <c r="R121" i="27"/>
  <c r="AL121" i="27" s="1"/>
  <c r="R377" i="27"/>
  <c r="R289" i="27"/>
  <c r="R423" i="27"/>
  <c r="R203" i="27"/>
  <c r="R74" i="27"/>
  <c r="AL74" i="27" s="1"/>
  <c r="R117" i="27"/>
  <c r="AL117" i="27" s="1"/>
  <c r="R247" i="27"/>
  <c r="AL30" i="27"/>
  <c r="R335" i="27"/>
  <c r="R159" i="27"/>
  <c r="AL159" i="27" s="1"/>
  <c r="BA291" i="27"/>
  <c r="BA335" i="27" s="1"/>
  <c r="S29" i="27"/>
  <c r="AI108" i="10"/>
  <c r="AI113" i="10"/>
  <c r="S34" i="27"/>
  <c r="AJ309" i="27"/>
  <c r="AK198" i="27"/>
  <c r="BA286" i="27"/>
  <c r="BA330" i="27" s="1"/>
  <c r="S40" i="27"/>
  <c r="AI119" i="10"/>
  <c r="R206" i="27"/>
  <c r="R77" i="27"/>
  <c r="AL77" i="27" s="1"/>
  <c r="R162" i="27"/>
  <c r="AL162" i="27" s="1"/>
  <c r="R338" i="27"/>
  <c r="R250" i="27"/>
  <c r="AL33" i="27"/>
  <c r="R426" i="27"/>
  <c r="R120" i="27"/>
  <c r="AL120" i="27" s="1"/>
  <c r="R394" i="27"/>
  <c r="R306" i="27"/>
  <c r="BA283" i="27"/>
  <c r="BA327" i="27" s="1"/>
  <c r="P307" i="27"/>
  <c r="P395" i="27"/>
  <c r="Y126" i="10"/>
  <c r="I47" i="27"/>
  <c r="R392" i="27"/>
  <c r="R171" i="27" s="1"/>
  <c r="AL171" i="27" s="1"/>
  <c r="R304" i="27"/>
  <c r="Q381" i="27"/>
  <c r="Q293" i="27"/>
  <c r="AL287" i="27"/>
  <c r="BB287" i="27" s="1"/>
  <c r="BB331" i="27" s="1"/>
  <c r="AK244" i="27"/>
  <c r="AJ333" i="27"/>
  <c r="BA285" i="27"/>
  <c r="BA329" i="27" s="1"/>
  <c r="BA292" i="27"/>
  <c r="BA336" i="27" s="1"/>
  <c r="S39" i="27"/>
  <c r="AI118" i="10"/>
  <c r="G145" i="44"/>
  <c r="R378" i="27"/>
  <c r="R290" i="27"/>
  <c r="I48" i="27"/>
  <c r="Y127" i="10"/>
  <c r="AI109" i="10"/>
  <c r="S30" i="27"/>
  <c r="R45" i="27"/>
  <c r="AH124" i="10"/>
  <c r="R433" i="27"/>
  <c r="R127" i="27"/>
  <c r="AL127" i="27" s="1"/>
  <c r="R345" i="27"/>
  <c r="R84" i="27"/>
  <c r="AL84" i="27" s="1"/>
  <c r="R213" i="27"/>
  <c r="AL40" i="27"/>
  <c r="R257" i="27"/>
  <c r="R169" i="27"/>
  <c r="AL169" i="27" s="1"/>
  <c r="Q373" i="27"/>
  <c r="Q152" i="27" s="1"/>
  <c r="AK152" i="27" s="1"/>
  <c r="Q285" i="27"/>
  <c r="Q110" i="27" s="1"/>
  <c r="AK110" i="27" s="1"/>
  <c r="Q385" i="27"/>
  <c r="Q297" i="27"/>
  <c r="Q386" i="27"/>
  <c r="Q298" i="27"/>
  <c r="Q380" i="27"/>
  <c r="Q292" i="27"/>
  <c r="R288" i="27"/>
  <c r="R376" i="27"/>
  <c r="BA288" i="27"/>
  <c r="BA332" i="27" s="1"/>
  <c r="BA294" i="27"/>
  <c r="BA338" i="27" s="1"/>
  <c r="BB294" i="27" l="1"/>
  <c r="BB338" i="27" s="1"/>
  <c r="AC48" i="27"/>
  <c r="BB289" i="27"/>
  <c r="BB333" i="27" s="1"/>
  <c r="BB288" i="27"/>
  <c r="BB332" i="27" s="1"/>
  <c r="BB284" i="27"/>
  <c r="BB328" i="27" s="1"/>
  <c r="R373" i="27"/>
  <c r="R152" i="27" s="1"/>
  <c r="AL152" i="27" s="1"/>
  <c r="R285" i="27"/>
  <c r="R110" i="27" s="1"/>
  <c r="AL110" i="27" s="1"/>
  <c r="S335" i="27"/>
  <c r="S159" i="27"/>
  <c r="AM159" i="27" s="1"/>
  <c r="AM30" i="27"/>
  <c r="S423" i="27"/>
  <c r="S247" i="27"/>
  <c r="S203" i="27"/>
  <c r="S117" i="27"/>
  <c r="AM117" i="27" s="1"/>
  <c r="S74" i="27"/>
  <c r="AM74" i="27" s="1"/>
  <c r="R296" i="27"/>
  <c r="R384" i="27"/>
  <c r="R163" i="27" s="1"/>
  <c r="AL163" i="27" s="1"/>
  <c r="Q308" i="27"/>
  <c r="Q396" i="27"/>
  <c r="R294" i="27"/>
  <c r="R382" i="27"/>
  <c r="BB282" i="27"/>
  <c r="BB326" i="27" s="1"/>
  <c r="S250" i="27"/>
  <c r="S162" i="27"/>
  <c r="AM162" i="27" s="1"/>
  <c r="S120" i="27"/>
  <c r="AM120" i="27" s="1"/>
  <c r="S338" i="27"/>
  <c r="S426" i="27"/>
  <c r="S77" i="27"/>
  <c r="AM77" i="27" s="1"/>
  <c r="S206" i="27"/>
  <c r="AM33" i="27"/>
  <c r="AK333" i="27"/>
  <c r="AL244" i="27"/>
  <c r="AC47" i="27"/>
  <c r="AC53" i="27"/>
  <c r="AC299" i="27" s="1"/>
  <c r="AC54" i="27"/>
  <c r="AC300" i="27" s="1"/>
  <c r="AC19" i="27"/>
  <c r="AC51" i="27"/>
  <c r="AC297" i="27" s="1"/>
  <c r="AC52" i="27"/>
  <c r="AC298" i="27" s="1"/>
  <c r="AC21" i="27"/>
  <c r="AC283" i="27" s="1"/>
  <c r="AC20" i="27"/>
  <c r="AC282" i="27" s="1"/>
  <c r="AC22" i="27"/>
  <c r="AC284" i="27" s="1"/>
  <c r="S427" i="27"/>
  <c r="S251" i="27"/>
  <c r="S339" i="27"/>
  <c r="S207" i="27"/>
  <c r="S78" i="27"/>
  <c r="AM78" i="27" s="1"/>
  <c r="S121" i="27"/>
  <c r="AM121" i="27" s="1"/>
  <c r="S163" i="27"/>
  <c r="AM163" i="27" s="1"/>
  <c r="AM34" i="27"/>
  <c r="R292" i="27"/>
  <c r="R380" i="27"/>
  <c r="Q307" i="27"/>
  <c r="Q395" i="27"/>
  <c r="AL197" i="27"/>
  <c r="AK308" i="27"/>
  <c r="AL199" i="27"/>
  <c r="AK310" i="27"/>
  <c r="R262" i="27"/>
  <c r="R350" i="27"/>
  <c r="R438" i="27"/>
  <c r="R89" i="27"/>
  <c r="AL89" i="27" s="1"/>
  <c r="AL45" i="27"/>
  <c r="R218" i="27"/>
  <c r="R132" i="27"/>
  <c r="AL132" i="27" s="1"/>
  <c r="R174" i="27"/>
  <c r="AL174" i="27" s="1"/>
  <c r="AL198" i="27"/>
  <c r="AK309" i="27"/>
  <c r="R298" i="27"/>
  <c r="R386" i="27"/>
  <c r="R302" i="27"/>
  <c r="R390" i="27"/>
  <c r="BB295" i="27"/>
  <c r="BB339" i="27" s="1"/>
  <c r="BB281" i="27"/>
  <c r="BB325" i="27" s="1"/>
  <c r="BB296" i="27"/>
  <c r="BB340" i="27" s="1"/>
  <c r="BB299" i="27"/>
  <c r="BB343" i="27" s="1"/>
  <c r="BB297" i="27"/>
  <c r="BB341" i="27" s="1"/>
  <c r="BB298" i="27"/>
  <c r="BB342" i="27" s="1"/>
  <c r="BB300" i="27"/>
  <c r="BB344" i="27" s="1"/>
  <c r="AM23" i="27"/>
  <c r="S67" i="27"/>
  <c r="AM67" i="27" s="1"/>
  <c r="S152" i="27"/>
  <c r="AM152" i="27" s="1"/>
  <c r="S196" i="27"/>
  <c r="S110" i="27"/>
  <c r="AM110" i="27" s="1"/>
  <c r="S240" i="27"/>
  <c r="S328" i="27"/>
  <c r="S416" i="27"/>
  <c r="R301" i="27"/>
  <c r="R389" i="27"/>
  <c r="BB283" i="27"/>
  <c r="BB327" i="27" s="1"/>
  <c r="Z127" i="10"/>
  <c r="J48" i="27"/>
  <c r="AL13" i="27"/>
  <c r="R381" i="27"/>
  <c r="R293" i="27"/>
  <c r="AL200" i="27"/>
  <c r="AK311" i="27"/>
  <c r="R291" i="27"/>
  <c r="R379" i="27"/>
  <c r="BB291" i="27"/>
  <c r="BB335" i="27" s="1"/>
  <c r="R90" i="27"/>
  <c r="AL90" i="27" s="1"/>
  <c r="R175" i="27"/>
  <c r="AL175" i="27" s="1"/>
  <c r="R439" i="27"/>
  <c r="R351" i="27"/>
  <c r="R219" i="27"/>
  <c r="R263" i="27"/>
  <c r="AL46" i="27"/>
  <c r="R133" i="27"/>
  <c r="AL133" i="27" s="1"/>
  <c r="J47" i="27"/>
  <c r="Z126" i="10"/>
  <c r="S422" i="27"/>
  <c r="S246" i="27"/>
  <c r="S334" i="27"/>
  <c r="AM29" i="27"/>
  <c r="S73" i="27"/>
  <c r="AM73" i="27" s="1"/>
  <c r="S116" i="27"/>
  <c r="AM116" i="27" s="1"/>
  <c r="S158" i="27"/>
  <c r="AM158" i="27" s="1"/>
  <c r="S202" i="27"/>
  <c r="S340" i="27"/>
  <c r="S208" i="27"/>
  <c r="AM35" i="27"/>
  <c r="S122" i="27"/>
  <c r="AM122" i="27" s="1"/>
  <c r="S252" i="27"/>
  <c r="S79" i="27"/>
  <c r="AM79" i="27" s="1"/>
  <c r="S164" i="27"/>
  <c r="AM164" i="27" s="1"/>
  <c r="S428" i="27"/>
  <c r="I49" i="27"/>
  <c r="AC49" i="27" s="1"/>
  <c r="Y128" i="10"/>
  <c r="R383" i="27"/>
  <c r="R295" i="27"/>
  <c r="BB290" i="27"/>
  <c r="BB334" i="27" s="1"/>
  <c r="R385" i="27"/>
  <c r="R297" i="27"/>
  <c r="S160" i="27"/>
  <c r="AM160" i="27" s="1"/>
  <c r="S336" i="27"/>
  <c r="S204" i="27"/>
  <c r="S424" i="27"/>
  <c r="AM31" i="27"/>
  <c r="S75" i="27"/>
  <c r="AM75" i="27" s="1"/>
  <c r="S118" i="27"/>
  <c r="AM118" i="27" s="1"/>
  <c r="S248" i="27"/>
  <c r="S249" i="27"/>
  <c r="S337" i="27"/>
  <c r="S205" i="27"/>
  <c r="S119" i="27"/>
  <c r="AM119" i="27" s="1"/>
  <c r="S425" i="27"/>
  <c r="S76" i="27"/>
  <c r="AM76" i="27" s="1"/>
  <c r="S161" i="27"/>
  <c r="AM161" i="27" s="1"/>
  <c r="AM32" i="27"/>
  <c r="S429" i="27"/>
  <c r="S80" i="27"/>
  <c r="AM80" i="27" s="1"/>
  <c r="S253" i="27"/>
  <c r="S341" i="27"/>
  <c r="S209" i="27"/>
  <c r="S165" i="27"/>
  <c r="AM165" i="27" s="1"/>
  <c r="AM36" i="27"/>
  <c r="S123" i="27"/>
  <c r="AM123" i="27" s="1"/>
  <c r="I50" i="27"/>
  <c r="AC50" i="27" s="1"/>
  <c r="Y129" i="10"/>
  <c r="BB292" i="27"/>
  <c r="BB336" i="27" s="1"/>
  <c r="AL241" i="27"/>
  <c r="AK330" i="27"/>
  <c r="AL243" i="27"/>
  <c r="AK332" i="27"/>
  <c r="S432" i="27"/>
  <c r="S256" i="27"/>
  <c r="S344" i="27"/>
  <c r="AM39" i="27"/>
  <c r="S212" i="27"/>
  <c r="S126" i="27"/>
  <c r="AM126" i="27" s="1"/>
  <c r="S83" i="27"/>
  <c r="AM83" i="27" s="1"/>
  <c r="S168" i="27"/>
  <c r="AM168" i="27" s="1"/>
  <c r="S84" i="27"/>
  <c r="AM84" i="27" s="1"/>
  <c r="S213" i="27"/>
  <c r="S169" i="27"/>
  <c r="AM169" i="27" s="1"/>
  <c r="S127" i="27"/>
  <c r="AM127" i="27" s="1"/>
  <c r="S345" i="27"/>
  <c r="S433" i="27"/>
  <c r="S257" i="27"/>
  <c r="AM40" i="27"/>
  <c r="AK331" i="27"/>
  <c r="AL242" i="27"/>
  <c r="BB293" i="27"/>
  <c r="BB337" i="27" s="1"/>
  <c r="BB285" i="27"/>
  <c r="BB329" i="27" s="1"/>
  <c r="BB286" i="27"/>
  <c r="BB330" i="27" s="1"/>
  <c r="I59" i="27" l="1"/>
  <c r="I4" i="27" s="1"/>
  <c r="AM200" i="27"/>
  <c r="AM311" i="27" s="1"/>
  <c r="AL311" i="27"/>
  <c r="S291" i="27"/>
  <c r="S379" i="27"/>
  <c r="S298" i="27"/>
  <c r="S386" i="27"/>
  <c r="AC60" i="27"/>
  <c r="R396" i="27"/>
  <c r="R308" i="27"/>
  <c r="S373" i="27"/>
  <c r="S285" i="27"/>
  <c r="R307" i="27"/>
  <c r="R395" i="27"/>
  <c r="S295" i="27"/>
  <c r="S383" i="27"/>
  <c r="S380" i="27"/>
  <c r="S292" i="27"/>
  <c r="J50" i="27"/>
  <c r="AD50" i="27" s="1"/>
  <c r="J223" i="27" s="1"/>
  <c r="Z129" i="10"/>
  <c r="S302" i="27"/>
  <c r="S390" i="27"/>
  <c r="AM243" i="27"/>
  <c r="AM332" i="27" s="1"/>
  <c r="AL332" i="27"/>
  <c r="AD48" i="27"/>
  <c r="J221" i="27" s="1"/>
  <c r="AK325" i="27"/>
  <c r="AK7" i="27"/>
  <c r="AM241" i="27"/>
  <c r="AM330" i="27" s="1"/>
  <c r="AL330" i="27"/>
  <c r="AC59" i="27"/>
  <c r="G185" i="29" s="1"/>
  <c r="AC115" i="27" a="1"/>
  <c r="AC115" i="27" s="1"/>
  <c r="AC113" i="27" a="1"/>
  <c r="AC113" i="27" s="1"/>
  <c r="AC157" i="27" a="1"/>
  <c r="AC157" i="27" s="1"/>
  <c r="AC155" i="27" a="1"/>
  <c r="AC155" i="27" s="1"/>
  <c r="AC71" i="27" a="1"/>
  <c r="AC71" i="27" s="1"/>
  <c r="AC114" i="27" a="1"/>
  <c r="AC114" i="27" s="1"/>
  <c r="AC156" i="27" a="1"/>
  <c r="AC156" i="27" s="1"/>
  <c r="AC72" i="27" a="1"/>
  <c r="AC72" i="27" s="1"/>
  <c r="AC70" i="27" a="1"/>
  <c r="AC70" i="27" s="1"/>
  <c r="AC69" i="27" a="1"/>
  <c r="AC69" i="27" s="1"/>
  <c r="AC281" i="27"/>
  <c r="AC154" i="27" a="1"/>
  <c r="AC154" i="27" s="1"/>
  <c r="AC12" i="27"/>
  <c r="AC112" i="27" a="1"/>
  <c r="AC112" i="27" s="1"/>
  <c r="K47" i="27"/>
  <c r="AA126" i="10"/>
  <c r="S294" i="27"/>
  <c r="S382" i="27"/>
  <c r="AM242" i="27"/>
  <c r="AM331" i="27" s="1"/>
  <c r="AL331" i="27"/>
  <c r="S301" i="27"/>
  <c r="S389" i="27"/>
  <c r="AL310" i="27"/>
  <c r="AM199" i="27"/>
  <c r="AM310" i="27" s="1"/>
  <c r="S384" i="27"/>
  <c r="S296" i="27"/>
  <c r="AS299" i="27"/>
  <c r="AS343" i="27" s="1"/>
  <c r="AD47" i="27"/>
  <c r="J220" i="27" s="1"/>
  <c r="AD53" i="27"/>
  <c r="AD51" i="27"/>
  <c r="AD54" i="27"/>
  <c r="AD52" i="27"/>
  <c r="AD21" i="27"/>
  <c r="AD20" i="27"/>
  <c r="AD19" i="27"/>
  <c r="AD22" i="27"/>
  <c r="AK6" i="27"/>
  <c r="AK303" i="27"/>
  <c r="G316" i="29"/>
  <c r="G300" i="29"/>
  <c r="AC104" i="27"/>
  <c r="AC232" i="27" s="1"/>
  <c r="S385" i="27"/>
  <c r="S297" i="27"/>
  <c r="K48" i="27"/>
  <c r="AA127" i="10"/>
  <c r="S381" i="27"/>
  <c r="S293" i="27"/>
  <c r="AL309" i="27"/>
  <c r="AM198" i="27"/>
  <c r="AM309" i="27" s="1"/>
  <c r="AM197" i="27"/>
  <c r="AM308" i="27" s="1"/>
  <c r="AL308" i="27"/>
  <c r="AM244" i="27"/>
  <c r="AM333" i="27" s="1"/>
  <c r="AL333" i="27"/>
  <c r="AC4" i="27" l="1"/>
  <c r="AV4" i="27" s="1"/>
  <c r="AC188" i="27" a="1"/>
  <c r="AC188" i="27" s="1"/>
  <c r="AC3" i="27"/>
  <c r="AV3" i="27" s="1"/>
  <c r="AE48" i="27"/>
  <c r="K221" i="27" s="1"/>
  <c r="K310" i="27" s="1"/>
  <c r="AC103" i="27" a="1"/>
  <c r="AC103" i="27" s="1"/>
  <c r="AC231" i="27" s="1"/>
  <c r="AD231" i="27" s="1"/>
  <c r="J310" i="27"/>
  <c r="J398" i="27"/>
  <c r="J312" i="27"/>
  <c r="J400" i="27"/>
  <c r="G113" i="29"/>
  <c r="G314" i="29"/>
  <c r="G195" i="29"/>
  <c r="G298" i="29"/>
  <c r="G205" i="29"/>
  <c r="H316" i="29"/>
  <c r="H300" i="29"/>
  <c r="AE47" i="27"/>
  <c r="AE52" i="27"/>
  <c r="AE53" i="27"/>
  <c r="AE22" i="27"/>
  <c r="AE20" i="27"/>
  <c r="AE21" i="27"/>
  <c r="AE19" i="27"/>
  <c r="AE51" i="27"/>
  <c r="AE54" i="27"/>
  <c r="AS300" i="27"/>
  <c r="AS344" i="27" s="1"/>
  <c r="AS281" i="27"/>
  <c r="AS325" i="27" s="1"/>
  <c r="AS295" i="27"/>
  <c r="AS339" i="27" s="1"/>
  <c r="AC7" i="27"/>
  <c r="AC6" i="27"/>
  <c r="G295" i="29" s="1"/>
  <c r="AS296" i="27"/>
  <c r="AS340" i="27" s="1"/>
  <c r="AC303" i="27"/>
  <c r="AS292" i="27"/>
  <c r="AS336" i="27" s="1"/>
  <c r="AS290" i="27"/>
  <c r="AS334" i="27" s="1"/>
  <c r="AS289" i="27"/>
  <c r="AS333" i="27" s="1"/>
  <c r="AS294" i="27"/>
  <c r="AS338" i="27" s="1"/>
  <c r="AS293" i="27"/>
  <c r="AS337" i="27" s="1"/>
  <c r="AS291" i="27"/>
  <c r="AS335" i="27" s="1"/>
  <c r="AS288" i="27"/>
  <c r="AS332" i="27" s="1"/>
  <c r="AS285" i="27"/>
  <c r="AS329" i="27" s="1"/>
  <c r="AS286" i="27"/>
  <c r="AS330" i="27" s="1"/>
  <c r="AS287" i="27"/>
  <c r="AS331" i="27" s="1"/>
  <c r="AS282" i="27"/>
  <c r="AS326" i="27" s="1"/>
  <c r="AD284" i="27"/>
  <c r="J195" i="27"/>
  <c r="AL7" i="27"/>
  <c r="AL325" i="27"/>
  <c r="G299" i="29"/>
  <c r="AC61" i="27"/>
  <c r="G315" i="29"/>
  <c r="Z128" i="10"/>
  <c r="J49" i="27"/>
  <c r="AD281" i="27"/>
  <c r="AD59" i="27"/>
  <c r="H185" i="29" s="1"/>
  <c r="AD12" i="27"/>
  <c r="J192" i="27"/>
  <c r="AS283" i="27"/>
  <c r="AS327" i="27" s="1"/>
  <c r="AC146" i="27" a="1"/>
  <c r="AC146" i="27" s="1"/>
  <c r="AS297" i="27"/>
  <c r="AS341" i="27" s="1"/>
  <c r="J309" i="27"/>
  <c r="J397" i="27"/>
  <c r="AC2" i="27"/>
  <c r="AV2" i="27" s="1"/>
  <c r="AL303" i="27"/>
  <c r="AL6" i="27"/>
  <c r="L48" i="27"/>
  <c r="AB127" i="10"/>
  <c r="AD282" i="27"/>
  <c r="J193" i="27"/>
  <c r="L47" i="27"/>
  <c r="AB126" i="10"/>
  <c r="AD283" i="27"/>
  <c r="J194" i="27"/>
  <c r="AD298" i="27"/>
  <c r="J225" i="27"/>
  <c r="AD300" i="27"/>
  <c r="J227" i="27"/>
  <c r="AS284" i="27"/>
  <c r="AS328" i="27" s="1"/>
  <c r="AD232" i="27"/>
  <c r="AD276" i="27"/>
  <c r="G313" i="29"/>
  <c r="G319" i="29" s="1"/>
  <c r="G297" i="29"/>
  <c r="G303" i="29" s="1"/>
  <c r="AD297" i="27"/>
  <c r="J224" i="27"/>
  <c r="AS298" i="27"/>
  <c r="AS342" i="27" s="1"/>
  <c r="AD299" i="27"/>
  <c r="J226" i="27"/>
  <c r="AF48" i="27" l="1"/>
  <c r="L221" i="27" s="1"/>
  <c r="L398" i="27" s="1"/>
  <c r="AT300" i="27"/>
  <c r="AT344" i="27" s="1"/>
  <c r="AD275" i="27"/>
  <c r="K398" i="27"/>
  <c r="AC9" i="27"/>
  <c r="G312" i="29" s="1"/>
  <c r="G318" i="29" s="1"/>
  <c r="AC8" i="27"/>
  <c r="G296" i="29" s="1"/>
  <c r="G302" i="29" s="1"/>
  <c r="AE232" i="27"/>
  <c r="H297" i="29"/>
  <c r="H303" i="29" s="1"/>
  <c r="AE12" i="27"/>
  <c r="AE281" i="27"/>
  <c r="AE59" i="27"/>
  <c r="I185" i="29" s="1"/>
  <c r="K192" i="27"/>
  <c r="AE297" i="27"/>
  <c r="K224" i="27"/>
  <c r="J315" i="27"/>
  <c r="J403" i="27"/>
  <c r="J314" i="27"/>
  <c r="J402" i="27"/>
  <c r="J284" i="27"/>
  <c r="J372" i="27"/>
  <c r="AE283" i="27"/>
  <c r="K194" i="27"/>
  <c r="AT284" i="27"/>
  <c r="AT328" i="27" s="1"/>
  <c r="AE282" i="27"/>
  <c r="K193" i="27"/>
  <c r="H107" i="44"/>
  <c r="G114" i="29"/>
  <c r="J316" i="27"/>
  <c r="J404" i="27"/>
  <c r="AT299" i="27"/>
  <c r="AT343" i="27" s="1"/>
  <c r="J371" i="27"/>
  <c r="J283" i="27"/>
  <c r="AE284" i="27"/>
  <c r="K195" i="27"/>
  <c r="H205" i="29"/>
  <c r="H195" i="29"/>
  <c r="H314" i="29"/>
  <c r="H113" i="29"/>
  <c r="H298" i="29"/>
  <c r="G301" i="29"/>
  <c r="AE299" i="27"/>
  <c r="K226" i="27"/>
  <c r="AD303" i="27"/>
  <c r="AT295" i="27"/>
  <c r="AT339" i="27" s="1"/>
  <c r="AD6" i="27"/>
  <c r="H295" i="29" s="1"/>
  <c r="AD7" i="27"/>
  <c r="AT281" i="27"/>
  <c r="AT325" i="27" s="1"/>
  <c r="AD325" i="27"/>
  <c r="AT296" i="27"/>
  <c r="AT340" i="27" s="1"/>
  <c r="AD301" i="27"/>
  <c r="AT292" i="27"/>
  <c r="AT336" i="27" s="1"/>
  <c r="AT290" i="27"/>
  <c r="AT334" i="27" s="1"/>
  <c r="AT293" i="27"/>
  <c r="AT337" i="27" s="1"/>
  <c r="AT291" i="27"/>
  <c r="AT335" i="27" s="1"/>
  <c r="AT288" i="27"/>
  <c r="AT332" i="27" s="1"/>
  <c r="AT285" i="27"/>
  <c r="AT329" i="27" s="1"/>
  <c r="AT294" i="27"/>
  <c r="AT338" i="27" s="1"/>
  <c r="AT286" i="27"/>
  <c r="AT330" i="27" s="1"/>
  <c r="AT289" i="27"/>
  <c r="AT333" i="27" s="1"/>
  <c r="AT287" i="27"/>
  <c r="AT331" i="27" s="1"/>
  <c r="G52" i="50"/>
  <c r="G53" i="50" s="1"/>
  <c r="G139" i="29" s="1"/>
  <c r="G233" i="29" s="1"/>
  <c r="G235" i="29" s="1"/>
  <c r="G238" i="29" s="1"/>
  <c r="G311" i="29"/>
  <c r="AE298" i="27"/>
  <c r="K225" i="27"/>
  <c r="AT298" i="27"/>
  <c r="AT342" i="27" s="1"/>
  <c r="J401" i="27"/>
  <c r="J313" i="27"/>
  <c r="AT283" i="27"/>
  <c r="AT327" i="27" s="1"/>
  <c r="AT297" i="27"/>
  <c r="AT341" i="27" s="1"/>
  <c r="K49" i="27"/>
  <c r="AA128" i="10"/>
  <c r="AF47" i="27"/>
  <c r="AF54" i="27"/>
  <c r="AF52" i="27"/>
  <c r="AF51" i="27"/>
  <c r="AF21" i="27"/>
  <c r="AF53" i="27"/>
  <c r="AF19" i="27"/>
  <c r="AF20" i="27"/>
  <c r="AF22" i="27"/>
  <c r="AD49" i="27"/>
  <c r="J222" i="27" s="1"/>
  <c r="J59" i="27"/>
  <c r="K220" i="27"/>
  <c r="I316" i="29"/>
  <c r="I300" i="29"/>
  <c r="AE275" i="27"/>
  <c r="AD9" i="27"/>
  <c r="H312" i="29" s="1"/>
  <c r="AA129" i="10"/>
  <c r="K50" i="27"/>
  <c r="AE50" i="27" s="1"/>
  <c r="K223" i="27" s="1"/>
  <c r="J370" i="27"/>
  <c r="J282" i="27"/>
  <c r="M47" i="27"/>
  <c r="AC126" i="10"/>
  <c r="H313" i="29"/>
  <c r="H319" i="29" s="1"/>
  <c r="AE276" i="27"/>
  <c r="AT282" i="27"/>
  <c r="AT326" i="27" s="1"/>
  <c r="AB129" i="10"/>
  <c r="L50" i="27"/>
  <c r="AF50" i="27" s="1"/>
  <c r="J281" i="27"/>
  <c r="J369" i="27"/>
  <c r="M48" i="27"/>
  <c r="AC127" i="10"/>
  <c r="AE300" i="27"/>
  <c r="K227" i="27"/>
  <c r="AE231" i="27"/>
  <c r="AD8" i="27"/>
  <c r="H296" i="29" s="1"/>
  <c r="H301" i="29" l="1"/>
  <c r="L310" i="27"/>
  <c r="G304" i="29"/>
  <c r="L223" i="27"/>
  <c r="L400" i="27" s="1"/>
  <c r="AU298" i="27"/>
  <c r="AU342" i="27" s="1"/>
  <c r="L49" i="27"/>
  <c r="AB128" i="10"/>
  <c r="AU282" i="27"/>
  <c r="AU326" i="27" s="1"/>
  <c r="K369" i="27"/>
  <c r="K281" i="27"/>
  <c r="K400" i="27"/>
  <c r="K312" i="27"/>
  <c r="AF284" i="27"/>
  <c r="L195" i="27"/>
  <c r="AD126" i="10"/>
  <c r="N47" i="27"/>
  <c r="AF282" i="27"/>
  <c r="L193" i="27"/>
  <c r="K284" i="27"/>
  <c r="K372" i="27"/>
  <c r="K283" i="27"/>
  <c r="K371" i="27"/>
  <c r="I195" i="29"/>
  <c r="I113" i="29"/>
  <c r="I314" i="29"/>
  <c r="I298" i="29"/>
  <c r="I205" i="29"/>
  <c r="AF281" i="27"/>
  <c r="AF12" i="27"/>
  <c r="AF59" i="27"/>
  <c r="J185" i="29" s="1"/>
  <c r="L192" i="27"/>
  <c r="AU284" i="27"/>
  <c r="AU328" i="27" s="1"/>
  <c r="AU283" i="27"/>
  <c r="AU327" i="27" s="1"/>
  <c r="N48" i="27"/>
  <c r="AD127" i="10"/>
  <c r="L312" i="27"/>
  <c r="AE9" i="27"/>
  <c r="I312" i="29" s="1"/>
  <c r="AF275" i="27"/>
  <c r="AF299" i="27"/>
  <c r="L226" i="27"/>
  <c r="AU296" i="27"/>
  <c r="AU340" i="27" s="1"/>
  <c r="AE303" i="27"/>
  <c r="AU295" i="27"/>
  <c r="AU339" i="27" s="1"/>
  <c r="AE325" i="27"/>
  <c r="AU281" i="27"/>
  <c r="AU325" i="27" s="1"/>
  <c r="AE7" i="27"/>
  <c r="AE6" i="27"/>
  <c r="I295" i="29" s="1"/>
  <c r="AU286" i="27"/>
  <c r="AU330" i="27" s="1"/>
  <c r="AU285" i="27"/>
  <c r="AU329" i="27" s="1"/>
  <c r="AU290" i="27"/>
  <c r="AU334" i="27" s="1"/>
  <c r="AU289" i="27"/>
  <c r="AU333" i="27" s="1"/>
  <c r="AU292" i="27"/>
  <c r="AU336" i="27" s="1"/>
  <c r="AU293" i="27"/>
  <c r="AU337" i="27" s="1"/>
  <c r="AU288" i="27"/>
  <c r="AU332" i="27" s="1"/>
  <c r="AU294" i="27"/>
  <c r="AU338" i="27" s="1"/>
  <c r="AU291" i="27"/>
  <c r="AU335" i="27" s="1"/>
  <c r="AU287" i="27"/>
  <c r="AU331" i="27" s="1"/>
  <c r="AF298" i="27"/>
  <c r="L225" i="27"/>
  <c r="D18" i="29"/>
  <c r="K402" i="27"/>
  <c r="K314" i="27"/>
  <c r="K315" i="27"/>
  <c r="K403" i="27"/>
  <c r="AF297" i="27"/>
  <c r="L224" i="27"/>
  <c r="AU299" i="27"/>
  <c r="AU343" i="27" s="1"/>
  <c r="AF231" i="27"/>
  <c r="AE8" i="27"/>
  <c r="I296" i="29" s="1"/>
  <c r="AF276" i="27"/>
  <c r="I313" i="29"/>
  <c r="I319" i="29" s="1"/>
  <c r="G242" i="29"/>
  <c r="G317" i="29"/>
  <c r="G322" i="29" s="1"/>
  <c r="K316" i="27"/>
  <c r="K404" i="27"/>
  <c r="K397" i="27"/>
  <c r="K309" i="27"/>
  <c r="AF300" i="27"/>
  <c r="L227" i="27"/>
  <c r="G138" i="29"/>
  <c r="G273" i="29" s="1"/>
  <c r="G275" i="29" s="1"/>
  <c r="G278" i="29" s="1"/>
  <c r="G137" i="29"/>
  <c r="G253" i="29" s="1"/>
  <c r="G255" i="29" s="1"/>
  <c r="G258" i="29" s="1"/>
  <c r="G306" i="29"/>
  <c r="AU300" i="27"/>
  <c r="AU344" i="27" s="1"/>
  <c r="J311" i="27"/>
  <c r="J399" i="27"/>
  <c r="H114" i="29"/>
  <c r="I107" i="44"/>
  <c r="H108" i="44"/>
  <c r="H109" i="44" s="1"/>
  <c r="H103" i="44" s="1"/>
  <c r="H113" i="44"/>
  <c r="K401" i="27"/>
  <c r="K313" i="27"/>
  <c r="AF283" i="27"/>
  <c r="L194" i="27"/>
  <c r="L220" i="27"/>
  <c r="J316" i="29"/>
  <c r="J300" i="29"/>
  <c r="AG47" i="27"/>
  <c r="AG54" i="27"/>
  <c r="AG51" i="27"/>
  <c r="AG53" i="27"/>
  <c r="AG19" i="27"/>
  <c r="AG52" i="27"/>
  <c r="AG21" i="27"/>
  <c r="AG22" i="27"/>
  <c r="AG20" i="27"/>
  <c r="AG48" i="27"/>
  <c r="M221" i="27" s="1"/>
  <c r="AD60" i="27"/>
  <c r="AE49" i="27"/>
  <c r="K222" i="27" s="1"/>
  <c r="K59" i="27"/>
  <c r="H311" i="29"/>
  <c r="H52" i="50"/>
  <c r="H53" i="50" s="1"/>
  <c r="H139" i="29" s="1"/>
  <c r="K282" i="27"/>
  <c r="K370" i="27"/>
  <c r="AU297" i="27"/>
  <c r="AU341" i="27" s="1"/>
  <c r="AF232" i="27"/>
  <c r="I297" i="29"/>
  <c r="I303" i="29" s="1"/>
  <c r="G262" i="29" l="1"/>
  <c r="G282" i="29"/>
  <c r="G284" i="29" s="1"/>
  <c r="K311" i="27"/>
  <c r="K399" i="27"/>
  <c r="AD61" i="27"/>
  <c r="H315" i="29"/>
  <c r="H318" i="29" s="1"/>
  <c r="H299" i="29"/>
  <c r="H302" i="29" s="1"/>
  <c r="M220" i="27"/>
  <c r="K300" i="29"/>
  <c r="K316" i="29"/>
  <c r="AV297" i="27"/>
  <c r="AV341" i="27" s="1"/>
  <c r="AH48" i="27"/>
  <c r="N221" i="27" s="1"/>
  <c r="L313" i="27"/>
  <c r="L401" i="27"/>
  <c r="L372" i="27"/>
  <c r="L284" i="27"/>
  <c r="M398" i="27"/>
  <c r="M310" i="27"/>
  <c r="AV284" i="27"/>
  <c r="AV328" i="27" s="1"/>
  <c r="AG232" i="27"/>
  <c r="J297" i="29"/>
  <c r="J303" i="29" s="1"/>
  <c r="G264" i="29"/>
  <c r="L281" i="27"/>
  <c r="L369" i="27"/>
  <c r="J107" i="44"/>
  <c r="I114" i="29"/>
  <c r="AG282" i="27"/>
  <c r="M193" i="27"/>
  <c r="L309" i="27"/>
  <c r="L397" i="27"/>
  <c r="H136" i="44"/>
  <c r="L315" i="27"/>
  <c r="L403" i="27"/>
  <c r="AG300" i="27"/>
  <c r="M227" i="27"/>
  <c r="O48" i="27"/>
  <c r="AE127" i="10"/>
  <c r="AG284" i="27"/>
  <c r="M195" i="27"/>
  <c r="L371" i="27"/>
  <c r="L283" i="27"/>
  <c r="G244" i="29"/>
  <c r="G320" i="29"/>
  <c r="AV299" i="27"/>
  <c r="AV343" i="27" s="1"/>
  <c r="AH47" i="27"/>
  <c r="AH52" i="27"/>
  <c r="AH51" i="27"/>
  <c r="AH53" i="27"/>
  <c r="AH22" i="27"/>
  <c r="AH19" i="27"/>
  <c r="AH21" i="27"/>
  <c r="AH54" i="27"/>
  <c r="AH20" i="27"/>
  <c r="M49" i="27"/>
  <c r="AC128" i="10"/>
  <c r="H233" i="29"/>
  <c r="H235" i="29" s="1"/>
  <c r="H238" i="29" s="1"/>
  <c r="H137" i="29"/>
  <c r="H253" i="29" s="1"/>
  <c r="H255" i="29" s="1"/>
  <c r="H258" i="29" s="1"/>
  <c r="H138" i="29"/>
  <c r="H273" i="29" s="1"/>
  <c r="H275" i="29" s="1"/>
  <c r="H278" i="29" s="1"/>
  <c r="AG283" i="27"/>
  <c r="M194" i="27"/>
  <c r="AV283" i="27"/>
  <c r="AV327" i="27" s="1"/>
  <c r="G335" i="29"/>
  <c r="D20" i="29"/>
  <c r="AF9" i="27"/>
  <c r="J312" i="29" s="1"/>
  <c r="AG275" i="27"/>
  <c r="AG298" i="27"/>
  <c r="M225" i="27"/>
  <c r="G334" i="29"/>
  <c r="D19" i="29"/>
  <c r="AG276" i="27"/>
  <c r="J313" i="29"/>
  <c r="J319" i="29" s="1"/>
  <c r="I113" i="44"/>
  <c r="I115" i="44" s="1"/>
  <c r="I108" i="44"/>
  <c r="I109" i="44" s="1"/>
  <c r="I103" i="44" s="1"/>
  <c r="AV281" i="27"/>
  <c r="AV325" i="27" s="1"/>
  <c r="AV296" i="27"/>
  <c r="AV340" i="27" s="1"/>
  <c r="AV295" i="27"/>
  <c r="AV339" i="27" s="1"/>
  <c r="AF303" i="27"/>
  <c r="AF325" i="27"/>
  <c r="AF6" i="27"/>
  <c r="J295" i="29" s="1"/>
  <c r="AF7" i="27"/>
  <c r="AV291" i="27"/>
  <c r="AV335" i="27" s="1"/>
  <c r="AV288" i="27"/>
  <c r="AV332" i="27" s="1"/>
  <c r="AV292" i="27"/>
  <c r="AV336" i="27" s="1"/>
  <c r="AV289" i="27"/>
  <c r="AV333" i="27" s="1"/>
  <c r="AV294" i="27"/>
  <c r="AV338" i="27" s="1"/>
  <c r="AV285" i="27"/>
  <c r="AV329" i="27" s="1"/>
  <c r="AV290" i="27"/>
  <c r="AV334" i="27" s="1"/>
  <c r="AV286" i="27"/>
  <c r="AV330" i="27" s="1"/>
  <c r="AV293" i="27"/>
  <c r="AV337" i="27" s="1"/>
  <c r="AV287" i="27"/>
  <c r="AV331" i="27" s="1"/>
  <c r="H242" i="29"/>
  <c r="H244" i="29" s="1"/>
  <c r="H317" i="29"/>
  <c r="O47" i="27"/>
  <c r="AE126" i="10"/>
  <c r="AG12" i="27"/>
  <c r="AG281" i="27"/>
  <c r="AG59" i="27"/>
  <c r="K185" i="29" s="1"/>
  <c r="M192" i="27"/>
  <c r="L404" i="27"/>
  <c r="L316" i="27"/>
  <c r="G333" i="29"/>
  <c r="AC129" i="10"/>
  <c r="M50" i="27"/>
  <c r="AG299" i="27"/>
  <c r="M226" i="27"/>
  <c r="H115" i="44"/>
  <c r="AV300" i="27"/>
  <c r="AV344" i="27" s="1"/>
  <c r="AG231" i="27"/>
  <c r="AF8" i="27"/>
  <c r="J296" i="29" s="1"/>
  <c r="L402" i="27"/>
  <c r="L314" i="27"/>
  <c r="I301" i="29"/>
  <c r="J314" i="29"/>
  <c r="J195" i="29"/>
  <c r="J205" i="29"/>
  <c r="J113" i="29"/>
  <c r="J298" i="29"/>
  <c r="L282" i="27"/>
  <c r="L370" i="27"/>
  <c r="N50" i="27"/>
  <c r="AH50" i="27" s="1"/>
  <c r="AD129" i="10"/>
  <c r="AE60" i="27"/>
  <c r="AG297" i="27"/>
  <c r="M224" i="27"/>
  <c r="AV298" i="27"/>
  <c r="AV342" i="27" s="1"/>
  <c r="I52" i="50"/>
  <c r="I53" i="50" s="1"/>
  <c r="I139" i="29" s="1"/>
  <c r="I233" i="29" s="1"/>
  <c r="I235" i="29" s="1"/>
  <c r="I238" i="29" s="1"/>
  <c r="I311" i="29"/>
  <c r="AV282" i="27"/>
  <c r="AV326" i="27" s="1"/>
  <c r="AF49" i="27"/>
  <c r="L222" i="27" s="1"/>
  <c r="L59" i="27"/>
  <c r="H322" i="29" l="1"/>
  <c r="I136" i="44" s="1"/>
  <c r="H262" i="29"/>
  <c r="H264" i="29" s="1"/>
  <c r="I140" i="44" s="1"/>
  <c r="H282" i="29"/>
  <c r="H284" i="29" s="1"/>
  <c r="H287" i="29" s="1"/>
  <c r="AW297" i="27"/>
  <c r="AW341" i="27" s="1"/>
  <c r="L311" i="27"/>
  <c r="L399" i="27"/>
  <c r="AH282" i="27"/>
  <c r="N193" i="27"/>
  <c r="N310" i="27"/>
  <c r="N398" i="27"/>
  <c r="J114" i="29"/>
  <c r="K107" i="44"/>
  <c r="AH276" i="27"/>
  <c r="K313" i="29"/>
  <c r="K319" i="29" s="1"/>
  <c r="AH283" i="27"/>
  <c r="N194" i="27"/>
  <c r="M369" i="27"/>
  <c r="M281" i="27"/>
  <c r="AH300" i="27"/>
  <c r="N227" i="27"/>
  <c r="G267" i="29"/>
  <c r="H140" i="44"/>
  <c r="P47" i="27"/>
  <c r="AF126" i="10"/>
  <c r="M313" i="27"/>
  <c r="M401" i="27"/>
  <c r="M403" i="27"/>
  <c r="M315" i="27"/>
  <c r="J52" i="50"/>
  <c r="J53" i="50" s="1"/>
  <c r="J139" i="29" s="1"/>
  <c r="J233" i="29" s="1"/>
  <c r="J235" i="29" s="1"/>
  <c r="J238" i="29" s="1"/>
  <c r="J311" i="29"/>
  <c r="AH12" i="27"/>
  <c r="AH59" i="27"/>
  <c r="L185" i="29" s="1"/>
  <c r="AH281" i="27"/>
  <c r="N192" i="27"/>
  <c r="K297" i="29"/>
  <c r="K303" i="29" s="1"/>
  <c r="AH232" i="27"/>
  <c r="AW299" i="27"/>
  <c r="AW343" i="27" s="1"/>
  <c r="H247" i="29"/>
  <c r="I138" i="44"/>
  <c r="J301" i="29"/>
  <c r="M371" i="27"/>
  <c r="M283" i="27"/>
  <c r="AH284" i="27"/>
  <c r="N195" i="27"/>
  <c r="AW283" i="27"/>
  <c r="AW327" i="27" s="1"/>
  <c r="AH299" i="27"/>
  <c r="N226" i="27"/>
  <c r="O176" i="27"/>
  <c r="AI176" i="27" s="1"/>
  <c r="O440" i="27"/>
  <c r="O220" i="27"/>
  <c r="O91" i="27"/>
  <c r="AI91" i="27" s="1"/>
  <c r="O264" i="27"/>
  <c r="O352" i="27"/>
  <c r="AI47" i="27"/>
  <c r="AI54" i="27"/>
  <c r="AI20" i="27"/>
  <c r="AI51" i="27"/>
  <c r="AI22" i="27"/>
  <c r="AI21" i="27"/>
  <c r="AI53" i="27"/>
  <c r="AI52" i="27"/>
  <c r="AI19" i="27"/>
  <c r="G247" i="29"/>
  <c r="H138" i="44"/>
  <c r="N49" i="27"/>
  <c r="AD128" i="10"/>
  <c r="AF127" i="10"/>
  <c r="P48" i="27"/>
  <c r="O50" i="27"/>
  <c r="AE129" i="10"/>
  <c r="M402" i="27"/>
  <c r="M314" i="27"/>
  <c r="AH297" i="27"/>
  <c r="N224" i="27"/>
  <c r="M284" i="27"/>
  <c r="M372" i="27"/>
  <c r="M282" i="27"/>
  <c r="M370" i="27"/>
  <c r="G287" i="29"/>
  <c r="H139" i="44"/>
  <c r="M309" i="27"/>
  <c r="M397" i="27"/>
  <c r="AG50" i="27"/>
  <c r="M223" i="27" s="1"/>
  <c r="M59" i="27"/>
  <c r="AW298" i="27"/>
  <c r="AW342" i="27" s="1"/>
  <c r="AH298" i="27"/>
  <c r="N225" i="27"/>
  <c r="AW284" i="27"/>
  <c r="AW328" i="27" s="1"/>
  <c r="AW282" i="27"/>
  <c r="AW326" i="27" s="1"/>
  <c r="H304" i="29"/>
  <c r="H306" i="29"/>
  <c r="H333" i="29" s="1"/>
  <c r="I242" i="29"/>
  <c r="I244" i="29" s="1"/>
  <c r="I317" i="29"/>
  <c r="I299" i="29"/>
  <c r="I302" i="29" s="1"/>
  <c r="I304" i="29" s="1"/>
  <c r="I315" i="29"/>
  <c r="I318" i="29" s="1"/>
  <c r="AE61" i="27"/>
  <c r="K113" i="29"/>
  <c r="K205" i="29"/>
  <c r="K314" i="29"/>
  <c r="K195" i="29"/>
  <c r="K298" i="29"/>
  <c r="N220" i="27"/>
  <c r="L300" i="29"/>
  <c r="L316" i="29"/>
  <c r="H320" i="29"/>
  <c r="AW295" i="27"/>
  <c r="AW339" i="27" s="1"/>
  <c r="AW296" i="27"/>
  <c r="AW340" i="27" s="1"/>
  <c r="AG7" i="27"/>
  <c r="AW281" i="27"/>
  <c r="AW325" i="27" s="1"/>
  <c r="AG325" i="27"/>
  <c r="AG303" i="27"/>
  <c r="AG6" i="27"/>
  <c r="K295" i="29" s="1"/>
  <c r="AW286" i="27"/>
  <c r="AW330" i="27" s="1"/>
  <c r="AW292" i="27"/>
  <c r="AW336" i="27" s="1"/>
  <c r="AW291" i="27"/>
  <c r="AW335" i="27" s="1"/>
  <c r="AW285" i="27"/>
  <c r="AW329" i="27" s="1"/>
  <c r="AW288" i="27"/>
  <c r="AW332" i="27" s="1"/>
  <c r="AW294" i="27"/>
  <c r="AW338" i="27" s="1"/>
  <c r="AW293" i="27"/>
  <c r="AW337" i="27" s="1"/>
  <c r="AW290" i="27"/>
  <c r="AW334" i="27" s="1"/>
  <c r="AW289" i="27"/>
  <c r="AW333" i="27" s="1"/>
  <c r="AW287" i="27"/>
  <c r="AW331" i="27" s="1"/>
  <c r="AI48" i="27"/>
  <c r="O221" i="27" s="1"/>
  <c r="O92" i="27"/>
  <c r="AI92" i="27" s="1"/>
  <c r="O353" i="27"/>
  <c r="O441" i="27"/>
  <c r="O265" i="27"/>
  <c r="J113" i="44"/>
  <c r="J108" i="44"/>
  <c r="J109" i="44" s="1"/>
  <c r="J103" i="44" s="1"/>
  <c r="AF60" i="27"/>
  <c r="AG9" i="27"/>
  <c r="K312" i="29" s="1"/>
  <c r="AH275" i="27"/>
  <c r="AG49" i="27"/>
  <c r="M222" i="27" s="1"/>
  <c r="M316" i="27"/>
  <c r="M404" i="27"/>
  <c r="I137" i="29"/>
  <c r="I253" i="29" s="1"/>
  <c r="I255" i="29" s="1"/>
  <c r="I258" i="29" s="1"/>
  <c r="I138" i="29"/>
  <c r="I273" i="29" s="1"/>
  <c r="I275" i="29" s="1"/>
  <c r="I278" i="29" s="1"/>
  <c r="AH231" i="27"/>
  <c r="AG8" i="27"/>
  <c r="K296" i="29" s="1"/>
  <c r="AW300" i="27"/>
  <c r="AW344" i="27" s="1"/>
  <c r="I139" i="44" l="1"/>
  <c r="H267" i="29"/>
  <c r="I134" i="44" s="1"/>
  <c r="I145" i="44" s="1"/>
  <c r="N223" i="27"/>
  <c r="N312" i="27" s="1"/>
  <c r="AX298" i="27"/>
  <c r="AX342" i="27" s="1"/>
  <c r="H335" i="29"/>
  <c r="I320" i="29"/>
  <c r="H334" i="29"/>
  <c r="J242" i="29"/>
  <c r="J244" i="29" s="1"/>
  <c r="J317" i="29"/>
  <c r="AI276" i="27"/>
  <c r="AJ276" i="27" s="1"/>
  <c r="AK276" i="27" s="1"/>
  <c r="AL276" i="27" s="1"/>
  <c r="AM276" i="27" s="1"/>
  <c r="L313" i="29"/>
  <c r="M313" i="29" s="1"/>
  <c r="N313" i="29" s="1"/>
  <c r="O313" i="29" s="1"/>
  <c r="P313" i="29" s="1"/>
  <c r="Q313" i="29" s="1"/>
  <c r="R313" i="29" s="1"/>
  <c r="Q47" i="27"/>
  <c r="AG126" i="10"/>
  <c r="AG60" i="27"/>
  <c r="L107" i="44"/>
  <c r="K114" i="29"/>
  <c r="N314" i="27"/>
  <c r="N402" i="27"/>
  <c r="AI300" i="27"/>
  <c r="O227" i="27"/>
  <c r="J138" i="29"/>
  <c r="J273" i="29" s="1"/>
  <c r="J275" i="29" s="1"/>
  <c r="J278" i="29" s="1"/>
  <c r="J137" i="29"/>
  <c r="J253" i="29" s="1"/>
  <c r="J255" i="29" s="1"/>
  <c r="J258" i="29" s="1"/>
  <c r="I132" i="44"/>
  <c r="I144" i="44" s="1"/>
  <c r="H350" i="29"/>
  <c r="M311" i="27"/>
  <c r="M399" i="27"/>
  <c r="O49" i="27"/>
  <c r="AE128" i="10"/>
  <c r="AH49" i="27"/>
  <c r="N222" i="27" s="1"/>
  <c r="N59" i="27"/>
  <c r="AI104" i="27"/>
  <c r="M316" i="29"/>
  <c r="M300" i="29"/>
  <c r="N369" i="27"/>
  <c r="N281" i="27"/>
  <c r="P50" i="27"/>
  <c r="AF129" i="10"/>
  <c r="N372" i="27"/>
  <c r="N284" i="27"/>
  <c r="K113" i="44"/>
  <c r="K115" i="44" s="1"/>
  <c r="K108" i="44"/>
  <c r="K109" i="44" s="1"/>
  <c r="K103" i="44" s="1"/>
  <c r="J115" i="44"/>
  <c r="AI282" i="27"/>
  <c r="O193" i="27"/>
  <c r="AI232" i="27"/>
  <c r="AJ232" i="27" s="1"/>
  <c r="AK232" i="27" s="1"/>
  <c r="AL232" i="27" s="1"/>
  <c r="AM232" i="27" s="1"/>
  <c r="L297" i="29"/>
  <c r="M297" i="29" s="1"/>
  <c r="N297" i="29" s="1"/>
  <c r="O297" i="29" s="1"/>
  <c r="P297" i="29" s="1"/>
  <c r="Q297" i="29" s="1"/>
  <c r="R297" i="29" s="1"/>
  <c r="AH9" i="27"/>
  <c r="L312" i="29" s="1"/>
  <c r="M312" i="29" s="1"/>
  <c r="N312" i="29" s="1"/>
  <c r="O312" i="29" s="1"/>
  <c r="P312" i="29" s="1"/>
  <c r="Q312" i="29" s="1"/>
  <c r="R312" i="29" s="1"/>
  <c r="AI275" i="27"/>
  <c r="AG127" i="10"/>
  <c r="Q48" i="27"/>
  <c r="N400" i="27"/>
  <c r="K301" i="29"/>
  <c r="N401" i="27"/>
  <c r="N313" i="27"/>
  <c r="H130" i="44"/>
  <c r="G349" i="29"/>
  <c r="AX284" i="27"/>
  <c r="AX328" i="27" s="1"/>
  <c r="O310" i="27"/>
  <c r="O135" i="27" s="1"/>
  <c r="AI135" i="27" s="1"/>
  <c r="O398" i="27"/>
  <c r="O177" i="27" s="1"/>
  <c r="AI177" i="27" s="1"/>
  <c r="I262" i="29"/>
  <c r="I264" i="29" s="1"/>
  <c r="AX297" i="27"/>
  <c r="AX341" i="27" s="1"/>
  <c r="N283" i="27"/>
  <c r="N371" i="27"/>
  <c r="I282" i="29"/>
  <c r="I284" i="29" s="1"/>
  <c r="M312" i="27"/>
  <c r="M400" i="27"/>
  <c r="AI281" i="27"/>
  <c r="AI59" i="27"/>
  <c r="M185" i="29" s="1"/>
  <c r="AI12" i="27"/>
  <c r="O192" i="27"/>
  <c r="O309" i="27"/>
  <c r="O134" i="27" s="1"/>
  <c r="AI134" i="27" s="1"/>
  <c r="O397" i="27"/>
  <c r="AX283" i="27"/>
  <c r="AX327" i="27" s="1"/>
  <c r="AH8" i="27"/>
  <c r="L296" i="29" s="1"/>
  <c r="M296" i="29" s="1"/>
  <c r="N296" i="29" s="1"/>
  <c r="O296" i="29" s="1"/>
  <c r="P296" i="29" s="1"/>
  <c r="Q296" i="29" s="1"/>
  <c r="R296" i="29" s="1"/>
  <c r="AI231" i="27"/>
  <c r="N309" i="27"/>
  <c r="N397" i="27"/>
  <c r="I322" i="29"/>
  <c r="J136" i="44" s="1"/>
  <c r="I306" i="29"/>
  <c r="I333" i="29" s="1"/>
  <c r="AI298" i="27"/>
  <c r="O225" i="27"/>
  <c r="P134" i="27"/>
  <c r="AJ134" i="27" s="1"/>
  <c r="P91" i="27"/>
  <c r="AJ91" i="27" s="1"/>
  <c r="P352" i="27"/>
  <c r="P176" i="27"/>
  <c r="AJ176" i="27" s="1"/>
  <c r="P440" i="27"/>
  <c r="AJ47" i="27"/>
  <c r="P264" i="27"/>
  <c r="P220" i="27"/>
  <c r="AJ54" i="27"/>
  <c r="AJ20" i="27"/>
  <c r="AJ19" i="27"/>
  <c r="AJ21" i="27"/>
  <c r="AJ51" i="27"/>
  <c r="AJ52" i="27"/>
  <c r="AJ22" i="27"/>
  <c r="AJ53" i="27"/>
  <c r="N282" i="27"/>
  <c r="N370" i="27"/>
  <c r="J315" i="29"/>
  <c r="J318" i="29" s="1"/>
  <c r="AF61" i="27"/>
  <c r="J299" i="29"/>
  <c r="J302" i="29" s="1"/>
  <c r="J304" i="29" s="1"/>
  <c r="K311" i="29"/>
  <c r="K52" i="50"/>
  <c r="K53" i="50" s="1"/>
  <c r="K139" i="29" s="1"/>
  <c r="I247" i="29"/>
  <c r="J138" i="44"/>
  <c r="AI299" i="27"/>
  <c r="O226" i="27"/>
  <c r="AX282" i="27"/>
  <c r="AX326" i="27" s="1"/>
  <c r="AI283" i="27"/>
  <c r="O194" i="27"/>
  <c r="AX281" i="27"/>
  <c r="AX325" i="27" s="1"/>
  <c r="AH6" i="27"/>
  <c r="L295" i="29" s="1"/>
  <c r="AH325" i="27"/>
  <c r="AH303" i="27"/>
  <c r="AH7" i="27"/>
  <c r="L311" i="29" s="1"/>
  <c r="AX295" i="27"/>
  <c r="AX339" i="27" s="1"/>
  <c r="AX296" i="27"/>
  <c r="AX340" i="27" s="1"/>
  <c r="AX285" i="27"/>
  <c r="AX329" i="27" s="1"/>
  <c r="AX294" i="27"/>
  <c r="AX338" i="27" s="1"/>
  <c r="AX290" i="27"/>
  <c r="AX334" i="27" s="1"/>
  <c r="AX286" i="27"/>
  <c r="AX330" i="27" s="1"/>
  <c r="AX289" i="27"/>
  <c r="AX333" i="27" s="1"/>
  <c r="AX292" i="27"/>
  <c r="AX336" i="27" s="1"/>
  <c r="AX293" i="27"/>
  <c r="AX337" i="27" s="1"/>
  <c r="AX291" i="27"/>
  <c r="AX335" i="27" s="1"/>
  <c r="AX288" i="27"/>
  <c r="AX332" i="27" s="1"/>
  <c r="AX287" i="27"/>
  <c r="AX331" i="27" s="1"/>
  <c r="H134" i="44"/>
  <c r="G351" i="29"/>
  <c r="O267" i="27"/>
  <c r="O355" i="27"/>
  <c r="O443" i="27"/>
  <c r="AI50" i="27"/>
  <c r="O223" i="27" s="1"/>
  <c r="O94" i="27"/>
  <c r="AI94" i="27" s="1"/>
  <c r="AI284" i="27"/>
  <c r="O195" i="27"/>
  <c r="N315" i="27"/>
  <c r="N403" i="27"/>
  <c r="I130" i="44"/>
  <c r="I143" i="44" s="1"/>
  <c r="H349" i="29"/>
  <c r="L113" i="29"/>
  <c r="L195" i="29"/>
  <c r="L205" i="29"/>
  <c r="L298" i="29"/>
  <c r="L314" i="29"/>
  <c r="N404" i="27"/>
  <c r="N316" i="27"/>
  <c r="G350" i="29"/>
  <c r="H132" i="44"/>
  <c r="P441" i="27"/>
  <c r="P265" i="27"/>
  <c r="P353" i="27"/>
  <c r="AJ48" i="27"/>
  <c r="P221" i="27" s="1"/>
  <c r="P92" i="27"/>
  <c r="AJ92" i="27" s="1"/>
  <c r="AI297" i="27"/>
  <c r="O224" i="27"/>
  <c r="AX299" i="27"/>
  <c r="AX343" i="27" s="1"/>
  <c r="AX300" i="27"/>
  <c r="AX344" i="27" s="1"/>
  <c r="H351" i="29" l="1"/>
  <c r="J320" i="29"/>
  <c r="AY282" i="27"/>
  <c r="AY326" i="27" s="1"/>
  <c r="M303" i="29"/>
  <c r="AY283" i="27"/>
  <c r="AY327" i="27" s="1"/>
  <c r="M319" i="29"/>
  <c r="L303" i="29"/>
  <c r="L319" i="29"/>
  <c r="N311" i="27"/>
  <c r="N399" i="27"/>
  <c r="I158" i="44"/>
  <c r="K299" i="29"/>
  <c r="K302" i="29" s="1"/>
  <c r="K304" i="29" s="1"/>
  <c r="K315" i="29"/>
  <c r="K318" i="29" s="1"/>
  <c r="AG61" i="27"/>
  <c r="L301" i="29"/>
  <c r="M295" i="29"/>
  <c r="AJ283" i="27"/>
  <c r="P194" i="27"/>
  <c r="O281" i="27"/>
  <c r="O324" i="27" s="1"/>
  <c r="O369" i="27"/>
  <c r="O412" i="27" s="1"/>
  <c r="O236" i="27"/>
  <c r="AJ298" i="27"/>
  <c r="P225" i="27"/>
  <c r="AJ12" i="27"/>
  <c r="AJ281" i="27"/>
  <c r="AJ59" i="27"/>
  <c r="N185" i="29" s="1"/>
  <c r="P192" i="27"/>
  <c r="I267" i="29"/>
  <c r="J140" i="44"/>
  <c r="Q176" i="27"/>
  <c r="AK176" i="27" s="1"/>
  <c r="Q134" i="27"/>
  <c r="AK134" i="27" s="1"/>
  <c r="Q352" i="27"/>
  <c r="Q220" i="27"/>
  <c r="AK47" i="27"/>
  <c r="Q264" i="27"/>
  <c r="Q440" i="27"/>
  <c r="Q91" i="27"/>
  <c r="AK91" i="27" s="1"/>
  <c r="K317" i="29"/>
  <c r="K242" i="29"/>
  <c r="K244" i="29" s="1"/>
  <c r="O283" i="27"/>
  <c r="O326" i="27" s="1"/>
  <c r="O108" i="27" s="1"/>
  <c r="AI108" i="27" s="1"/>
  <c r="O371" i="27"/>
  <c r="O414" i="27" s="1"/>
  <c r="O150" i="27" s="1"/>
  <c r="AI150" i="27" s="1"/>
  <c r="O238" i="27"/>
  <c r="AJ282" i="27"/>
  <c r="P193" i="27"/>
  <c r="AY298" i="27"/>
  <c r="AY342" i="27" s="1"/>
  <c r="S313" i="29"/>
  <c r="R319" i="29"/>
  <c r="K233" i="29"/>
  <c r="K235" i="29" s="1"/>
  <c r="K238" i="29" s="1"/>
  <c r="K138" i="29"/>
  <c r="K137" i="29"/>
  <c r="L139" i="29"/>
  <c r="L242" i="29" s="1"/>
  <c r="L244" i="29" s="1"/>
  <c r="P49" i="27"/>
  <c r="AF128" i="10"/>
  <c r="L114" i="29"/>
  <c r="M107" i="44"/>
  <c r="I157" i="44"/>
  <c r="AH60" i="27"/>
  <c r="O316" i="27"/>
  <c r="O359" i="27" s="1"/>
  <c r="O141" i="27" s="1"/>
  <c r="AI141" i="27" s="1"/>
  <c r="O404" i="27"/>
  <c r="O447" i="27" s="1"/>
  <c r="O183" i="27" s="1"/>
  <c r="AI183" i="27" s="1"/>
  <c r="O271" i="27"/>
  <c r="AJ284" i="27"/>
  <c r="P195" i="27"/>
  <c r="AG129" i="10"/>
  <c r="Q50" i="27"/>
  <c r="H144" i="44"/>
  <c r="AJ300" i="27"/>
  <c r="P227" i="27"/>
  <c r="J306" i="29"/>
  <c r="J335" i="29" s="1"/>
  <c r="P309" i="27"/>
  <c r="P397" i="27"/>
  <c r="M314" i="29"/>
  <c r="M113" i="29"/>
  <c r="M205" i="29"/>
  <c r="M298" i="29"/>
  <c r="M195" i="29"/>
  <c r="Q92" i="27"/>
  <c r="AK92" i="27" s="1"/>
  <c r="Q353" i="27"/>
  <c r="Q265" i="27"/>
  <c r="Q221" i="27"/>
  <c r="Q441" i="27"/>
  <c r="AK48" i="27"/>
  <c r="AY300" i="27"/>
  <c r="AY344" i="27" s="1"/>
  <c r="J262" i="29"/>
  <c r="J264" i="29" s="1"/>
  <c r="O370" i="27"/>
  <c r="O413" i="27" s="1"/>
  <c r="O149" i="27" s="1"/>
  <c r="AI149" i="27" s="1"/>
  <c r="O282" i="27"/>
  <c r="O325" i="27" s="1"/>
  <c r="O107" i="27" s="1"/>
  <c r="AI107" i="27" s="1"/>
  <c r="O237" i="27"/>
  <c r="AH126" i="10"/>
  <c r="R47" i="27"/>
  <c r="H145" i="44"/>
  <c r="O403" i="27"/>
  <c r="O446" i="27" s="1"/>
  <c r="O182" i="27" s="1"/>
  <c r="AI182" i="27" s="1"/>
  <c r="O315" i="27"/>
  <c r="O358" i="27" s="1"/>
  <c r="O140" i="27" s="1"/>
  <c r="AI140" i="27" s="1"/>
  <c r="O270" i="27"/>
  <c r="I334" i="29"/>
  <c r="AI6" i="27"/>
  <c r="AI303" i="27"/>
  <c r="AI7" i="27"/>
  <c r="AI325" i="27"/>
  <c r="AY295" i="27"/>
  <c r="AY339" i="27" s="1"/>
  <c r="AY296" i="27"/>
  <c r="AY340" i="27" s="1"/>
  <c r="AY281" i="27"/>
  <c r="AY325" i="27" s="1"/>
  <c r="AY285" i="27"/>
  <c r="AY329" i="27" s="1"/>
  <c r="AY289" i="27"/>
  <c r="AY333" i="27" s="1"/>
  <c r="AY286" i="27"/>
  <c r="AY330" i="27" s="1"/>
  <c r="AY293" i="27"/>
  <c r="AY337" i="27" s="1"/>
  <c r="AY290" i="27"/>
  <c r="AY334" i="27" s="1"/>
  <c r="AY294" i="27"/>
  <c r="AY338" i="27" s="1"/>
  <c r="AY291" i="27"/>
  <c r="AY335" i="27" s="1"/>
  <c r="AY292" i="27"/>
  <c r="AY336" i="27" s="1"/>
  <c r="AY288" i="27"/>
  <c r="AY332" i="27" s="1"/>
  <c r="AY287" i="27"/>
  <c r="AY331" i="27" s="1"/>
  <c r="O354" i="27"/>
  <c r="AI49" i="27"/>
  <c r="O442" i="27"/>
  <c r="O93" i="27"/>
  <c r="AI93" i="27" s="1"/>
  <c r="O266" i="27"/>
  <c r="O222" i="27"/>
  <c r="O59" i="27"/>
  <c r="J282" i="29"/>
  <c r="J284" i="29" s="1"/>
  <c r="R48" i="27"/>
  <c r="AH127" i="10"/>
  <c r="N300" i="29"/>
  <c r="N303" i="29" s="1"/>
  <c r="N316" i="29"/>
  <c r="N319" i="29" s="1"/>
  <c r="AJ104" i="27"/>
  <c r="AJ275" i="27"/>
  <c r="AI9" i="27"/>
  <c r="J322" i="29"/>
  <c r="K136" i="44" s="1"/>
  <c r="O401" i="27"/>
  <c r="O444" i="27" s="1"/>
  <c r="O180" i="27" s="1"/>
  <c r="AI180" i="27" s="1"/>
  <c r="O313" i="27"/>
  <c r="O356" i="27" s="1"/>
  <c r="O138" i="27" s="1"/>
  <c r="AI138" i="27" s="1"/>
  <c r="O268" i="27"/>
  <c r="M311" i="29"/>
  <c r="L317" i="29"/>
  <c r="P223" i="27"/>
  <c r="P443" i="27"/>
  <c r="P94" i="27"/>
  <c r="AJ94" i="27" s="1"/>
  <c r="AJ50" i="27"/>
  <c r="P137" i="27"/>
  <c r="AJ137" i="27" s="1"/>
  <c r="P267" i="27"/>
  <c r="P179" i="27"/>
  <c r="AJ179" i="27" s="1"/>
  <c r="P355" i="27"/>
  <c r="J247" i="29"/>
  <c r="K138" i="44"/>
  <c r="P310" i="27"/>
  <c r="P135" i="27" s="1"/>
  <c r="AJ135" i="27" s="1"/>
  <c r="P398" i="27"/>
  <c r="P177" i="27" s="1"/>
  <c r="AJ177" i="27" s="1"/>
  <c r="O312" i="27"/>
  <c r="O137" i="27" s="1"/>
  <c r="AI137" i="27" s="1"/>
  <c r="O400" i="27"/>
  <c r="O179" i="27" s="1"/>
  <c r="AI179" i="27" s="1"/>
  <c r="I159" i="44"/>
  <c r="AJ297" i="27"/>
  <c r="P224" i="27"/>
  <c r="O314" i="27"/>
  <c r="O357" i="27" s="1"/>
  <c r="O139" i="27" s="1"/>
  <c r="AI139" i="27" s="1"/>
  <c r="O402" i="27"/>
  <c r="O445" i="27" s="1"/>
  <c r="O181" i="27" s="1"/>
  <c r="AI181" i="27" s="1"/>
  <c r="O269" i="27"/>
  <c r="I335" i="29"/>
  <c r="O372" i="27"/>
  <c r="O415" i="27" s="1"/>
  <c r="O151" i="27" s="1"/>
  <c r="AI151" i="27" s="1"/>
  <c r="O284" i="27"/>
  <c r="O327" i="27" s="1"/>
  <c r="O109" i="27" s="1"/>
  <c r="AI109" i="27" s="1"/>
  <c r="O239" i="27"/>
  <c r="AY299" i="27"/>
  <c r="AY343" i="27" s="1"/>
  <c r="AY297" i="27"/>
  <c r="AY341" i="27" s="1"/>
  <c r="AY284" i="27"/>
  <c r="AY328" i="27" s="1"/>
  <c r="AJ231" i="27"/>
  <c r="AI8" i="27"/>
  <c r="S312" i="29"/>
  <c r="R318" i="29"/>
  <c r="J130" i="44"/>
  <c r="J143" i="44" s="1"/>
  <c r="J157" i="44" s="1"/>
  <c r="I349" i="29"/>
  <c r="AJ299" i="27"/>
  <c r="P226" i="27"/>
  <c r="S296" i="29"/>
  <c r="R302" i="29"/>
  <c r="J139" i="44"/>
  <c r="I287" i="29"/>
  <c r="H143" i="44"/>
  <c r="S297" i="29"/>
  <c r="R303" i="29"/>
  <c r="L108" i="44"/>
  <c r="L109" i="44" s="1"/>
  <c r="L103" i="44" s="1"/>
  <c r="L113" i="44"/>
  <c r="K322" i="29" l="1"/>
  <c r="L136" i="44" s="1"/>
  <c r="K306" i="29"/>
  <c r="K333" i="29" s="1"/>
  <c r="AZ300" i="27"/>
  <c r="AZ344" i="27" s="1"/>
  <c r="AZ282" i="27"/>
  <c r="AZ326" i="27" s="1"/>
  <c r="N295" i="29"/>
  <c r="M301" i="29"/>
  <c r="K130" i="44"/>
  <c r="J349" i="29"/>
  <c r="AI60" i="27"/>
  <c r="AZ284" i="27"/>
  <c r="AZ328" i="27" s="1"/>
  <c r="O65" i="27"/>
  <c r="AI65" i="27" s="1"/>
  <c r="P238" i="27"/>
  <c r="P65" i="27" s="1"/>
  <c r="AJ65" i="27" s="1"/>
  <c r="P314" i="27"/>
  <c r="P357" i="27" s="1"/>
  <c r="P139" i="27" s="1"/>
  <c r="AJ139" i="27" s="1"/>
  <c r="P402" i="27"/>
  <c r="P445" i="27" s="1"/>
  <c r="P181" i="27" s="1"/>
  <c r="AJ181" i="27" s="1"/>
  <c r="O96" i="27"/>
  <c r="AI96" i="27" s="1"/>
  <c r="P269" i="27"/>
  <c r="P96" i="27" s="1"/>
  <c r="AJ96" i="27" s="1"/>
  <c r="AJ9" i="27"/>
  <c r="AK275" i="27"/>
  <c r="P372" i="27"/>
  <c r="P415" i="27" s="1"/>
  <c r="P151" i="27" s="1"/>
  <c r="AJ151" i="27" s="1"/>
  <c r="P284" i="27"/>
  <c r="P327" i="27" s="1"/>
  <c r="P109" i="27" s="1"/>
  <c r="AJ109" i="27" s="1"/>
  <c r="T297" i="29"/>
  <c r="S303" i="29"/>
  <c r="T312" i="29"/>
  <c r="S318" i="29"/>
  <c r="R440" i="27"/>
  <c r="R264" i="27"/>
  <c r="R352" i="27"/>
  <c r="AL47" i="27"/>
  <c r="R220" i="27"/>
  <c r="R91" i="27"/>
  <c r="AL91" i="27" s="1"/>
  <c r="R176" i="27"/>
  <c r="AL176" i="27" s="1"/>
  <c r="P316" i="27"/>
  <c r="P359" i="27" s="1"/>
  <c r="P141" i="27" s="1"/>
  <c r="AJ141" i="27" s="1"/>
  <c r="P404" i="27"/>
  <c r="P447" i="27" s="1"/>
  <c r="P183" i="27" s="1"/>
  <c r="AJ183" i="27" s="1"/>
  <c r="O98" i="27"/>
  <c r="AI98" i="27" s="1"/>
  <c r="P271" i="27"/>
  <c r="P98" i="27" s="1"/>
  <c r="AJ98" i="27" s="1"/>
  <c r="P59" i="27"/>
  <c r="P442" i="27"/>
  <c r="P93" i="27"/>
  <c r="AJ93" i="27" s="1"/>
  <c r="P266" i="27"/>
  <c r="P354" i="27"/>
  <c r="AJ49" i="27"/>
  <c r="P222" i="27"/>
  <c r="AZ298" i="27"/>
  <c r="AZ342" i="27" s="1"/>
  <c r="L247" i="29"/>
  <c r="K320" i="29"/>
  <c r="O64" i="27"/>
  <c r="AI64" i="27" s="1"/>
  <c r="P237" i="27"/>
  <c r="P64" i="27" s="1"/>
  <c r="AJ64" i="27" s="1"/>
  <c r="L137" i="29"/>
  <c r="K253" i="29"/>
  <c r="K255" i="29" s="1"/>
  <c r="K258" i="29" s="1"/>
  <c r="K262" i="29"/>
  <c r="K264" i="29" s="1"/>
  <c r="O276" i="27"/>
  <c r="O63" i="27"/>
  <c r="P236" i="27"/>
  <c r="AK231" i="27"/>
  <c r="AJ8" i="27"/>
  <c r="AZ297" i="27"/>
  <c r="AZ341" i="27" s="1"/>
  <c r="I350" i="29"/>
  <c r="J132" i="44"/>
  <c r="R135" i="27"/>
  <c r="AL135" i="27" s="1"/>
  <c r="R221" i="27"/>
  <c r="R265" i="27"/>
  <c r="R441" i="27"/>
  <c r="R353" i="27"/>
  <c r="AL48" i="27"/>
  <c r="R92" i="27"/>
  <c r="AL92" i="27" s="1"/>
  <c r="K282" i="29"/>
  <c r="K284" i="29" s="1"/>
  <c r="L138" i="29"/>
  <c r="K273" i="29"/>
  <c r="K275" i="29" s="1"/>
  <c r="K278" i="29" s="1"/>
  <c r="K247" i="29"/>
  <c r="L138" i="44"/>
  <c r="O452" i="27"/>
  <c r="O148" i="27"/>
  <c r="I351" i="29"/>
  <c r="J134" i="44"/>
  <c r="O364" i="27"/>
  <c r="O106" i="27"/>
  <c r="J267" i="29"/>
  <c r="K140" i="44"/>
  <c r="L299" i="29"/>
  <c r="L302" i="29" s="1"/>
  <c r="L304" i="29" s="1"/>
  <c r="L315" i="29"/>
  <c r="L318" i="29" s="1"/>
  <c r="L320" i="29" s="1"/>
  <c r="P281" i="27"/>
  <c r="P324" i="27" s="1"/>
  <c r="P369" i="27"/>
  <c r="P412" i="27" s="1"/>
  <c r="P371" i="27"/>
  <c r="P414" i="27" s="1"/>
  <c r="P150" i="27" s="1"/>
  <c r="AJ150" i="27" s="1"/>
  <c r="P283" i="27"/>
  <c r="P326" i="27" s="1"/>
  <c r="P108" i="27" s="1"/>
  <c r="AJ108" i="27" s="1"/>
  <c r="P313" i="27"/>
  <c r="P356" i="27" s="1"/>
  <c r="P138" i="27" s="1"/>
  <c r="AJ138" i="27" s="1"/>
  <c r="P401" i="27"/>
  <c r="P444" i="27" s="1"/>
  <c r="P180" i="27" s="1"/>
  <c r="AJ180" i="27" s="1"/>
  <c r="M317" i="29"/>
  <c r="N311" i="29"/>
  <c r="S302" i="29"/>
  <c r="T296" i="29"/>
  <c r="O66" i="27"/>
  <c r="AI66" i="27" s="1"/>
  <c r="P239" i="27"/>
  <c r="P66" i="27" s="1"/>
  <c r="AJ66" i="27" s="1"/>
  <c r="T313" i="29"/>
  <c r="S319" i="29"/>
  <c r="AZ283" i="27"/>
  <c r="AZ327" i="27" s="1"/>
  <c r="O95" i="27"/>
  <c r="AI95" i="27" s="1"/>
  <c r="P268" i="27"/>
  <c r="P95" i="27" s="1"/>
  <c r="AJ95" i="27" s="1"/>
  <c r="P315" i="27"/>
  <c r="P358" i="27" s="1"/>
  <c r="P140" i="27" s="1"/>
  <c r="AJ140" i="27" s="1"/>
  <c r="P403" i="27"/>
  <c r="P446" i="27" s="1"/>
  <c r="P182" i="27" s="1"/>
  <c r="AJ182" i="27" s="1"/>
  <c r="P400" i="27"/>
  <c r="P312" i="27"/>
  <c r="O399" i="27"/>
  <c r="O178" i="27" s="1"/>
  <c r="AI178" i="27" s="1"/>
  <c r="O311" i="27"/>
  <c r="O136" i="27" s="1"/>
  <c r="AI136" i="27" s="1"/>
  <c r="O97" i="27"/>
  <c r="AI97" i="27" s="1"/>
  <c r="P270" i="27"/>
  <c r="P97" i="27" s="1"/>
  <c r="AJ97" i="27" s="1"/>
  <c r="AZ299" i="27"/>
  <c r="AZ343" i="27" s="1"/>
  <c r="J334" i="29"/>
  <c r="J333" i="29"/>
  <c r="Q137" i="27"/>
  <c r="AK137" i="27" s="1"/>
  <c r="Q94" i="27"/>
  <c r="AK94" i="27" s="1"/>
  <c r="Q355" i="27"/>
  <c r="Q443" i="27"/>
  <c r="AK50" i="27"/>
  <c r="Q267" i="27"/>
  <c r="Q223" i="27"/>
  <c r="Q179" i="27"/>
  <c r="AK179" i="27" s="1"/>
  <c r="AK104" i="27"/>
  <c r="O316" i="29"/>
  <c r="O319" i="29" s="1"/>
  <c r="O300" i="29"/>
  <c r="O303" i="29" s="1"/>
  <c r="AK59" i="27"/>
  <c r="O185" i="29" s="1"/>
  <c r="N298" i="29"/>
  <c r="N113" i="29"/>
  <c r="N205" i="29"/>
  <c r="N195" i="29"/>
  <c r="N314" i="29"/>
  <c r="K139" i="44"/>
  <c r="J287" i="29"/>
  <c r="M114" i="29"/>
  <c r="N107" i="44"/>
  <c r="AH129" i="10"/>
  <c r="R50" i="27"/>
  <c r="Q49" i="27"/>
  <c r="AG128" i="10"/>
  <c r="L115" i="44"/>
  <c r="Q310" i="27"/>
  <c r="Q135" i="27" s="1"/>
  <c r="AK135" i="27" s="1"/>
  <c r="Q398" i="27"/>
  <c r="Q177" i="27" s="1"/>
  <c r="AK177" i="27" s="1"/>
  <c r="M113" i="44"/>
  <c r="M115" i="44" s="1"/>
  <c r="M108" i="44"/>
  <c r="M109" i="44" s="1"/>
  <c r="M103" i="44" s="1"/>
  <c r="P370" i="27"/>
  <c r="P413" i="27" s="1"/>
  <c r="P149" i="27" s="1"/>
  <c r="AJ149" i="27" s="1"/>
  <c r="P282" i="27"/>
  <c r="P325" i="27" s="1"/>
  <c r="P107" i="27" s="1"/>
  <c r="AJ107" i="27" s="1"/>
  <c r="Q309" i="27"/>
  <c r="Q397" i="27"/>
  <c r="AJ6" i="27"/>
  <c r="AJ325" i="27"/>
  <c r="AJ7" i="27"/>
  <c r="AZ296" i="27"/>
  <c r="AZ340" i="27" s="1"/>
  <c r="AJ303" i="27"/>
  <c r="AZ281" i="27"/>
  <c r="AZ325" i="27" s="1"/>
  <c r="AZ295" i="27"/>
  <c r="AZ339" i="27" s="1"/>
  <c r="AZ288" i="27"/>
  <c r="AZ332" i="27" s="1"/>
  <c r="AZ294" i="27"/>
  <c r="AZ338" i="27" s="1"/>
  <c r="AZ289" i="27"/>
  <c r="AZ333" i="27" s="1"/>
  <c r="AZ286" i="27"/>
  <c r="AZ330" i="27" s="1"/>
  <c r="AZ290" i="27"/>
  <c r="AZ334" i="27" s="1"/>
  <c r="AZ285" i="27"/>
  <c r="AZ329" i="27" s="1"/>
  <c r="AZ292" i="27"/>
  <c r="AZ336" i="27" s="1"/>
  <c r="AZ293" i="27"/>
  <c r="AZ337" i="27" s="1"/>
  <c r="AZ291" i="27"/>
  <c r="AZ335" i="27" s="1"/>
  <c r="AZ287" i="27"/>
  <c r="AZ331" i="27" s="1"/>
  <c r="L233" i="29"/>
  <c r="L235" i="29" s="1"/>
  <c r="L238" i="29" s="1"/>
  <c r="K334" i="29" l="1"/>
  <c r="K335" i="29"/>
  <c r="L306" i="29"/>
  <c r="L333" i="29" s="1"/>
  <c r="O205" i="29"/>
  <c r="O195" i="29"/>
  <c r="O314" i="29"/>
  <c r="O298" i="29"/>
  <c r="O113" i="29"/>
  <c r="U296" i="29"/>
  <c r="T302" i="29"/>
  <c r="P452" i="27"/>
  <c r="P148" i="27"/>
  <c r="AI148" i="27"/>
  <c r="AI156" i="27" a="1"/>
  <c r="AI156" i="27" s="1"/>
  <c r="AI155" i="27" a="1"/>
  <c r="AI155" i="27" s="1"/>
  <c r="AI154" i="27" a="1"/>
  <c r="AI154" i="27" s="1"/>
  <c r="AI157" i="27" a="1"/>
  <c r="AI157" i="27" s="1"/>
  <c r="M299" i="29"/>
  <c r="M302" i="29" s="1"/>
  <c r="M304" i="29" s="1"/>
  <c r="M315" i="29"/>
  <c r="M318" i="29" s="1"/>
  <c r="M320" i="29" s="1"/>
  <c r="R398" i="27"/>
  <c r="R177" i="27" s="1"/>
  <c r="AL177" i="27" s="1"/>
  <c r="R310" i="27"/>
  <c r="M138" i="44"/>
  <c r="U312" i="29"/>
  <c r="T318" i="29"/>
  <c r="N113" i="44"/>
  <c r="N108" i="44"/>
  <c r="N109" i="44" s="1"/>
  <c r="N103" i="44" s="1"/>
  <c r="L130" i="44"/>
  <c r="L143" i="44" s="1"/>
  <c r="L157" i="44" s="1"/>
  <c r="K349" i="29"/>
  <c r="M130" i="44"/>
  <c r="K143" i="44"/>
  <c r="R137" i="27"/>
  <c r="AL137" i="27" s="1"/>
  <c r="R94" i="27"/>
  <c r="AL94" i="27" s="1"/>
  <c r="R443" i="27"/>
  <c r="R267" i="27"/>
  <c r="R355" i="27"/>
  <c r="AL50" i="27"/>
  <c r="R223" i="27"/>
  <c r="R179" i="27"/>
  <c r="AL179" i="27" s="1"/>
  <c r="P364" i="27"/>
  <c r="P106" i="27"/>
  <c r="L322" i="29"/>
  <c r="M136" i="44" s="1"/>
  <c r="P276" i="27"/>
  <c r="P63" i="27"/>
  <c r="P4" i="27" s="1"/>
  <c r="U297" i="29"/>
  <c r="T303" i="29"/>
  <c r="Q400" i="27"/>
  <c r="Q312" i="27"/>
  <c r="R49" i="27"/>
  <c r="R59" i="27" s="1"/>
  <c r="AH128" i="10"/>
  <c r="K132" i="44"/>
  <c r="K144" i="44" s="1"/>
  <c r="K158" i="44" s="1"/>
  <c r="J350" i="29"/>
  <c r="M138" i="29"/>
  <c r="L273" i="29"/>
  <c r="L275" i="29" s="1"/>
  <c r="L278" i="29" s="1"/>
  <c r="L282" i="29"/>
  <c r="L284" i="29" s="1"/>
  <c r="AI63" i="27"/>
  <c r="AI72" i="27" a="1"/>
  <c r="AI72" i="27" s="1"/>
  <c r="AI69" i="27" a="1"/>
  <c r="AI69" i="27" s="1"/>
  <c r="AI70" i="27" a="1"/>
  <c r="AI70" i="27" s="1"/>
  <c r="AI71" i="27" a="1"/>
  <c r="AI71" i="27" s="1"/>
  <c r="Q59" i="27"/>
  <c r="Q442" i="27"/>
  <c r="Q452" i="27" s="1"/>
  <c r="Q266" i="27"/>
  <c r="Q276" i="27" s="1"/>
  <c r="Q222" i="27"/>
  <c r="Q93" i="27"/>
  <c r="AK93" i="27" s="1"/>
  <c r="Q178" i="27"/>
  <c r="AK178" i="27" s="1"/>
  <c r="Q354" i="27"/>
  <c r="Q364" i="27" s="1"/>
  <c r="AK49" i="27"/>
  <c r="Q136" i="27"/>
  <c r="AK136" i="27" s="1"/>
  <c r="S50" i="27"/>
  <c r="AI129" i="10"/>
  <c r="K287" i="29"/>
  <c r="L139" i="44"/>
  <c r="O278" i="27"/>
  <c r="M184" i="29"/>
  <c r="M187" i="29" s="1"/>
  <c r="P399" i="27"/>
  <c r="P178" i="27" s="1"/>
  <c r="AJ178" i="27" s="1"/>
  <c r="P311" i="27"/>
  <c r="P136" i="27" s="1"/>
  <c r="AJ136" i="27" s="1"/>
  <c r="O454" i="27"/>
  <c r="M204" i="29"/>
  <c r="M207" i="29" s="1"/>
  <c r="O311" i="29"/>
  <c r="N317" i="29"/>
  <c r="K134" i="44"/>
  <c r="K145" i="44" s="1"/>
  <c r="K159" i="44" s="1"/>
  <c r="J351" i="29"/>
  <c r="J144" i="44"/>
  <c r="T319" i="29"/>
  <c r="U313" i="29"/>
  <c r="M322" i="29"/>
  <c r="N136" i="44" s="1"/>
  <c r="AI106" i="27"/>
  <c r="AI115" i="27" a="1"/>
  <c r="AI115" i="27" s="1"/>
  <c r="AI112" i="27" a="1"/>
  <c r="AI112" i="27" s="1"/>
  <c r="AI113" i="27" a="1"/>
  <c r="AI113" i="27" s="1"/>
  <c r="AI114" i="27" a="1"/>
  <c r="AI114" i="27" s="1"/>
  <c r="AJ60" i="27"/>
  <c r="AL275" i="27"/>
  <c r="AK9" i="27"/>
  <c r="O107" i="44"/>
  <c r="N114" i="29"/>
  <c r="O366" i="27"/>
  <c r="M194" i="29"/>
  <c r="M197" i="29" s="1"/>
  <c r="K267" i="29"/>
  <c r="L140" i="44"/>
  <c r="R309" i="27"/>
  <c r="R134" i="27" s="1"/>
  <c r="AL134" i="27" s="1"/>
  <c r="R397" i="27"/>
  <c r="M306" i="29"/>
  <c r="O4" i="27"/>
  <c r="AL104" i="27"/>
  <c r="P300" i="29"/>
  <c r="P303" i="29" s="1"/>
  <c r="P316" i="29"/>
  <c r="P319" i="29" s="1"/>
  <c r="AL59" i="27"/>
  <c r="P185" i="29" s="1"/>
  <c r="N301" i="29"/>
  <c r="O295" i="29"/>
  <c r="J145" i="44"/>
  <c r="AK8" i="27"/>
  <c r="AL231" i="27"/>
  <c r="M137" i="29"/>
  <c r="L253" i="29"/>
  <c r="L255" i="29" s="1"/>
  <c r="L258" i="29" s="1"/>
  <c r="L335" i="29" s="1"/>
  <c r="L262" i="29"/>
  <c r="L264" i="29" s="1"/>
  <c r="L334" i="29" l="1"/>
  <c r="L267" i="29"/>
  <c r="M140" i="44"/>
  <c r="O317" i="29"/>
  <c r="P311" i="29"/>
  <c r="AM231" i="27"/>
  <c r="AM8" i="27" s="1"/>
  <c r="AL8" i="27"/>
  <c r="N315" i="29"/>
  <c r="N318" i="29" s="1"/>
  <c r="N320" i="29" s="1"/>
  <c r="N299" i="29"/>
  <c r="N302" i="29" s="1"/>
  <c r="N304" i="29" s="1"/>
  <c r="L287" i="29"/>
  <c r="M139" i="44"/>
  <c r="P278" i="27"/>
  <c r="N184" i="29"/>
  <c r="N187" i="29" s="1"/>
  <c r="U318" i="29"/>
  <c r="V312" i="29"/>
  <c r="V318" i="29" s="1"/>
  <c r="AJ148" i="27"/>
  <c r="AJ157" i="27" a="1"/>
  <c r="AJ157" i="27" s="1"/>
  <c r="AJ155" i="27" a="1"/>
  <c r="AJ155" i="27" s="1"/>
  <c r="AJ154" i="27" a="1"/>
  <c r="AJ154" i="27" s="1"/>
  <c r="AJ156" i="27" a="1"/>
  <c r="AJ156" i="27" s="1"/>
  <c r="J158" i="44"/>
  <c r="Q311" i="27"/>
  <c r="Q399" i="27"/>
  <c r="N204" i="29"/>
  <c r="N207" i="29" s="1"/>
  <c r="P454" i="27"/>
  <c r="J159" i="44"/>
  <c r="Q278" i="27"/>
  <c r="O184" i="29"/>
  <c r="O187" i="29" s="1"/>
  <c r="N138" i="29"/>
  <c r="M273" i="29"/>
  <c r="M275" i="29" s="1"/>
  <c r="M278" i="29" s="1"/>
  <c r="M334" i="29" s="1"/>
  <c r="M282" i="29"/>
  <c r="M284" i="29" s="1"/>
  <c r="K157" i="44"/>
  <c r="AI128" i="10"/>
  <c r="S49" i="27"/>
  <c r="O108" i="44"/>
  <c r="O109" i="44" s="1"/>
  <c r="O103" i="44" s="1"/>
  <c r="O113" i="44"/>
  <c r="O115" i="44" s="1"/>
  <c r="AI3" i="27"/>
  <c r="AI146" i="27" a="1"/>
  <c r="AI146" i="27" s="1"/>
  <c r="AL9" i="27"/>
  <c r="AM275" i="27"/>
  <c r="AM9" i="27" s="1"/>
  <c r="AK70" i="27" a="1"/>
  <c r="AK70" i="27" s="1"/>
  <c r="AK103" i="27" a="1"/>
  <c r="AK103" i="27" s="1"/>
  <c r="AK146" i="27" a="1"/>
  <c r="AK146" i="27" s="1"/>
  <c r="AK60" i="27"/>
  <c r="AK71" i="27" s="1" a="1"/>
  <c r="AK71" i="27" s="1"/>
  <c r="AK112" i="27" a="1"/>
  <c r="AK112" i="27" s="1"/>
  <c r="AK113" i="27" a="1"/>
  <c r="AK113" i="27" s="1"/>
  <c r="AK155" i="27" a="1"/>
  <c r="AK155" i="27" s="1"/>
  <c r="AK69" i="27" a="1"/>
  <c r="AK69" i="27" s="1"/>
  <c r="AK154" i="27" a="1"/>
  <c r="AK154" i="27" s="1"/>
  <c r="N137" i="29"/>
  <c r="M139" i="29"/>
  <c r="M253" i="29"/>
  <c r="M255" i="29" s="1"/>
  <c r="M258" i="29" s="1"/>
  <c r="M335" i="29" s="1"/>
  <c r="M262" i="29"/>
  <c r="M264" i="29" s="1"/>
  <c r="L134" i="44"/>
  <c r="L145" i="44" s="1"/>
  <c r="L159" i="44" s="1"/>
  <c r="K351" i="29"/>
  <c r="Q454" i="27"/>
  <c r="O204" i="29"/>
  <c r="O207" i="29" s="1"/>
  <c r="AJ106" i="27"/>
  <c r="AJ115" i="27" a="1"/>
  <c r="AJ115" i="27" s="1"/>
  <c r="AJ113" i="27" a="1"/>
  <c r="AJ113" i="27" s="1"/>
  <c r="AJ112" i="27" a="1"/>
  <c r="AJ112" i="27" s="1"/>
  <c r="AJ114" i="27" a="1"/>
  <c r="AJ114" i="27" s="1"/>
  <c r="L349" i="29"/>
  <c r="V296" i="29"/>
  <c r="V302" i="29" s="1"/>
  <c r="U302" i="29"/>
  <c r="Q4" i="27"/>
  <c r="N194" i="29"/>
  <c r="N197" i="29" s="1"/>
  <c r="P366" i="27"/>
  <c r="M143" i="44"/>
  <c r="M157" i="44" s="1"/>
  <c r="P107" i="44"/>
  <c r="O114" i="29"/>
  <c r="L132" i="44"/>
  <c r="K350" i="29"/>
  <c r="P295" i="29"/>
  <c r="O301" i="29"/>
  <c r="R266" i="27"/>
  <c r="R276" i="27" s="1"/>
  <c r="R354" i="27"/>
  <c r="R364" i="27" s="1"/>
  <c r="R178" i="27"/>
  <c r="AL178" i="27" s="1"/>
  <c r="R222" i="27"/>
  <c r="R93" i="27"/>
  <c r="AL93" i="27" s="1"/>
  <c r="R136" i="27"/>
  <c r="AL136" i="27" s="1"/>
  <c r="R442" i="27"/>
  <c r="R452" i="27" s="1"/>
  <c r="AL49" i="27"/>
  <c r="AL155" i="27" s="1" a="1"/>
  <c r="AL155" i="27" s="1"/>
  <c r="R312" i="27"/>
  <c r="R400" i="27"/>
  <c r="S443" i="27"/>
  <c r="S267" i="27"/>
  <c r="AM50" i="27"/>
  <c r="S355" i="27"/>
  <c r="S223" i="27"/>
  <c r="S179" i="27"/>
  <c r="AM179" i="27" s="1"/>
  <c r="S94" i="27"/>
  <c r="AM94" i="27" s="1"/>
  <c r="S137" i="27"/>
  <c r="AM137" i="27" s="1"/>
  <c r="P314" i="29"/>
  <c r="P298" i="29"/>
  <c r="P113" i="29"/>
  <c r="P205" i="29"/>
  <c r="P195" i="29"/>
  <c r="N115" i="44"/>
  <c r="U319" i="29"/>
  <c r="V313" i="29"/>
  <c r="V319" i="29" s="1"/>
  <c r="O194" i="29"/>
  <c r="O197" i="29" s="1"/>
  <c r="Q366" i="27"/>
  <c r="AI2" i="27"/>
  <c r="AI103" i="27" a="1"/>
  <c r="AI103" i="27" s="1"/>
  <c r="V297" i="29"/>
  <c r="V303" i="29" s="1"/>
  <c r="U303" i="29"/>
  <c r="AJ63" i="27"/>
  <c r="AJ72" i="27" a="1"/>
  <c r="AJ72" i="27" s="1"/>
  <c r="AJ69" i="27" a="1"/>
  <c r="AJ69" i="27" s="1"/>
  <c r="AJ71" i="27" a="1"/>
  <c r="AJ71" i="27" s="1"/>
  <c r="AJ70" i="27" a="1"/>
  <c r="AJ70" i="27" s="1"/>
  <c r="AI4" i="27"/>
  <c r="AI188" i="27" a="1"/>
  <c r="AI188" i="27" s="1"/>
  <c r="AK114" i="27" l="1" a="1"/>
  <c r="AK114" i="27" s="1"/>
  <c r="AK156" i="27" a="1"/>
  <c r="AK156" i="27" s="1"/>
  <c r="AL69" i="27" a="1"/>
  <c r="AL69" i="27" s="1"/>
  <c r="O137" i="29"/>
  <c r="N139" i="29"/>
  <c r="N253" i="29"/>
  <c r="N255" i="29" s="1"/>
  <c r="N258" i="29" s="1"/>
  <c r="N262" i="29"/>
  <c r="N264" i="29" s="1"/>
  <c r="L144" i="44"/>
  <c r="M287" i="29"/>
  <c r="N139" i="44"/>
  <c r="S400" i="27"/>
  <c r="S312" i="27"/>
  <c r="R399" i="27"/>
  <c r="R311" i="27"/>
  <c r="P113" i="44"/>
  <c r="P115" i="44" s="1"/>
  <c r="P108" i="44"/>
  <c r="P109" i="44" s="1"/>
  <c r="P103" i="44" s="1"/>
  <c r="AJ3" i="27"/>
  <c r="AJ146" i="27" a="1"/>
  <c r="AJ146" i="27" s="1"/>
  <c r="AJ188" i="27" a="1"/>
  <c r="AJ188" i="27" s="1"/>
  <c r="AJ4" i="27"/>
  <c r="E19" i="44"/>
  <c r="O138" i="29"/>
  <c r="N282" i="29"/>
  <c r="N284" i="29" s="1"/>
  <c r="N273" i="29"/>
  <c r="N275" i="29" s="1"/>
  <c r="N278" i="29" s="1"/>
  <c r="Q295" i="29"/>
  <c r="R366" i="27"/>
  <c r="P194" i="29"/>
  <c r="P197" i="29" s="1"/>
  <c r="Q311" i="29"/>
  <c r="R278" i="27"/>
  <c r="P184" i="29"/>
  <c r="P187" i="29" s="1"/>
  <c r="S178" i="27"/>
  <c r="AM178" i="27" s="1"/>
  <c r="S136" i="27"/>
  <c r="AM136" i="27" s="1"/>
  <c r="AM49" i="27"/>
  <c r="S222" i="27"/>
  <c r="S93" i="27"/>
  <c r="AM93" i="27" s="1"/>
  <c r="S442" i="27"/>
  <c r="S266" i="27"/>
  <c r="S354" i="27"/>
  <c r="AJ2" i="27"/>
  <c r="AJ103" i="27" a="1"/>
  <c r="AJ103" i="27" s="1"/>
  <c r="AL70" i="27" a="1"/>
  <c r="AL70" i="27" s="1"/>
  <c r="AL103" i="27" a="1"/>
  <c r="AL103" i="27" s="1"/>
  <c r="AL146" i="27" a="1"/>
  <c r="AL146" i="27" s="1"/>
  <c r="AL60" i="27"/>
  <c r="AL157" i="27" s="1" a="1"/>
  <c r="AL157" i="27" s="1"/>
  <c r="AL112" i="27" a="1"/>
  <c r="AL112" i="27" s="1"/>
  <c r="AL154" i="27" a="1"/>
  <c r="AL154" i="27" s="1"/>
  <c r="AL113" i="27" a="1"/>
  <c r="AL113" i="27" s="1"/>
  <c r="P114" i="29"/>
  <c r="Q107" i="44"/>
  <c r="N322" i="29"/>
  <c r="O136" i="44" s="1"/>
  <c r="N140" i="44"/>
  <c r="M267" i="29"/>
  <c r="AK115" i="27" a="1"/>
  <c r="AK115" i="27" s="1"/>
  <c r="AK3" i="27" s="1"/>
  <c r="O299" i="29"/>
  <c r="O302" i="29" s="1"/>
  <c r="O304" i="29" s="1"/>
  <c r="O315" i="29"/>
  <c r="O318" i="29" s="1"/>
  <c r="O320" i="29" s="1"/>
  <c r="AK157" i="27" a="1"/>
  <c r="AK157" i="27" s="1"/>
  <c r="AK72" i="27" a="1"/>
  <c r="AK72" i="27" s="1"/>
  <c r="AK2" i="27" s="1"/>
  <c r="M134" i="44"/>
  <c r="M145" i="44" s="1"/>
  <c r="L351" i="29"/>
  <c r="P204" i="29"/>
  <c r="P207" i="29" s="1"/>
  <c r="R454" i="27"/>
  <c r="M132" i="44"/>
  <c r="M144" i="44" s="1"/>
  <c r="M158" i="44" s="1"/>
  <c r="L350" i="29"/>
  <c r="N306" i="29"/>
  <c r="M233" i="29"/>
  <c r="M235" i="29" s="1"/>
  <c r="M238" i="29" s="1"/>
  <c r="M333" i="29" s="1"/>
  <c r="M242" i="29"/>
  <c r="M244" i="29" s="1"/>
  <c r="R4" i="27"/>
  <c r="AK188" i="27" l="1" a="1"/>
  <c r="AK188" i="27" s="1"/>
  <c r="O306" i="29"/>
  <c r="P138" i="29"/>
  <c r="O273" i="29"/>
  <c r="O275" i="29" s="1"/>
  <c r="O278" i="29" s="1"/>
  <c r="O282" i="29"/>
  <c r="O284" i="29" s="1"/>
  <c r="M159" i="44"/>
  <c r="E21" i="44"/>
  <c r="R311" i="29"/>
  <c r="M247" i="29"/>
  <c r="N138" i="44"/>
  <c r="M350" i="29"/>
  <c r="N132" i="44"/>
  <c r="N144" i="44" s="1"/>
  <c r="S311" i="27"/>
  <c r="S399" i="27"/>
  <c r="AL114" i="27" a="1"/>
  <c r="AL114" i="27" s="1"/>
  <c r="P299" i="29"/>
  <c r="P302" i="29" s="1"/>
  <c r="P315" i="29"/>
  <c r="P318" i="29" s="1"/>
  <c r="AL115" i="27" a="1"/>
  <c r="AL115" i="27" s="1"/>
  <c r="AL156" i="27" a="1"/>
  <c r="AL156" i="27" s="1"/>
  <c r="AL188" i="27" s="1" a="1"/>
  <c r="AL188" i="27" s="1"/>
  <c r="AL71" i="27" a="1"/>
  <c r="AL71" i="27" s="1"/>
  <c r="AL72" i="27" a="1"/>
  <c r="AL72" i="27" s="1"/>
  <c r="AL2" i="27" s="1"/>
  <c r="L158" i="44"/>
  <c r="E20" i="44"/>
  <c r="N267" i="29"/>
  <c r="O140" i="44"/>
  <c r="N134" i="44"/>
  <c r="N145" i="44" s="1"/>
  <c r="M351" i="29"/>
  <c r="N335" i="29"/>
  <c r="R295" i="29"/>
  <c r="N242" i="29"/>
  <c r="N244" i="29" s="1"/>
  <c r="N233" i="29"/>
  <c r="N235" i="29" s="1"/>
  <c r="N238" i="29" s="1"/>
  <c r="N333" i="29" s="1"/>
  <c r="P137" i="29"/>
  <c r="O139" i="29"/>
  <c r="O253" i="29"/>
  <c r="O255" i="29" s="1"/>
  <c r="O258" i="29" s="1"/>
  <c r="O262" i="29"/>
  <c r="O264" i="29" s="1"/>
  <c r="N334" i="29"/>
  <c r="AK4" i="27"/>
  <c r="S48" i="27"/>
  <c r="AI127" i="10"/>
  <c r="Q108" i="44"/>
  <c r="Q109" i="44" s="1"/>
  <c r="Q103" i="44" s="1"/>
  <c r="Q113" i="44"/>
  <c r="Q115" i="44" s="1"/>
  <c r="O322" i="29"/>
  <c r="P136" i="44" s="1"/>
  <c r="N287" i="29"/>
  <c r="O139" i="44"/>
  <c r="O335" i="29" l="1"/>
  <c r="O334" i="29"/>
  <c r="AL4" i="27"/>
  <c r="AI132" i="10"/>
  <c r="S53" i="27"/>
  <c r="O233" i="29"/>
  <c r="O235" i="29" s="1"/>
  <c r="O238" i="29" s="1"/>
  <c r="O333" i="29" s="1"/>
  <c r="O242" i="29"/>
  <c r="O244" i="29" s="1"/>
  <c r="O134" i="44"/>
  <c r="O145" i="44" s="1"/>
  <c r="N351" i="29"/>
  <c r="P139" i="29"/>
  <c r="Q137" i="29"/>
  <c r="P262" i="29"/>
  <c r="P264" i="29" s="1"/>
  <c r="P253" i="29"/>
  <c r="P255" i="29" s="1"/>
  <c r="P258" i="29" s="1"/>
  <c r="R317" i="29"/>
  <c r="S311" i="29"/>
  <c r="AI135" i="10"/>
  <c r="S56" i="27"/>
  <c r="O132" i="44"/>
  <c r="O144" i="44" s="1"/>
  <c r="N350" i="29"/>
  <c r="N158" i="44"/>
  <c r="S25" i="27"/>
  <c r="AI104" i="10"/>
  <c r="N247" i="29"/>
  <c r="O138" i="44"/>
  <c r="S27" i="27"/>
  <c r="AI106" i="10"/>
  <c r="AI137" i="10"/>
  <c r="S58" i="27"/>
  <c r="S44" i="27"/>
  <c r="AI123" i="10"/>
  <c r="S54" i="27"/>
  <c r="AI133" i="10"/>
  <c r="S52" i="27"/>
  <c r="AI131" i="10"/>
  <c r="S135" i="27"/>
  <c r="AM135" i="27" s="1"/>
  <c r="S265" i="27"/>
  <c r="S441" i="27"/>
  <c r="S353" i="27"/>
  <c r="S177" i="27"/>
  <c r="AM177" i="27" s="1"/>
  <c r="S92" i="27"/>
  <c r="AM92" i="27" s="1"/>
  <c r="S221" i="27"/>
  <c r="AM48" i="27"/>
  <c r="S295" i="29"/>
  <c r="R301" i="29"/>
  <c r="O287" i="29"/>
  <c r="P139" i="44"/>
  <c r="S55" i="27"/>
  <c r="AI134" i="10"/>
  <c r="AL3" i="27"/>
  <c r="M349" i="29"/>
  <c r="N130" i="44"/>
  <c r="N143" i="44" s="1"/>
  <c r="AI121" i="10"/>
  <c r="S42" i="27"/>
  <c r="AI130" i="10"/>
  <c r="S51" i="27"/>
  <c r="P320" i="29"/>
  <c r="P322" i="29"/>
  <c r="Q136" i="44" s="1"/>
  <c r="Q138" i="29"/>
  <c r="P273" i="29"/>
  <c r="P275" i="29" s="1"/>
  <c r="P278" i="29" s="1"/>
  <c r="P282" i="29"/>
  <c r="P284" i="29" s="1"/>
  <c r="S47" i="27"/>
  <c r="AI126" i="10"/>
  <c r="S57" i="27"/>
  <c r="AI136" i="10"/>
  <c r="O267" i="29"/>
  <c r="P140" i="44"/>
  <c r="N159" i="44"/>
  <c r="P304" i="29"/>
  <c r="P306" i="29"/>
  <c r="S215" i="27" l="1"/>
  <c r="AM42" i="27"/>
  <c r="AM292" i="27" s="1"/>
  <c r="S171" i="27"/>
  <c r="AM171" i="27" s="1"/>
  <c r="S435" i="27"/>
  <c r="S129" i="27"/>
  <c r="AM129" i="27" s="1"/>
  <c r="S259" i="27"/>
  <c r="S347" i="27"/>
  <c r="S86" i="27"/>
  <c r="AM86" i="27" s="1"/>
  <c r="S269" i="27"/>
  <c r="S357" i="27"/>
  <c r="S96" i="27"/>
  <c r="AM96" i="27" s="1"/>
  <c r="S181" i="27"/>
  <c r="AM181" i="27" s="1"/>
  <c r="S139" i="27"/>
  <c r="AM139" i="27" s="1"/>
  <c r="S445" i="27"/>
  <c r="AM52" i="27"/>
  <c r="AM298" i="27" s="1"/>
  <c r="S225" i="27"/>
  <c r="T311" i="29"/>
  <c r="S317" i="29"/>
  <c r="S21" i="27"/>
  <c r="AI100" i="10"/>
  <c r="R306" i="29"/>
  <c r="R304" i="29"/>
  <c r="AM25" i="27"/>
  <c r="AM285" i="27" s="1"/>
  <c r="S418" i="27"/>
  <c r="S242" i="27"/>
  <c r="S69" i="27"/>
  <c r="S330" i="27"/>
  <c r="S198" i="27"/>
  <c r="S112" i="27"/>
  <c r="S154" i="27"/>
  <c r="R322" i="29"/>
  <c r="S136" i="44" s="1"/>
  <c r="R320" i="29"/>
  <c r="S450" i="27"/>
  <c r="S274" i="27"/>
  <c r="AM57" i="27"/>
  <c r="S362" i="27"/>
  <c r="S230" i="27"/>
  <c r="S186" i="27"/>
  <c r="AM186" i="27" s="1"/>
  <c r="S101" i="27"/>
  <c r="AM101" i="27" s="1"/>
  <c r="S144" i="27"/>
  <c r="AM144" i="27" s="1"/>
  <c r="T295" i="29"/>
  <c r="S301" i="29"/>
  <c r="S183" i="27"/>
  <c r="AM183" i="27" s="1"/>
  <c r="S447" i="27"/>
  <c r="S271" i="27"/>
  <c r="S359" i="27"/>
  <c r="S227" i="27"/>
  <c r="AM54" i="27"/>
  <c r="AM300" i="27" s="1"/>
  <c r="S98" i="27"/>
  <c r="AM98" i="27" s="1"/>
  <c r="S141" i="27"/>
  <c r="AM141" i="27" s="1"/>
  <c r="P335" i="29"/>
  <c r="N157" i="44"/>
  <c r="P267" i="29"/>
  <c r="Q140" i="44"/>
  <c r="AI117" i="10"/>
  <c r="S38" i="27"/>
  <c r="S264" i="27"/>
  <c r="S352" i="27"/>
  <c r="S220" i="27"/>
  <c r="AM47" i="27"/>
  <c r="S176" i="27"/>
  <c r="AM176" i="27" s="1"/>
  <c r="S440" i="27"/>
  <c r="S134" i="27"/>
  <c r="AM134" i="27" s="1"/>
  <c r="S91" i="27"/>
  <c r="AM91" i="27" s="1"/>
  <c r="S310" i="27"/>
  <c r="S398" i="27"/>
  <c r="S217" i="27"/>
  <c r="S88" i="27"/>
  <c r="AM88" i="27" s="1"/>
  <c r="S131" i="27"/>
  <c r="AM131" i="27" s="1"/>
  <c r="S173" i="27"/>
  <c r="AM173" i="27" s="1"/>
  <c r="S437" i="27"/>
  <c r="AM44" i="27"/>
  <c r="AM294" i="27" s="1"/>
  <c r="S261" i="27"/>
  <c r="S349" i="27"/>
  <c r="R137" i="29"/>
  <c r="Q139" i="29"/>
  <c r="Q253" i="29"/>
  <c r="Q255" i="29" s="1"/>
  <c r="Q258" i="29" s="1"/>
  <c r="Q262" i="29"/>
  <c r="Q264" i="29" s="1"/>
  <c r="S22" i="27"/>
  <c r="AI101" i="10"/>
  <c r="P287" i="29"/>
  <c r="Q139" i="44"/>
  <c r="S451" i="27"/>
  <c r="S145" i="27"/>
  <c r="AM145" i="27" s="1"/>
  <c r="S231" i="27"/>
  <c r="AM58" i="27"/>
  <c r="S187" i="27"/>
  <c r="AM187" i="27" s="1"/>
  <c r="S275" i="27"/>
  <c r="S363" i="27"/>
  <c r="S102" i="27"/>
  <c r="AM102" i="27" s="1"/>
  <c r="P242" i="29"/>
  <c r="P244" i="29" s="1"/>
  <c r="P233" i="29"/>
  <c r="P235" i="29" s="1"/>
  <c r="P238" i="29" s="1"/>
  <c r="P333" i="29" s="1"/>
  <c r="AI107" i="10"/>
  <c r="S28" i="27"/>
  <c r="O158" i="44"/>
  <c r="P334" i="29"/>
  <c r="R138" i="29"/>
  <c r="Q273" i="29"/>
  <c r="Q275" i="29" s="1"/>
  <c r="Q278" i="29" s="1"/>
  <c r="Q282" i="29"/>
  <c r="Q284" i="29" s="1"/>
  <c r="S448" i="27"/>
  <c r="S228" i="27"/>
  <c r="S272" i="27"/>
  <c r="S99" i="27"/>
  <c r="AM99" i="27" s="1"/>
  <c r="S360" i="27"/>
  <c r="S184" i="27"/>
  <c r="AM184" i="27" s="1"/>
  <c r="AM55" i="27"/>
  <c r="S142" i="27"/>
  <c r="AM142" i="27" s="1"/>
  <c r="S185" i="27"/>
  <c r="AM185" i="27" s="1"/>
  <c r="S449" i="27"/>
  <c r="S361" i="27"/>
  <c r="S273" i="27"/>
  <c r="S100" i="27"/>
  <c r="AM100" i="27" s="1"/>
  <c r="S229" i="27"/>
  <c r="AM56" i="27"/>
  <c r="S143" i="27"/>
  <c r="AM143" i="27" s="1"/>
  <c r="O159" i="44"/>
  <c r="P134" i="44"/>
  <c r="P145" i="44" s="1"/>
  <c r="O351" i="29"/>
  <c r="S41" i="27"/>
  <c r="AI120" i="10"/>
  <c r="AI99" i="10"/>
  <c r="S20" i="27"/>
  <c r="AM27" i="27"/>
  <c r="S156" i="27"/>
  <c r="S71" i="27"/>
  <c r="S420" i="27"/>
  <c r="S244" i="27"/>
  <c r="S332" i="27"/>
  <c r="S200" i="27"/>
  <c r="S114" i="27"/>
  <c r="O247" i="29"/>
  <c r="P138" i="44"/>
  <c r="AI98" i="10"/>
  <c r="S19" i="27"/>
  <c r="P132" i="44"/>
  <c r="P144" i="44" s="1"/>
  <c r="O350" i="29"/>
  <c r="S26" i="27"/>
  <c r="AI105" i="10"/>
  <c r="S43" i="27"/>
  <c r="AI122" i="10"/>
  <c r="S356" i="27"/>
  <c r="S224" i="27"/>
  <c r="AM51" i="27"/>
  <c r="AM297" i="27" s="1"/>
  <c r="S95" i="27"/>
  <c r="AM95" i="27" s="1"/>
  <c r="S138" i="27"/>
  <c r="AM138" i="27" s="1"/>
  <c r="S180" i="27"/>
  <c r="AM180" i="27" s="1"/>
  <c r="S444" i="27"/>
  <c r="S268" i="27"/>
  <c r="N349" i="29"/>
  <c r="O130" i="44"/>
  <c r="O143" i="44" s="1"/>
  <c r="S270" i="27"/>
  <c r="S358" i="27"/>
  <c r="S446" i="27"/>
  <c r="AM53" i="27"/>
  <c r="AM299" i="27" s="1"/>
  <c r="S226" i="27"/>
  <c r="S182" i="27"/>
  <c r="AM182" i="27" s="1"/>
  <c r="S97" i="27"/>
  <c r="AM97" i="27" s="1"/>
  <c r="S140" i="27"/>
  <c r="AM140" i="27" s="1"/>
  <c r="S37" i="27"/>
  <c r="AI116" i="10"/>
  <c r="S137" i="29" l="1"/>
  <c r="R139" i="29"/>
  <c r="R262" i="29"/>
  <c r="R264" i="29" s="1"/>
  <c r="R253" i="29"/>
  <c r="R255" i="29" s="1"/>
  <c r="R258" i="29" s="1"/>
  <c r="R335" i="29" s="1"/>
  <c r="S320" i="27"/>
  <c r="S408" i="27"/>
  <c r="S238" i="27"/>
  <c r="S326" i="27"/>
  <c r="S150" i="27"/>
  <c r="AM150" i="27" s="1"/>
  <c r="S414" i="27"/>
  <c r="S194" i="27"/>
  <c r="S108" i="27"/>
  <c r="AM108" i="27" s="1"/>
  <c r="AM21" i="27"/>
  <c r="AM283" i="27" s="1"/>
  <c r="S65" i="27"/>
  <c r="AM65" i="27" s="1"/>
  <c r="S315" i="27"/>
  <c r="S403" i="27"/>
  <c r="Q316" i="29"/>
  <c r="Q319" i="29" s="1"/>
  <c r="AM104" i="27"/>
  <c r="Q300" i="29"/>
  <c r="Q303" i="29" s="1"/>
  <c r="S306" i="29"/>
  <c r="S304" i="29"/>
  <c r="S287" i="27"/>
  <c r="S375" i="27"/>
  <c r="S138" i="29"/>
  <c r="R273" i="29"/>
  <c r="R275" i="29" s="1"/>
  <c r="R278" i="29" s="1"/>
  <c r="R334" i="29" s="1"/>
  <c r="R282" i="29"/>
  <c r="R284" i="29" s="1"/>
  <c r="P130" i="44"/>
  <c r="P143" i="44" s="1"/>
  <c r="O349" i="29"/>
  <c r="S313" i="27"/>
  <c r="S401" i="27"/>
  <c r="T301" i="29"/>
  <c r="U295" i="29"/>
  <c r="S333" i="27"/>
  <c r="S421" i="27"/>
  <c r="S157" i="27"/>
  <c r="S245" i="27"/>
  <c r="S72" i="27"/>
  <c r="AM28" i="27"/>
  <c r="AM288" i="27" s="1"/>
  <c r="S201" i="27"/>
  <c r="S115" i="27"/>
  <c r="S436" i="27"/>
  <c r="S348" i="27"/>
  <c r="S216" i="27"/>
  <c r="S260" i="27"/>
  <c r="S172" i="27"/>
  <c r="AM172" i="27" s="1"/>
  <c r="S87" i="27"/>
  <c r="AM87" i="27" s="1"/>
  <c r="AM43" i="27"/>
  <c r="AM293" i="27" s="1"/>
  <c r="S130" i="27"/>
  <c r="AM130" i="27" s="1"/>
  <c r="P350" i="29"/>
  <c r="Q132" i="44"/>
  <c r="Q144" i="44" s="1"/>
  <c r="S322" i="29"/>
  <c r="T136" i="44" s="1"/>
  <c r="S320" i="29"/>
  <c r="S289" i="27"/>
  <c r="S377" i="27"/>
  <c r="P159" i="44"/>
  <c r="S397" i="27"/>
  <c r="S309" i="27"/>
  <c r="S211" i="27"/>
  <c r="S125" i="27"/>
  <c r="AM125" i="27" s="1"/>
  <c r="S82" i="27"/>
  <c r="AM82" i="27" s="1"/>
  <c r="S255" i="27"/>
  <c r="S167" i="27"/>
  <c r="AM167" i="27" s="1"/>
  <c r="S343" i="27"/>
  <c r="S431" i="27"/>
  <c r="AM38" i="27"/>
  <c r="AM290" i="27" s="1"/>
  <c r="S316" i="27"/>
  <c r="S404" i="27"/>
  <c r="U311" i="29"/>
  <c r="T317" i="29"/>
  <c r="S346" i="27"/>
  <c r="S214" i="27"/>
  <c r="AM41" i="27"/>
  <c r="AM291" i="27" s="1"/>
  <c r="S128" i="27"/>
  <c r="AM128" i="27" s="1"/>
  <c r="S258" i="27"/>
  <c r="S85" i="27"/>
  <c r="AM85" i="27" s="1"/>
  <c r="S170" i="27"/>
  <c r="AM170" i="27" s="1"/>
  <c r="S434" i="27"/>
  <c r="AI124" i="10"/>
  <c r="S45" i="27"/>
  <c r="S239" i="27"/>
  <c r="S327" i="27"/>
  <c r="S415" i="27"/>
  <c r="S195" i="27"/>
  <c r="S109" i="27"/>
  <c r="AM109" i="27" s="1"/>
  <c r="AM22" i="27"/>
  <c r="AM284" i="27" s="1"/>
  <c r="S151" i="27"/>
  <c r="AM151" i="27" s="1"/>
  <c r="S66" i="27"/>
  <c r="AM66" i="27" s="1"/>
  <c r="S306" i="27"/>
  <c r="S394" i="27"/>
  <c r="S407" i="27"/>
  <c r="S319" i="27"/>
  <c r="S314" i="27"/>
  <c r="S402" i="27"/>
  <c r="O157" i="44"/>
  <c r="P247" i="29"/>
  <c r="Q138" i="44"/>
  <c r="Q267" i="29"/>
  <c r="S419" i="27"/>
  <c r="S243" i="27"/>
  <c r="S331" i="27"/>
  <c r="S155" i="27"/>
  <c r="S70" i="27"/>
  <c r="S113" i="27"/>
  <c r="AM26" i="27"/>
  <c r="AM286" i="27" s="1"/>
  <c r="S199" i="27"/>
  <c r="S124" i="27"/>
  <c r="AM124" i="27" s="1"/>
  <c r="S166" i="27"/>
  <c r="AM166" i="27" s="1"/>
  <c r="S81" i="27"/>
  <c r="AM81" i="27" s="1"/>
  <c r="S210" i="27"/>
  <c r="AM37" i="27"/>
  <c r="AM289" i="27" s="1"/>
  <c r="S254" i="27"/>
  <c r="S430" i="27"/>
  <c r="S342" i="27"/>
  <c r="AM287" i="27"/>
  <c r="AI125" i="10"/>
  <c r="S46" i="27"/>
  <c r="S406" i="27"/>
  <c r="S318" i="27"/>
  <c r="S405" i="27"/>
  <c r="S317" i="27"/>
  <c r="P158" i="44"/>
  <c r="Q134" i="44"/>
  <c r="Q145" i="44" s="1"/>
  <c r="P351" i="29"/>
  <c r="S412" i="27"/>
  <c r="S236" i="27"/>
  <c r="S324" i="27"/>
  <c r="S148" i="27"/>
  <c r="AM148" i="27" s="1"/>
  <c r="S192" i="27"/>
  <c r="AM19" i="27"/>
  <c r="S106" i="27"/>
  <c r="AM106" i="27" s="1"/>
  <c r="S63" i="27"/>
  <c r="AM63" i="27" s="1"/>
  <c r="S64" i="27"/>
  <c r="AM64" i="27" s="1"/>
  <c r="S149" i="27"/>
  <c r="AM149" i="27" s="1"/>
  <c r="AM20" i="27"/>
  <c r="AM282" i="27" s="1"/>
  <c r="S107" i="27"/>
  <c r="AM107" i="27" s="1"/>
  <c r="S413" i="27"/>
  <c r="S237" i="27"/>
  <c r="S325" i="27"/>
  <c r="S193" i="27"/>
  <c r="Q287" i="29"/>
  <c r="Q242" i="29"/>
  <c r="Q244" i="29" s="1"/>
  <c r="Q233" i="29"/>
  <c r="Q235" i="29" s="1"/>
  <c r="Q238" i="29" s="1"/>
  <c r="S392" i="27"/>
  <c r="S304" i="27"/>
  <c r="R134" i="44" l="1"/>
  <c r="S89" i="27"/>
  <c r="AM89" i="27" s="1"/>
  <c r="S438" i="27"/>
  <c r="S262" i="27"/>
  <c r="S350" i="27"/>
  <c r="S218" i="27"/>
  <c r="AM45" i="27"/>
  <c r="S174" i="27"/>
  <c r="AM174" i="27" s="1"/>
  <c r="S132" i="27"/>
  <c r="AM132" i="27" s="1"/>
  <c r="S370" i="27"/>
  <c r="S282" i="27"/>
  <c r="S281" i="27"/>
  <c r="S369" i="27"/>
  <c r="S283" i="27"/>
  <c r="S371" i="27"/>
  <c r="AM281" i="27"/>
  <c r="BC288" i="27" s="1"/>
  <c r="AM59" i="27"/>
  <c r="Q185" i="29" s="1"/>
  <c r="AM12" i="27"/>
  <c r="S387" i="27"/>
  <c r="S299" i="27"/>
  <c r="T322" i="29"/>
  <c r="U136" i="44" s="1"/>
  <c r="T320" i="29"/>
  <c r="S388" i="27"/>
  <c r="S300" i="27"/>
  <c r="S263" i="27"/>
  <c r="S351" i="27"/>
  <c r="S439" i="27"/>
  <c r="S452" i="27" s="1"/>
  <c r="S219" i="27"/>
  <c r="AM46" i="27"/>
  <c r="S90" i="27"/>
  <c r="AM90" i="27" s="1"/>
  <c r="S175" i="27"/>
  <c r="AM175" i="27" s="1"/>
  <c r="S133" i="27"/>
  <c r="AM133" i="27" s="1"/>
  <c r="V311" i="29"/>
  <c r="U317" i="29"/>
  <c r="S378" i="27"/>
  <c r="S290" i="27"/>
  <c r="V295" i="29"/>
  <c r="U301" i="29"/>
  <c r="Q158" i="44"/>
  <c r="T306" i="29"/>
  <c r="T304" i="29"/>
  <c r="Q159" i="44"/>
  <c r="S288" i="27"/>
  <c r="S376" i="27"/>
  <c r="Q130" i="44"/>
  <c r="Q143" i="44" s="1"/>
  <c r="P349" i="29"/>
  <c r="AM13" i="27"/>
  <c r="S284" i="27"/>
  <c r="S372" i="27"/>
  <c r="S303" i="27"/>
  <c r="S391" i="27"/>
  <c r="P157" i="44"/>
  <c r="S139" i="44"/>
  <c r="R287" i="29"/>
  <c r="R267" i="29"/>
  <c r="S140" i="44"/>
  <c r="Q247" i="29"/>
  <c r="S59" i="27"/>
  <c r="R132" i="44"/>
  <c r="R233" i="29"/>
  <c r="R235" i="29" s="1"/>
  <c r="R238" i="29" s="1"/>
  <c r="R333" i="29" s="1"/>
  <c r="R242" i="29"/>
  <c r="R244" i="29" s="1"/>
  <c r="S305" i="27"/>
  <c r="S393" i="27"/>
  <c r="T138" i="29"/>
  <c r="S282" i="29"/>
  <c r="S284" i="29" s="1"/>
  <c r="S273" i="29"/>
  <c r="S275" i="29" s="1"/>
  <c r="S278" i="29" s="1"/>
  <c r="S334" i="29" s="1"/>
  <c r="S139" i="29"/>
  <c r="T137" i="29"/>
  <c r="S262" i="29"/>
  <c r="S264" i="29" s="1"/>
  <c r="S253" i="29"/>
  <c r="S255" i="29" s="1"/>
  <c r="S258" i="29" s="1"/>
  <c r="S335" i="29" s="1"/>
  <c r="AM154" i="27" l="1" a="1"/>
  <c r="AM154" i="27" s="1"/>
  <c r="AM60" i="27"/>
  <c r="Q299" i="29" s="1"/>
  <c r="Q302" i="29" s="1"/>
  <c r="S276" i="27"/>
  <c r="S278" i="27" s="1"/>
  <c r="D278" i="27" s="1"/>
  <c r="S4" i="27"/>
  <c r="BC291" i="27"/>
  <c r="S364" i="27"/>
  <c r="S366" i="27" s="1"/>
  <c r="D366" i="27" s="1"/>
  <c r="BC284" i="27"/>
  <c r="V317" i="29"/>
  <c r="F18" i="29"/>
  <c r="BC295" i="27"/>
  <c r="BC296" i="27"/>
  <c r="BC281" i="27"/>
  <c r="AM7" i="27"/>
  <c r="AM303" i="27"/>
  <c r="AM325" i="27"/>
  <c r="AM6" i="27"/>
  <c r="BC285" i="27"/>
  <c r="BC294" i="27"/>
  <c r="BC292" i="27"/>
  <c r="BC300" i="27"/>
  <c r="BC298" i="27"/>
  <c r="BC297" i="27"/>
  <c r="BC299" i="27"/>
  <c r="S267" i="29"/>
  <c r="T140" i="44"/>
  <c r="S395" i="27"/>
  <c r="S307" i="27"/>
  <c r="R350" i="29"/>
  <c r="S132" i="44"/>
  <c r="S144" i="44" s="1"/>
  <c r="Q157" i="44"/>
  <c r="S454" i="27"/>
  <c r="D454" i="27" s="1"/>
  <c r="Q204" i="29"/>
  <c r="Q207" i="29" s="1"/>
  <c r="C209" i="29" s="1"/>
  <c r="T139" i="29"/>
  <c r="U137" i="29"/>
  <c r="T253" i="29"/>
  <c r="T255" i="29" s="1"/>
  <c r="T258" i="29" s="1"/>
  <c r="T335" i="29" s="1"/>
  <c r="T262" i="29"/>
  <c r="T264" i="29" s="1"/>
  <c r="R130" i="44"/>
  <c r="S242" i="29"/>
  <c r="S244" i="29" s="1"/>
  <c r="S233" i="29"/>
  <c r="S235" i="29" s="1"/>
  <c r="S238" i="29" s="1"/>
  <c r="S333" i="29" s="1"/>
  <c r="AM112" i="27" a="1"/>
  <c r="AM112" i="27" s="1"/>
  <c r="AM70" i="27" a="1"/>
  <c r="AM70" i="27" s="1"/>
  <c r="AM113" i="27" a="1"/>
  <c r="AM113" i="27" s="1"/>
  <c r="U306" i="29"/>
  <c r="U304" i="29"/>
  <c r="V301" i="29"/>
  <c r="S396" i="27"/>
  <c r="S308" i="27"/>
  <c r="AM69" i="27" a="1"/>
  <c r="AM69" i="27" s="1"/>
  <c r="R247" i="29"/>
  <c r="S138" i="44"/>
  <c r="S287" i="29"/>
  <c r="T139" i="44"/>
  <c r="BC293" i="27"/>
  <c r="BC289" i="27"/>
  <c r="BC286" i="27"/>
  <c r="R351" i="29"/>
  <c r="S134" i="44"/>
  <c r="S145" i="44" s="1"/>
  <c r="BC283" i="27"/>
  <c r="BC287" i="27"/>
  <c r="AM155" i="27" a="1"/>
  <c r="AM155" i="27" s="1"/>
  <c r="U138" i="29"/>
  <c r="T282" i="29"/>
  <c r="T284" i="29" s="1"/>
  <c r="T273" i="29"/>
  <c r="T275" i="29" s="1"/>
  <c r="T278" i="29" s="1"/>
  <c r="T334" i="29" s="1"/>
  <c r="BC290" i="27"/>
  <c r="AM103" i="27" a="1"/>
  <c r="AM103" i="27" s="1"/>
  <c r="AM146" i="27" a="1"/>
  <c r="AM146" i="27" s="1"/>
  <c r="BC282" i="27"/>
  <c r="U322" i="29"/>
  <c r="V136" i="44" s="1"/>
  <c r="U320" i="29"/>
  <c r="Q314" i="29"/>
  <c r="Q298" i="29"/>
  <c r="Q195" i="29"/>
  <c r="Q113" i="29"/>
  <c r="Q205" i="29"/>
  <c r="Q184" i="29" l="1"/>
  <c r="Q187" i="29" s="1"/>
  <c r="C189" i="29" s="1"/>
  <c r="AM72" i="27" a="1"/>
  <c r="AM72" i="27" s="1"/>
  <c r="Q194" i="29"/>
  <c r="Q197" i="29" s="1"/>
  <c r="C199" i="29" s="1"/>
  <c r="H14" i="29" s="1"/>
  <c r="I14" i="29" s="1"/>
  <c r="AM115" i="27" a="1"/>
  <c r="AM115" i="27" s="1"/>
  <c r="AM156" i="27" a="1"/>
  <c r="AM156" i="27" s="1"/>
  <c r="Q315" i="29"/>
  <c r="Q318" i="29" s="1"/>
  <c r="R140" i="44" s="1"/>
  <c r="AM157" i="27" a="1"/>
  <c r="AM157" i="27" s="1"/>
  <c r="AM114" i="27" a="1"/>
  <c r="AM114" i="27" s="1"/>
  <c r="AM71" i="27" a="1"/>
  <c r="AM71" i="27" s="1"/>
  <c r="S159" i="44"/>
  <c r="T267" i="29"/>
  <c r="U140" i="44"/>
  <c r="O184" i="39"/>
  <c r="O187" i="39" s="1"/>
  <c r="E184" i="39"/>
  <c r="E187" i="39" s="1"/>
  <c r="F184" i="39"/>
  <c r="F187" i="39" s="1"/>
  <c r="M184" i="39"/>
  <c r="M187" i="39" s="1"/>
  <c r="I184" i="39"/>
  <c r="I187" i="39" s="1"/>
  <c r="J184" i="39"/>
  <c r="J187" i="39" s="1"/>
  <c r="L184" i="39"/>
  <c r="L187" i="39" s="1"/>
  <c r="G184" i="39"/>
  <c r="G187" i="39" s="1"/>
  <c r="H184" i="39"/>
  <c r="H187" i="39" s="1"/>
  <c r="P184" i="39"/>
  <c r="P187" i="39" s="1"/>
  <c r="N184" i="39"/>
  <c r="N187" i="39" s="1"/>
  <c r="K184" i="39"/>
  <c r="K187" i="39" s="1"/>
  <c r="D184" i="39"/>
  <c r="D187" i="39" s="1"/>
  <c r="C184" i="39"/>
  <c r="C187" i="39" s="1"/>
  <c r="Q184" i="39"/>
  <c r="Q187" i="39" s="1"/>
  <c r="R349" i="29"/>
  <c r="S130" i="44"/>
  <c r="S143" i="44" s="1"/>
  <c r="S351" i="29"/>
  <c r="T134" i="44"/>
  <c r="T145" i="44" s="1"/>
  <c r="Q304" i="29"/>
  <c r="Q306" i="29"/>
  <c r="C217" i="29"/>
  <c r="C221" i="29" s="1"/>
  <c r="H13" i="29"/>
  <c r="I13" i="29" s="1"/>
  <c r="C219" i="29"/>
  <c r="C223" i="29" s="1"/>
  <c r="H15" i="29"/>
  <c r="I15" i="29" s="1"/>
  <c r="T242" i="29"/>
  <c r="T244" i="29" s="1"/>
  <c r="T233" i="29"/>
  <c r="T235" i="29" s="1"/>
  <c r="T238" i="29" s="1"/>
  <c r="T333" i="29" s="1"/>
  <c r="I204" i="39"/>
  <c r="I207" i="39" s="1"/>
  <c r="H204" i="39"/>
  <c r="H207" i="39" s="1"/>
  <c r="J204" i="39"/>
  <c r="J207" i="39" s="1"/>
  <c r="M204" i="39"/>
  <c r="M207" i="39" s="1"/>
  <c r="D204" i="39"/>
  <c r="D207" i="39" s="1"/>
  <c r="P204" i="39"/>
  <c r="P207" i="39" s="1"/>
  <c r="F204" i="39"/>
  <c r="F207" i="39" s="1"/>
  <c r="O204" i="39"/>
  <c r="O207" i="39" s="1"/>
  <c r="N204" i="39"/>
  <c r="N207" i="39" s="1"/>
  <c r="E204" i="39"/>
  <c r="E207" i="39" s="1"/>
  <c r="G204" i="39"/>
  <c r="G207" i="39" s="1"/>
  <c r="K204" i="39"/>
  <c r="K207" i="39" s="1"/>
  <c r="Q204" i="39"/>
  <c r="Q207" i="39" s="1"/>
  <c r="L204" i="39"/>
  <c r="L207" i="39" s="1"/>
  <c r="C204" i="39"/>
  <c r="C207" i="39" s="1"/>
  <c r="U139" i="29"/>
  <c r="V137" i="29"/>
  <c r="U262" i="29"/>
  <c r="U264" i="29" s="1"/>
  <c r="U253" i="29"/>
  <c r="U255" i="29" s="1"/>
  <c r="U258" i="29" s="1"/>
  <c r="U335" i="29" s="1"/>
  <c r="T287" i="29"/>
  <c r="U139" i="44"/>
  <c r="S247" i="29"/>
  <c r="T138" i="44"/>
  <c r="F19" i="29"/>
  <c r="F20" i="29"/>
  <c r="Q114" i="29"/>
  <c r="R107" i="44"/>
  <c r="V138" i="29"/>
  <c r="U282" i="29"/>
  <c r="U284" i="29" s="1"/>
  <c r="U273" i="29"/>
  <c r="U275" i="29" s="1"/>
  <c r="U278" i="29" s="1"/>
  <c r="U334" i="29" s="1"/>
  <c r="S350" i="29"/>
  <c r="T132" i="44"/>
  <c r="T144" i="44" s="1"/>
  <c r="S158" i="44"/>
  <c r="F194" i="39"/>
  <c r="F197" i="39" s="1"/>
  <c r="P194" i="39"/>
  <c r="P197" i="39" s="1"/>
  <c r="D194" i="39"/>
  <c r="D197" i="39" s="1"/>
  <c r="N194" i="39"/>
  <c r="N197" i="39" s="1"/>
  <c r="C194" i="39"/>
  <c r="C197" i="39" s="1"/>
  <c r="Q194" i="39"/>
  <c r="Q197" i="39" s="1"/>
  <c r="H194" i="39"/>
  <c r="H197" i="39" s="1"/>
  <c r="M194" i="39"/>
  <c r="M197" i="39" s="1"/>
  <c r="E194" i="39"/>
  <c r="E197" i="39" s="1"/>
  <c r="L194" i="39"/>
  <c r="L197" i="39" s="1"/>
  <c r="K194" i="39"/>
  <c r="K197" i="39" s="1"/>
  <c r="G194" i="39"/>
  <c r="G197" i="39" s="1"/>
  <c r="O194" i="39"/>
  <c r="O197" i="39" s="1"/>
  <c r="J194" i="39"/>
  <c r="J197" i="39" s="1"/>
  <c r="I194" i="39"/>
  <c r="I197" i="39" s="1"/>
  <c r="V306" i="29"/>
  <c r="V304" i="29"/>
  <c r="V322" i="29"/>
  <c r="V320" i="29"/>
  <c r="Q322" i="29" l="1"/>
  <c r="C218" i="29"/>
  <c r="C222" i="29" s="1"/>
  <c r="J14" i="29" s="1"/>
  <c r="AM3" i="27"/>
  <c r="AM188" i="27" a="1"/>
  <c r="AM188" i="27" s="1"/>
  <c r="Q320" i="29"/>
  <c r="AM2" i="27"/>
  <c r="AM4" i="27"/>
  <c r="R139" i="44"/>
  <c r="R138" i="44"/>
  <c r="J15" i="29"/>
  <c r="J13" i="29"/>
  <c r="Q334" i="29"/>
  <c r="Q335" i="29"/>
  <c r="Q333" i="29"/>
  <c r="C189" i="39"/>
  <c r="W136" i="44"/>
  <c r="U134" i="44"/>
  <c r="U145" i="44" s="1"/>
  <c r="T351" i="29"/>
  <c r="T159" i="44"/>
  <c r="S349" i="29"/>
  <c r="T130" i="44"/>
  <c r="T143" i="44" s="1"/>
  <c r="U267" i="29"/>
  <c r="V140" i="44"/>
  <c r="C343" i="29"/>
  <c r="D95" i="44"/>
  <c r="C199" i="39"/>
  <c r="U132" i="44"/>
  <c r="U144" i="44" s="1"/>
  <c r="T350" i="29"/>
  <c r="T247" i="29"/>
  <c r="U138" i="44"/>
  <c r="U287" i="29"/>
  <c r="V139" i="44"/>
  <c r="V139" i="29"/>
  <c r="V262" i="29"/>
  <c r="V253" i="29"/>
  <c r="V255" i="29" s="1"/>
  <c r="V258" i="29" s="1"/>
  <c r="R136" i="44"/>
  <c r="Q351" i="29"/>
  <c r="Q350" i="29"/>
  <c r="Q349" i="29"/>
  <c r="V273" i="29"/>
  <c r="V275" i="29" s="1"/>
  <c r="V278" i="29" s="1"/>
  <c r="V282" i="29"/>
  <c r="U242" i="29"/>
  <c r="U244" i="29" s="1"/>
  <c r="U233" i="29"/>
  <c r="U235" i="29" s="1"/>
  <c r="U238" i="29" s="1"/>
  <c r="U333" i="29" s="1"/>
  <c r="S157" i="44"/>
  <c r="T158" i="44"/>
  <c r="C342" i="29"/>
  <c r="D94" i="44"/>
  <c r="R108" i="44"/>
  <c r="C108" i="44" s="1"/>
  <c r="R113" i="44"/>
  <c r="C209" i="39"/>
  <c r="C341" i="29"/>
  <c r="D93" i="44"/>
  <c r="C219" i="39" l="1"/>
  <c r="C223" i="39" s="1"/>
  <c r="H15" i="39"/>
  <c r="I15" i="39" s="1"/>
  <c r="V334" i="29"/>
  <c r="C279" i="29"/>
  <c r="U130" i="44"/>
  <c r="U143" i="44" s="1"/>
  <c r="T349" i="29"/>
  <c r="D341" i="29"/>
  <c r="E341" i="29" s="1"/>
  <c r="F341" i="29" s="1"/>
  <c r="G341" i="29" s="1"/>
  <c r="H341" i="29" s="1"/>
  <c r="I341" i="29" s="1"/>
  <c r="J341" i="29" s="1"/>
  <c r="K341" i="29" s="1"/>
  <c r="L341" i="29" s="1"/>
  <c r="M341" i="29" s="1"/>
  <c r="N341" i="29" s="1"/>
  <c r="O341" i="29" s="1"/>
  <c r="P341" i="29" s="1"/>
  <c r="Q341" i="29" s="1"/>
  <c r="R341" i="29" s="1"/>
  <c r="S341" i="29" s="1"/>
  <c r="T341" i="29" s="1"/>
  <c r="U341" i="29" s="1"/>
  <c r="V341" i="29" s="1"/>
  <c r="C357" i="29"/>
  <c r="D357" i="29" s="1"/>
  <c r="E357" i="29" s="1"/>
  <c r="F357" i="29" s="1"/>
  <c r="G357" i="29" s="1"/>
  <c r="H357" i="29" s="1"/>
  <c r="I357" i="29" s="1"/>
  <c r="J357" i="29" s="1"/>
  <c r="K357" i="29" s="1"/>
  <c r="L357" i="29" s="1"/>
  <c r="M357" i="29" s="1"/>
  <c r="N357" i="29" s="1"/>
  <c r="O357" i="29" s="1"/>
  <c r="P357" i="29" s="1"/>
  <c r="Q357" i="29" s="1"/>
  <c r="R357" i="29" s="1"/>
  <c r="S357" i="29" s="1"/>
  <c r="T357" i="29" s="1"/>
  <c r="U357" i="29" s="1"/>
  <c r="V357" i="29" s="1"/>
  <c r="R109" i="44"/>
  <c r="R103" i="44" s="1"/>
  <c r="T157" i="44"/>
  <c r="U158" i="44"/>
  <c r="C218" i="39"/>
  <c r="C222" i="39" s="1"/>
  <c r="H14" i="39"/>
  <c r="I14" i="39" s="1"/>
  <c r="R145" i="44"/>
  <c r="R144" i="44"/>
  <c r="R143" i="44"/>
  <c r="R115" i="44"/>
  <c r="C113" i="44"/>
  <c r="C115" i="44" s="1"/>
  <c r="C119" i="44" s="1"/>
  <c r="D342" i="29"/>
  <c r="E342" i="29" s="1"/>
  <c r="F342" i="29" s="1"/>
  <c r="G342" i="29" s="1"/>
  <c r="H342" i="29" s="1"/>
  <c r="I342" i="29" s="1"/>
  <c r="J342" i="29" s="1"/>
  <c r="K342" i="29" s="1"/>
  <c r="L342" i="29" s="1"/>
  <c r="M342" i="29" s="1"/>
  <c r="N342" i="29" s="1"/>
  <c r="O342" i="29" s="1"/>
  <c r="P342" i="29" s="1"/>
  <c r="Q342" i="29" s="1"/>
  <c r="R342" i="29" s="1"/>
  <c r="S342" i="29" s="1"/>
  <c r="T342" i="29" s="1"/>
  <c r="U342" i="29" s="1"/>
  <c r="V342" i="29" s="1"/>
  <c r="C358" i="29"/>
  <c r="D358" i="29" s="1"/>
  <c r="E358" i="29" s="1"/>
  <c r="F358" i="29" s="1"/>
  <c r="G358" i="29" s="1"/>
  <c r="H358" i="29" s="1"/>
  <c r="I358" i="29" s="1"/>
  <c r="J358" i="29" s="1"/>
  <c r="K358" i="29" s="1"/>
  <c r="L358" i="29" s="1"/>
  <c r="M358" i="29" s="1"/>
  <c r="N358" i="29" s="1"/>
  <c r="O358" i="29" s="1"/>
  <c r="P358" i="29" s="1"/>
  <c r="Q358" i="29" s="1"/>
  <c r="R358" i="29" s="1"/>
  <c r="S358" i="29" s="1"/>
  <c r="T358" i="29" s="1"/>
  <c r="U358" i="29" s="1"/>
  <c r="V358" i="29" s="1"/>
  <c r="V264" i="29"/>
  <c r="E20" i="29"/>
  <c r="C359" i="29"/>
  <c r="D359" i="29" s="1"/>
  <c r="E359" i="29" s="1"/>
  <c r="F359" i="29" s="1"/>
  <c r="G359" i="29" s="1"/>
  <c r="H359" i="29" s="1"/>
  <c r="I359" i="29" s="1"/>
  <c r="J359" i="29" s="1"/>
  <c r="K359" i="29" s="1"/>
  <c r="L359" i="29" s="1"/>
  <c r="M359" i="29" s="1"/>
  <c r="N359" i="29" s="1"/>
  <c r="O359" i="29" s="1"/>
  <c r="P359" i="29" s="1"/>
  <c r="Q359" i="29" s="1"/>
  <c r="R359" i="29" s="1"/>
  <c r="S359" i="29" s="1"/>
  <c r="T359" i="29" s="1"/>
  <c r="U359" i="29" s="1"/>
  <c r="V359" i="29" s="1"/>
  <c r="D343" i="29"/>
  <c r="E343" i="29" s="1"/>
  <c r="F343" i="29" s="1"/>
  <c r="G343" i="29" s="1"/>
  <c r="H343" i="29" s="1"/>
  <c r="I343" i="29" s="1"/>
  <c r="J343" i="29" s="1"/>
  <c r="K343" i="29" s="1"/>
  <c r="L343" i="29" s="1"/>
  <c r="M343" i="29" s="1"/>
  <c r="N343" i="29" s="1"/>
  <c r="O343" i="29" s="1"/>
  <c r="P343" i="29" s="1"/>
  <c r="Q343" i="29" s="1"/>
  <c r="R343" i="29" s="1"/>
  <c r="S343" i="29" s="1"/>
  <c r="T343" i="29" s="1"/>
  <c r="U343" i="29" s="1"/>
  <c r="V343" i="29" s="1"/>
  <c r="U159" i="44"/>
  <c r="C217" i="39"/>
  <c r="C221" i="39" s="1"/>
  <c r="H13" i="39"/>
  <c r="I13" i="39" s="1"/>
  <c r="V335" i="29"/>
  <c r="C259" i="29"/>
  <c r="V233" i="29"/>
  <c r="V235" i="29" s="1"/>
  <c r="V238" i="29" s="1"/>
  <c r="V242" i="29"/>
  <c r="V134" i="44"/>
  <c r="V145" i="44" s="1"/>
  <c r="U351" i="29"/>
  <c r="U247" i="29"/>
  <c r="V138" i="44"/>
  <c r="V132" i="44"/>
  <c r="V144" i="44" s="1"/>
  <c r="U350" i="29"/>
  <c r="V284" i="29"/>
  <c r="E19" i="29"/>
  <c r="C117" i="44" l="1"/>
  <c r="Q121" i="44" s="1"/>
  <c r="Q125" i="44" s="1"/>
  <c r="Q165" i="44" s="1"/>
  <c r="C118" i="44"/>
  <c r="U122" i="44" s="1"/>
  <c r="U126" i="44" s="1"/>
  <c r="U166" i="44" s="1"/>
  <c r="J14" i="39"/>
  <c r="J15" i="39"/>
  <c r="C329" i="39"/>
  <c r="D34" i="44"/>
  <c r="V244" i="29"/>
  <c r="E18" i="29"/>
  <c r="V333" i="29"/>
  <c r="C239" i="29"/>
  <c r="V159" i="44"/>
  <c r="J13" i="39"/>
  <c r="U157" i="44"/>
  <c r="V287" i="29"/>
  <c r="W139" i="44"/>
  <c r="E122" i="44"/>
  <c r="E126" i="44" s="1"/>
  <c r="V130" i="44"/>
  <c r="V143" i="44" s="1"/>
  <c r="U349" i="29"/>
  <c r="W140" i="44"/>
  <c r="V267" i="29"/>
  <c r="D32" i="44"/>
  <c r="C327" i="39"/>
  <c r="V158" i="44"/>
  <c r="R157" i="44"/>
  <c r="F19" i="44"/>
  <c r="C328" i="39"/>
  <c r="D33" i="44"/>
  <c r="F20" i="44"/>
  <c r="R158" i="44"/>
  <c r="O123" i="44"/>
  <c r="O127" i="44" s="1"/>
  <c r="O167" i="44" s="1"/>
  <c r="K123" i="44"/>
  <c r="K127" i="44" s="1"/>
  <c r="K167" i="44" s="1"/>
  <c r="L123" i="44"/>
  <c r="L127" i="44" s="1"/>
  <c r="L167" i="44" s="1"/>
  <c r="P123" i="44"/>
  <c r="P127" i="44" s="1"/>
  <c r="P167" i="44" s="1"/>
  <c r="D123" i="44"/>
  <c r="N123" i="44"/>
  <c r="V123" i="44"/>
  <c r="V127" i="44" s="1"/>
  <c r="V167" i="44" s="1"/>
  <c r="G123" i="44"/>
  <c r="G127" i="44" s="1"/>
  <c r="D119" i="44"/>
  <c r="M123" i="44"/>
  <c r="M127" i="44" s="1"/>
  <c r="M167" i="44" s="1"/>
  <c r="F123" i="44"/>
  <c r="F127" i="44" s="1"/>
  <c r="J123" i="44"/>
  <c r="J127" i="44" s="1"/>
  <c r="J167" i="44" s="1"/>
  <c r="H123" i="44"/>
  <c r="H127" i="44" s="1"/>
  <c r="W123" i="44"/>
  <c r="W127" i="44" s="1"/>
  <c r="W167" i="44" s="1"/>
  <c r="U123" i="44"/>
  <c r="U127" i="44" s="1"/>
  <c r="U167" i="44" s="1"/>
  <c r="I123" i="44"/>
  <c r="R123" i="44"/>
  <c r="R127" i="44" s="1"/>
  <c r="R167" i="44" s="1"/>
  <c r="E123" i="44"/>
  <c r="E127" i="44" s="1"/>
  <c r="S123" i="44"/>
  <c r="Q123" i="44"/>
  <c r="Q127" i="44" s="1"/>
  <c r="Q167" i="44" s="1"/>
  <c r="T123" i="44"/>
  <c r="T127" i="44" s="1"/>
  <c r="T167" i="44" s="1"/>
  <c r="R159" i="44"/>
  <c r="F21" i="44"/>
  <c r="O122" i="44" l="1"/>
  <c r="O126" i="44" s="1"/>
  <c r="O166" i="44" s="1"/>
  <c r="I122" i="44"/>
  <c r="I126" i="44" s="1"/>
  <c r="H122" i="44"/>
  <c r="H126" i="44" s="1"/>
  <c r="T122" i="44"/>
  <c r="T126" i="44" s="1"/>
  <c r="T166" i="44" s="1"/>
  <c r="G122" i="44"/>
  <c r="G126" i="44" s="1"/>
  <c r="N122" i="44"/>
  <c r="N126" i="44" s="1"/>
  <c r="N121" i="44"/>
  <c r="N125" i="44" s="1"/>
  <c r="I121" i="44"/>
  <c r="I125" i="44" s="1"/>
  <c r="W121" i="44"/>
  <c r="W125" i="44" s="1"/>
  <c r="W165" i="44" s="1"/>
  <c r="P121" i="44"/>
  <c r="P125" i="44" s="1"/>
  <c r="P165" i="44" s="1"/>
  <c r="R121" i="44"/>
  <c r="R125" i="44" s="1"/>
  <c r="R165" i="44" s="1"/>
  <c r="U121" i="44"/>
  <c r="U125" i="44" s="1"/>
  <c r="U165" i="44" s="1"/>
  <c r="H121" i="44"/>
  <c r="H125" i="44" s="1"/>
  <c r="S121" i="44"/>
  <c r="J121" i="44"/>
  <c r="J125" i="44" s="1"/>
  <c r="J165" i="44" s="1"/>
  <c r="E121" i="44"/>
  <c r="E125" i="44" s="1"/>
  <c r="D121" i="44"/>
  <c r="V121" i="44"/>
  <c r="V125" i="44" s="1"/>
  <c r="V165" i="44" s="1"/>
  <c r="M121" i="44"/>
  <c r="M125" i="44" s="1"/>
  <c r="M165" i="44" s="1"/>
  <c r="G121" i="44"/>
  <c r="G125" i="44" s="1"/>
  <c r="D117" i="44"/>
  <c r="L121" i="44"/>
  <c r="L125" i="44" s="1"/>
  <c r="L165" i="44" s="1"/>
  <c r="K121" i="44"/>
  <c r="K125" i="44" s="1"/>
  <c r="K165" i="44" s="1"/>
  <c r="T121" i="44"/>
  <c r="T125" i="44" s="1"/>
  <c r="T165" i="44" s="1"/>
  <c r="O121" i="44"/>
  <c r="O125" i="44" s="1"/>
  <c r="O165" i="44" s="1"/>
  <c r="F121" i="44"/>
  <c r="F125" i="44" s="1"/>
  <c r="R122" i="44"/>
  <c r="R126" i="44" s="1"/>
  <c r="R166" i="44" s="1"/>
  <c r="K122" i="44"/>
  <c r="K126" i="44" s="1"/>
  <c r="K166" i="44" s="1"/>
  <c r="W122" i="44"/>
  <c r="W126" i="44" s="1"/>
  <c r="W166" i="44" s="1"/>
  <c r="L122" i="44"/>
  <c r="L126" i="44" s="1"/>
  <c r="L166" i="44" s="1"/>
  <c r="Q122" i="44"/>
  <c r="Q126" i="44" s="1"/>
  <c r="Q166" i="44" s="1"/>
  <c r="D122" i="44"/>
  <c r="D126" i="44" s="1"/>
  <c r="S122" i="44"/>
  <c r="S126" i="44" s="1"/>
  <c r="F122" i="44"/>
  <c r="F126" i="44" s="1"/>
  <c r="V122" i="44"/>
  <c r="V126" i="44" s="1"/>
  <c r="V166" i="44" s="1"/>
  <c r="J122" i="44"/>
  <c r="J126" i="44" s="1"/>
  <c r="J166" i="44" s="1"/>
  <c r="P122" i="44"/>
  <c r="P126" i="44" s="1"/>
  <c r="P166" i="44" s="1"/>
  <c r="M122" i="44"/>
  <c r="M126" i="44" s="1"/>
  <c r="M166" i="44" s="1"/>
  <c r="D118" i="44"/>
  <c r="V157" i="44"/>
  <c r="W132" i="44"/>
  <c r="V350" i="29"/>
  <c r="C288" i="29"/>
  <c r="G19" i="29" s="1"/>
  <c r="D127" i="44"/>
  <c r="C123" i="44"/>
  <c r="C57" i="44"/>
  <c r="D328" i="39"/>
  <c r="E328" i="39" s="1"/>
  <c r="F328" i="39" s="1"/>
  <c r="G328" i="39" s="1"/>
  <c r="H328" i="39" s="1"/>
  <c r="I328" i="39" s="1"/>
  <c r="J328" i="39" s="1"/>
  <c r="K328" i="39" s="1"/>
  <c r="L328" i="39" s="1"/>
  <c r="M328" i="39" s="1"/>
  <c r="N328" i="39" s="1"/>
  <c r="O328" i="39" s="1"/>
  <c r="P328" i="39" s="1"/>
  <c r="Q328" i="39" s="1"/>
  <c r="R328" i="39" s="1"/>
  <c r="S328" i="39" s="1"/>
  <c r="T328" i="39" s="1"/>
  <c r="U328" i="39" s="1"/>
  <c r="V328" i="39" s="1"/>
  <c r="C344" i="39"/>
  <c r="D344" i="39" s="1"/>
  <c r="E344" i="39" s="1"/>
  <c r="F344" i="39" s="1"/>
  <c r="G344" i="39" s="1"/>
  <c r="H344" i="39" s="1"/>
  <c r="I344" i="39" s="1"/>
  <c r="J344" i="39" s="1"/>
  <c r="K344" i="39" s="1"/>
  <c r="L344" i="39" s="1"/>
  <c r="M344" i="39" s="1"/>
  <c r="N344" i="39" s="1"/>
  <c r="O344" i="39" s="1"/>
  <c r="P344" i="39" s="1"/>
  <c r="Q344" i="39" s="1"/>
  <c r="R344" i="39" s="1"/>
  <c r="S344" i="39" s="1"/>
  <c r="T344" i="39" s="1"/>
  <c r="U344" i="39" s="1"/>
  <c r="V344" i="39" s="1"/>
  <c r="W138" i="44"/>
  <c r="V247" i="29"/>
  <c r="S127" i="44"/>
  <c r="C343" i="39"/>
  <c r="D343" i="39" s="1"/>
  <c r="E343" i="39" s="1"/>
  <c r="F343" i="39" s="1"/>
  <c r="G343" i="39" s="1"/>
  <c r="H343" i="39" s="1"/>
  <c r="I343" i="39" s="1"/>
  <c r="J343" i="39" s="1"/>
  <c r="K343" i="39" s="1"/>
  <c r="L343" i="39" s="1"/>
  <c r="M343" i="39" s="1"/>
  <c r="N343" i="39" s="1"/>
  <c r="O343" i="39" s="1"/>
  <c r="P343" i="39" s="1"/>
  <c r="Q343" i="39" s="1"/>
  <c r="R343" i="39" s="1"/>
  <c r="S343" i="39" s="1"/>
  <c r="T343" i="39" s="1"/>
  <c r="U343" i="39" s="1"/>
  <c r="V343" i="39" s="1"/>
  <c r="D327" i="39"/>
  <c r="E327" i="39" s="1"/>
  <c r="F327" i="39" s="1"/>
  <c r="G327" i="39" s="1"/>
  <c r="H327" i="39" s="1"/>
  <c r="I327" i="39" s="1"/>
  <c r="J327" i="39" s="1"/>
  <c r="K327" i="39" s="1"/>
  <c r="L327" i="39" s="1"/>
  <c r="M327" i="39" s="1"/>
  <c r="N327" i="39" s="1"/>
  <c r="O327" i="39" s="1"/>
  <c r="P327" i="39" s="1"/>
  <c r="Q327" i="39" s="1"/>
  <c r="R327" i="39" s="1"/>
  <c r="S327" i="39" s="1"/>
  <c r="T327" i="39" s="1"/>
  <c r="U327" i="39" s="1"/>
  <c r="V327" i="39" s="1"/>
  <c r="C58" i="44"/>
  <c r="N127" i="44"/>
  <c r="C56" i="44"/>
  <c r="C345" i="39"/>
  <c r="D345" i="39" s="1"/>
  <c r="E345" i="39" s="1"/>
  <c r="F345" i="39" s="1"/>
  <c r="G345" i="39" s="1"/>
  <c r="H345" i="39" s="1"/>
  <c r="I345" i="39" s="1"/>
  <c r="J345" i="39" s="1"/>
  <c r="K345" i="39" s="1"/>
  <c r="L345" i="39" s="1"/>
  <c r="M345" i="39" s="1"/>
  <c r="N345" i="39" s="1"/>
  <c r="O345" i="39" s="1"/>
  <c r="P345" i="39" s="1"/>
  <c r="Q345" i="39" s="1"/>
  <c r="R345" i="39" s="1"/>
  <c r="S345" i="39" s="1"/>
  <c r="T345" i="39" s="1"/>
  <c r="U345" i="39" s="1"/>
  <c r="V345" i="39" s="1"/>
  <c r="D329" i="39"/>
  <c r="E329" i="39" s="1"/>
  <c r="F329" i="39" s="1"/>
  <c r="G329" i="39" s="1"/>
  <c r="H329" i="39" s="1"/>
  <c r="I329" i="39" s="1"/>
  <c r="J329" i="39" s="1"/>
  <c r="K329" i="39" s="1"/>
  <c r="L329" i="39" s="1"/>
  <c r="M329" i="39" s="1"/>
  <c r="N329" i="39" s="1"/>
  <c r="O329" i="39" s="1"/>
  <c r="P329" i="39" s="1"/>
  <c r="Q329" i="39" s="1"/>
  <c r="R329" i="39" s="1"/>
  <c r="S329" i="39" s="1"/>
  <c r="T329" i="39" s="1"/>
  <c r="U329" i="39" s="1"/>
  <c r="V329" i="39" s="1"/>
  <c r="V351" i="29"/>
  <c r="W134" i="44"/>
  <c r="C268" i="29"/>
  <c r="G20" i="29" s="1"/>
  <c r="I127" i="44"/>
  <c r="S125" i="44" l="1"/>
  <c r="G13" i="44" s="1"/>
  <c r="C121" i="44"/>
  <c r="D125" i="44"/>
  <c r="C122" i="44"/>
  <c r="C126" i="44"/>
  <c r="E94" i="44" s="1"/>
  <c r="W130" i="44"/>
  <c r="V349" i="29"/>
  <c r="C248" i="29"/>
  <c r="G18" i="29" s="1"/>
  <c r="Q60" i="44"/>
  <c r="Q64" i="44" s="1"/>
  <c r="L60" i="44"/>
  <c r="L64" i="44" s="1"/>
  <c r="T60" i="44"/>
  <c r="T64" i="44" s="1"/>
  <c r="H60" i="44"/>
  <c r="H64" i="44" s="1"/>
  <c r="H165" i="44" s="1"/>
  <c r="E60" i="44"/>
  <c r="E64" i="44" s="1"/>
  <c r="E165" i="44" s="1"/>
  <c r="V60" i="44"/>
  <c r="V64" i="44" s="1"/>
  <c r="J60" i="44"/>
  <c r="J64" i="44" s="1"/>
  <c r="R60" i="44"/>
  <c r="R64" i="44" s="1"/>
  <c r="I60" i="44"/>
  <c r="I64" i="44" s="1"/>
  <c r="N60" i="44"/>
  <c r="N64" i="44" s="1"/>
  <c r="K60" i="44"/>
  <c r="K64" i="44" s="1"/>
  <c r="F60" i="44"/>
  <c r="F64" i="44" s="1"/>
  <c r="F165" i="44" s="1"/>
  <c r="M60" i="44"/>
  <c r="M64" i="44" s="1"/>
  <c r="U60" i="44"/>
  <c r="U64" i="44" s="1"/>
  <c r="S60" i="44"/>
  <c r="S64" i="44" s="1"/>
  <c r="W60" i="44"/>
  <c r="W64" i="44" s="1"/>
  <c r="D60" i="44"/>
  <c r="P60" i="44"/>
  <c r="P64" i="44" s="1"/>
  <c r="O60" i="44"/>
  <c r="O64" i="44" s="1"/>
  <c r="G60" i="44"/>
  <c r="G64" i="44" s="1"/>
  <c r="G165" i="44" s="1"/>
  <c r="D56" i="44"/>
  <c r="E14" i="44"/>
  <c r="I166" i="44"/>
  <c r="G25" i="29"/>
  <c r="W144" i="44"/>
  <c r="C132" i="44"/>
  <c r="G24" i="29"/>
  <c r="F14" i="44"/>
  <c r="N166" i="44"/>
  <c r="S62" i="44"/>
  <c r="S66" i="44" s="1"/>
  <c r="K62" i="44"/>
  <c r="K66" i="44" s="1"/>
  <c r="W62" i="44"/>
  <c r="W66" i="44" s="1"/>
  <c r="R62" i="44"/>
  <c r="R66" i="44" s="1"/>
  <c r="M62" i="44"/>
  <c r="M66" i="44" s="1"/>
  <c r="V62" i="44"/>
  <c r="V66" i="44" s="1"/>
  <c r="J62" i="44"/>
  <c r="J66" i="44" s="1"/>
  <c r="E62" i="44"/>
  <c r="E66" i="44" s="1"/>
  <c r="E167" i="44" s="1"/>
  <c r="P62" i="44"/>
  <c r="P66" i="44" s="1"/>
  <c r="Q62" i="44"/>
  <c r="Q66" i="44" s="1"/>
  <c r="D62" i="44"/>
  <c r="D58" i="44"/>
  <c r="F62" i="44"/>
  <c r="F66" i="44" s="1"/>
  <c r="F167" i="44" s="1"/>
  <c r="O62" i="44"/>
  <c r="O66" i="44" s="1"/>
  <c r="H62" i="44"/>
  <c r="H66" i="44" s="1"/>
  <c r="H167" i="44" s="1"/>
  <c r="I62" i="44"/>
  <c r="I66" i="44" s="1"/>
  <c r="T62" i="44"/>
  <c r="T66" i="44" s="1"/>
  <c r="U62" i="44"/>
  <c r="U66" i="44" s="1"/>
  <c r="G62" i="44"/>
  <c r="G66" i="44" s="1"/>
  <c r="G167" i="44" s="1"/>
  <c r="L62" i="44"/>
  <c r="L66" i="44" s="1"/>
  <c r="N62" i="44"/>
  <c r="N66" i="44" s="1"/>
  <c r="K61" i="44"/>
  <c r="K65" i="44" s="1"/>
  <c r="E61" i="44"/>
  <c r="E65" i="44" s="1"/>
  <c r="E166" i="44" s="1"/>
  <c r="T61" i="44"/>
  <c r="T65" i="44" s="1"/>
  <c r="J61" i="44"/>
  <c r="J65" i="44" s="1"/>
  <c r="W61" i="44"/>
  <c r="W65" i="44" s="1"/>
  <c r="F61" i="44"/>
  <c r="F65" i="44" s="1"/>
  <c r="F166" i="44" s="1"/>
  <c r="I61" i="44"/>
  <c r="I65" i="44" s="1"/>
  <c r="V61" i="44"/>
  <c r="V65" i="44" s="1"/>
  <c r="N61" i="44"/>
  <c r="N65" i="44" s="1"/>
  <c r="G61" i="44"/>
  <c r="G65" i="44" s="1"/>
  <c r="G166" i="44" s="1"/>
  <c r="U61" i="44"/>
  <c r="U65" i="44" s="1"/>
  <c r="R61" i="44"/>
  <c r="R65" i="44" s="1"/>
  <c r="M61" i="44"/>
  <c r="M65" i="44" s="1"/>
  <c r="O61" i="44"/>
  <c r="O65" i="44" s="1"/>
  <c r="L61" i="44"/>
  <c r="L65" i="44" s="1"/>
  <c r="P61" i="44"/>
  <c r="P65" i="44" s="1"/>
  <c r="S61" i="44"/>
  <c r="S65" i="44" s="1"/>
  <c r="H61" i="44"/>
  <c r="H65" i="44" s="1"/>
  <c r="H166" i="44" s="1"/>
  <c r="D57" i="44"/>
  <c r="D61" i="44"/>
  <c r="Q61" i="44"/>
  <c r="Q65" i="44" s="1"/>
  <c r="E15" i="44"/>
  <c r="I167" i="44"/>
  <c r="F15" i="44"/>
  <c r="N167" i="44"/>
  <c r="S166" i="44"/>
  <c r="G14" i="44"/>
  <c r="W145" i="44"/>
  <c r="C134" i="44"/>
  <c r="G15" i="44"/>
  <c r="S167" i="44"/>
  <c r="N165" i="44"/>
  <c r="F13" i="44"/>
  <c r="E13" i="44"/>
  <c r="I165" i="44"/>
  <c r="C127" i="44"/>
  <c r="S165" i="44" l="1"/>
  <c r="C125" i="44"/>
  <c r="E93" i="44" s="1"/>
  <c r="C60" i="44"/>
  <c r="D64" i="44"/>
  <c r="G23" i="29"/>
  <c r="W158" i="44"/>
  <c r="G20" i="44"/>
  <c r="C62" i="44"/>
  <c r="D66" i="44"/>
  <c r="C61" i="44"/>
  <c r="D65" i="44"/>
  <c r="E95" i="44"/>
  <c r="W159" i="44"/>
  <c r="G21" i="44"/>
  <c r="W143" i="44"/>
  <c r="C130" i="44"/>
  <c r="D166" i="44" l="1"/>
  <c r="D14" i="44"/>
  <c r="H14" i="44" s="1"/>
  <c r="C65" i="44"/>
  <c r="D167" i="44"/>
  <c r="D15" i="44"/>
  <c r="H15" i="44" s="1"/>
  <c r="C66" i="44"/>
  <c r="C64" i="44"/>
  <c r="D165" i="44"/>
  <c r="D13" i="44"/>
  <c r="H13" i="44" s="1"/>
  <c r="W157" i="44"/>
  <c r="G19" i="44"/>
  <c r="N170" i="44" l="1"/>
  <c r="F170" i="44"/>
  <c r="S170" i="44"/>
  <c r="U170" i="44"/>
  <c r="I170" i="44"/>
  <c r="R170" i="44"/>
  <c r="W170" i="44"/>
  <c r="E170" i="44"/>
  <c r="Q170" i="44"/>
  <c r="T170" i="44"/>
  <c r="J170" i="44"/>
  <c r="K170" i="44"/>
  <c r="P170" i="44"/>
  <c r="M170" i="44"/>
  <c r="D170" i="44"/>
  <c r="H170" i="44"/>
  <c r="O170" i="44"/>
  <c r="L170" i="44"/>
  <c r="G170" i="44"/>
  <c r="V170" i="44"/>
  <c r="E33" i="44"/>
  <c r="E32" i="44"/>
  <c r="M169" i="44"/>
  <c r="W169" i="44"/>
  <c r="T169" i="44"/>
  <c r="H169" i="44"/>
  <c r="P169" i="44"/>
  <c r="J169" i="44"/>
  <c r="U169" i="44"/>
  <c r="K169" i="44"/>
  <c r="V169" i="44"/>
  <c r="I169" i="44"/>
  <c r="S169" i="44"/>
  <c r="N169" i="44"/>
  <c r="D169" i="44"/>
  <c r="R169" i="44"/>
  <c r="L169" i="44"/>
  <c r="Q169" i="44"/>
  <c r="O169" i="44"/>
  <c r="E169" i="44"/>
  <c r="G169" i="44"/>
  <c r="F169" i="44"/>
  <c r="E34" i="44"/>
  <c r="E171" i="44"/>
  <c r="F171" i="44"/>
  <c r="H171" i="44"/>
  <c r="R171" i="44"/>
  <c r="O171" i="44"/>
  <c r="J171" i="44"/>
  <c r="Q171" i="44"/>
  <c r="I171" i="44"/>
  <c r="K171" i="44"/>
  <c r="S171" i="44"/>
  <c r="N171" i="44"/>
  <c r="U171" i="44"/>
  <c r="V171" i="44"/>
  <c r="D171" i="44"/>
  <c r="L171" i="44"/>
  <c r="P171" i="44"/>
  <c r="G171" i="44"/>
  <c r="M171" i="44"/>
  <c r="T171" i="44"/>
  <c r="W171" i="44"/>
  <c r="D63" i="27" l="1"/>
  <c r="J63" i="27" s="1"/>
  <c r="D106" i="27"/>
  <c r="J106" i="27" s="1"/>
  <c r="D148" i="27"/>
  <c r="J148" i="27" s="1"/>
  <c r="AD148" i="27" l="1"/>
  <c r="K148" i="27"/>
  <c r="K106" i="27"/>
  <c r="AD106" i="27"/>
  <c r="K63" i="27"/>
  <c r="AD63" i="27"/>
  <c r="D149" i="27"/>
  <c r="J149" i="27" s="1"/>
  <c r="D107" i="27"/>
  <c r="J107" i="27" s="1"/>
  <c r="D64" i="27"/>
  <c r="J64" i="27" s="1"/>
  <c r="AE63" i="27" l="1"/>
  <c r="L63" i="27"/>
  <c r="L106" i="27"/>
  <c r="AE106" i="27"/>
  <c r="AD64" i="27"/>
  <c r="K64" i="27"/>
  <c r="AE148" i="27"/>
  <c r="L148" i="27"/>
  <c r="K107" i="27"/>
  <c r="AD107" i="27"/>
  <c r="K149" i="27"/>
  <c r="AD149" i="27"/>
  <c r="D65" i="27"/>
  <c r="J65" i="27" s="1"/>
  <c r="D108" i="27"/>
  <c r="J108" i="27" s="1"/>
  <c r="D150" i="27"/>
  <c r="J150" i="27" s="1"/>
  <c r="AD65" i="27" l="1"/>
  <c r="K65" i="27"/>
  <c r="M148" i="27"/>
  <c r="AF148" i="27"/>
  <c r="L149" i="27"/>
  <c r="AE149" i="27"/>
  <c r="M63" i="27"/>
  <c r="AF63" i="27"/>
  <c r="AE64" i="27"/>
  <c r="L64" i="27"/>
  <c r="K150" i="27"/>
  <c r="AD150" i="27"/>
  <c r="AE107" i="27"/>
  <c r="L107" i="27"/>
  <c r="M106" i="27"/>
  <c r="AF106" i="27"/>
  <c r="D109" i="27"/>
  <c r="J109" i="27" s="1"/>
  <c r="D66" i="27"/>
  <c r="J66" i="27" s="1"/>
  <c r="D151" i="27"/>
  <c r="J151" i="27" s="1"/>
  <c r="AD108" i="27"/>
  <c r="K108" i="27"/>
  <c r="AD151" i="27" l="1"/>
  <c r="K151" i="27"/>
  <c r="L150" i="27"/>
  <c r="AE150" i="27"/>
  <c r="AG148" i="27"/>
  <c r="N148" i="27"/>
  <c r="AH148" i="27" s="1"/>
  <c r="AD66" i="27"/>
  <c r="K66" i="27"/>
  <c r="K109" i="27"/>
  <c r="AD109" i="27"/>
  <c r="N63" i="27"/>
  <c r="AG63" i="27"/>
  <c r="L65" i="27"/>
  <c r="AE65" i="27"/>
  <c r="AG106" i="27"/>
  <c r="N106" i="27"/>
  <c r="AH106" i="27" s="1"/>
  <c r="M107" i="27"/>
  <c r="AF107" i="27"/>
  <c r="AE108" i="27"/>
  <c r="L108" i="27"/>
  <c r="AF64" i="27"/>
  <c r="M64" i="27"/>
  <c r="AF149" i="27"/>
  <c r="M149" i="27"/>
  <c r="L66" i="27" l="1"/>
  <c r="AE66" i="27"/>
  <c r="N64" i="27"/>
  <c r="AH64" i="27" s="1"/>
  <c r="AG64" i="27"/>
  <c r="L109" i="27"/>
  <c r="AE109" i="27"/>
  <c r="D110" i="27"/>
  <c r="J110" i="27" s="1"/>
  <c r="D152" i="27"/>
  <c r="J152" i="27" s="1"/>
  <c r="D67" i="27"/>
  <c r="J67" i="27" s="1"/>
  <c r="M108" i="27"/>
  <c r="AF108" i="27"/>
  <c r="M65" i="27"/>
  <c r="AF65" i="27"/>
  <c r="AF150" i="27"/>
  <c r="M150" i="27"/>
  <c r="N107" i="27"/>
  <c r="AH107" i="27" s="1"/>
  <c r="AG107" i="27"/>
  <c r="AE151" i="27"/>
  <c r="L151" i="27"/>
  <c r="N149" i="27"/>
  <c r="AH149" i="27" s="1"/>
  <c r="AG149" i="27"/>
  <c r="AH63" i="27"/>
  <c r="AG65" i="27" l="1"/>
  <c r="N65" i="27"/>
  <c r="AH65" i="27" s="1"/>
  <c r="N108" i="27"/>
  <c r="AH108" i="27" s="1"/>
  <c r="AG108" i="27"/>
  <c r="AF66" i="27"/>
  <c r="M66" i="27"/>
  <c r="N150" i="27"/>
  <c r="AH150" i="27" s="1"/>
  <c r="AG150" i="27"/>
  <c r="M109" i="27"/>
  <c r="AF109" i="27"/>
  <c r="M151" i="27"/>
  <c r="AF151" i="27"/>
  <c r="K67" i="27"/>
  <c r="AD67" i="27"/>
  <c r="K152" i="27"/>
  <c r="AD152" i="27"/>
  <c r="K110" i="27"/>
  <c r="AD110" i="27"/>
  <c r="N109" i="27" l="1"/>
  <c r="AH109" i="27" s="1"/>
  <c r="AG109" i="27"/>
  <c r="AE110" i="27"/>
  <c r="L110" i="27"/>
  <c r="L67" i="27"/>
  <c r="AE67" i="27"/>
  <c r="N151" i="27"/>
  <c r="AH151" i="27" s="1"/>
  <c r="AG151" i="27"/>
  <c r="N66" i="27"/>
  <c r="AG66" i="27"/>
  <c r="D153" i="27"/>
  <c r="J153" i="27" s="1"/>
  <c r="D111" i="27"/>
  <c r="J111" i="27" s="1"/>
  <c r="D68" i="27"/>
  <c r="J68" i="27" s="1"/>
  <c r="L152" i="27"/>
  <c r="AE152" i="27"/>
  <c r="M67" i="27" l="1"/>
  <c r="AF67" i="27"/>
  <c r="AH66" i="27"/>
  <c r="M152" i="27"/>
  <c r="AF152" i="27"/>
  <c r="AD68" i="27"/>
  <c r="K68" i="27"/>
  <c r="K111" i="27"/>
  <c r="AD111" i="27"/>
  <c r="AF110" i="27"/>
  <c r="M110" i="27"/>
  <c r="AD153" i="27"/>
  <c r="K153" i="27"/>
  <c r="L153" i="27" l="1"/>
  <c r="AE153" i="27"/>
  <c r="AE68" i="27"/>
  <c r="L68" i="27"/>
  <c r="N110" i="27"/>
  <c r="AH110" i="27" s="1"/>
  <c r="AG110" i="27"/>
  <c r="N67" i="27"/>
  <c r="AG67" i="27"/>
  <c r="N152" i="27"/>
  <c r="AH152" i="27" s="1"/>
  <c r="AG152" i="27"/>
  <c r="AE111" i="27"/>
  <c r="L111" i="27"/>
  <c r="M111" i="27" l="1"/>
  <c r="AF111" i="27"/>
  <c r="AH67" i="27"/>
  <c r="M68" i="27"/>
  <c r="AF68" i="27"/>
  <c r="M153" i="27"/>
  <c r="AF153" i="27"/>
  <c r="N153" i="27" l="1"/>
  <c r="AH153" i="27" s="1"/>
  <c r="AG153" i="27"/>
  <c r="N68" i="27"/>
  <c r="AH68" i="27" s="1"/>
  <c r="AG68" i="27"/>
  <c r="AG111" i="27"/>
  <c r="N111" i="27"/>
  <c r="AH111" i="27" s="1"/>
  <c r="D154" i="27" l="1"/>
  <c r="J154" i="27" s="1"/>
  <c r="K154" i="27" s="1"/>
  <c r="L154" i="27" s="1"/>
  <c r="M154" i="27" s="1"/>
  <c r="N154" i="27" s="1"/>
  <c r="D69" i="27"/>
  <c r="J69" i="27" s="1"/>
  <c r="D112" i="27"/>
  <c r="J112" i="27" s="1"/>
  <c r="K112" i="27" l="1"/>
  <c r="K69" i="27"/>
  <c r="D155" i="27"/>
  <c r="J155" i="27" s="1"/>
  <c r="K155" i="27" s="1"/>
  <c r="L155" i="27" s="1"/>
  <c r="M155" i="27" s="1"/>
  <c r="N155" i="27" s="1"/>
  <c r="D70" i="27"/>
  <c r="J70" i="27" s="1"/>
  <c r="D113" i="27"/>
  <c r="J113" i="27" s="1"/>
  <c r="K113" i="27" l="1"/>
  <c r="K70" i="27"/>
  <c r="D156" i="27"/>
  <c r="J156" i="27" s="1"/>
  <c r="D71" i="27"/>
  <c r="J71" i="27" s="1"/>
  <c r="D114" i="27"/>
  <c r="J114" i="27" s="1"/>
  <c r="L69" i="27"/>
  <c r="L112" i="27"/>
  <c r="M112" i="27" l="1"/>
  <c r="D157" i="27"/>
  <c r="J157" i="27" s="1"/>
  <c r="D72" i="27"/>
  <c r="J72" i="27" s="1"/>
  <c r="D115" i="27"/>
  <c r="J115" i="27" s="1"/>
  <c r="M69" i="27"/>
  <c r="L70" i="27"/>
  <c r="K114" i="27"/>
  <c r="K71" i="27"/>
  <c r="K156" i="27"/>
  <c r="L113" i="27"/>
  <c r="K115" i="27" l="1"/>
  <c r="K72" i="27"/>
  <c r="M113" i="27"/>
  <c r="K157" i="27"/>
  <c r="L157" i="27" s="1"/>
  <c r="M157" i="27" s="1"/>
  <c r="N157" i="27" s="1"/>
  <c r="L114" i="27"/>
  <c r="L156" i="27"/>
  <c r="M70" i="27"/>
  <c r="L71" i="27"/>
  <c r="N112" i="27"/>
  <c r="N69" i="27"/>
  <c r="M156" i="27" l="1"/>
  <c r="N113" i="27"/>
  <c r="M71" i="27"/>
  <c r="L72" i="27"/>
  <c r="M114" i="27"/>
  <c r="N70" i="27"/>
  <c r="L115" i="27"/>
  <c r="N114" i="27" l="1"/>
  <c r="M115" i="27"/>
  <c r="D158" i="27"/>
  <c r="J158" i="27" s="1"/>
  <c r="D73" i="27"/>
  <c r="J73" i="27" s="1"/>
  <c r="D116" i="27"/>
  <c r="J116" i="27" s="1"/>
  <c r="M72" i="27"/>
  <c r="N156" i="27"/>
  <c r="N71" i="27"/>
  <c r="AD158" i="27" l="1"/>
  <c r="K158" i="27"/>
  <c r="N115" i="27"/>
  <c r="D159" i="27"/>
  <c r="J159" i="27" s="1"/>
  <c r="D117" i="27"/>
  <c r="J117" i="27" s="1"/>
  <c r="D74" i="27"/>
  <c r="J74" i="27" s="1"/>
  <c r="K116" i="27"/>
  <c r="AD116" i="27"/>
  <c r="N72" i="27"/>
  <c r="K73" i="27"/>
  <c r="AD73" i="27"/>
  <c r="D75" i="27" l="1"/>
  <c r="J75" i="27" s="1"/>
  <c r="D160" i="27"/>
  <c r="J160" i="27" s="1"/>
  <c r="D118" i="27"/>
  <c r="J118" i="27" s="1"/>
  <c r="L158" i="27"/>
  <c r="AE158" i="27"/>
  <c r="L116" i="27"/>
  <c r="AE116" i="27"/>
  <c r="AD74" i="27"/>
  <c r="K74" i="27"/>
  <c r="L73" i="27"/>
  <c r="AE73" i="27"/>
  <c r="AD117" i="27"/>
  <c r="K117" i="27"/>
  <c r="AD159" i="27"/>
  <c r="K159" i="27"/>
  <c r="K118" i="27" l="1"/>
  <c r="AD118" i="27"/>
  <c r="L117" i="27"/>
  <c r="AE117" i="27"/>
  <c r="AE74" i="27"/>
  <c r="L74" i="27"/>
  <c r="AD160" i="27"/>
  <c r="K160" i="27"/>
  <c r="K75" i="27"/>
  <c r="AD75" i="27"/>
  <c r="AE159" i="27"/>
  <c r="L159" i="27"/>
  <c r="AF158" i="27"/>
  <c r="M158" i="27"/>
  <c r="AF73" i="27"/>
  <c r="M73" i="27"/>
  <c r="AF116" i="27"/>
  <c r="M116" i="27"/>
  <c r="AE160" i="27" l="1"/>
  <c r="L160" i="27"/>
  <c r="AG158" i="27"/>
  <c r="N158" i="27"/>
  <c r="AG73" i="27"/>
  <c r="N73" i="27"/>
  <c r="M159" i="27"/>
  <c r="AF159" i="27"/>
  <c r="N116" i="27"/>
  <c r="AG116" i="27"/>
  <c r="M74" i="27"/>
  <c r="AF74" i="27"/>
  <c r="L118" i="27"/>
  <c r="AE118" i="27"/>
  <c r="AE75" i="27"/>
  <c r="L75" i="27"/>
  <c r="M117" i="27"/>
  <c r="AF117" i="27"/>
  <c r="AH158" i="27" l="1"/>
  <c r="M75" i="27"/>
  <c r="AF75" i="27"/>
  <c r="AH73" i="27"/>
  <c r="AF160" i="27"/>
  <c r="M160" i="27"/>
  <c r="M118" i="27"/>
  <c r="AF118" i="27"/>
  <c r="AH116" i="27"/>
  <c r="D161" i="27"/>
  <c r="J161" i="27" s="1"/>
  <c r="D119" i="27"/>
  <c r="J119" i="27" s="1"/>
  <c r="D76" i="27"/>
  <c r="J76" i="27" s="1"/>
  <c r="N117" i="27"/>
  <c r="AH117" i="27" s="1"/>
  <c r="AG117" i="27"/>
  <c r="N74" i="27"/>
  <c r="AH74" i="27" s="1"/>
  <c r="AG74" i="27"/>
  <c r="N159" i="27"/>
  <c r="AH159" i="27" s="1"/>
  <c r="AG159" i="27"/>
  <c r="N160" i="27" l="1"/>
  <c r="AH160" i="27" s="1"/>
  <c r="AG160" i="27"/>
  <c r="AD76" i="27"/>
  <c r="K76" i="27"/>
  <c r="AD119" i="27"/>
  <c r="K119" i="27"/>
  <c r="K161" i="27"/>
  <c r="AD161" i="27"/>
  <c r="N118" i="27"/>
  <c r="AG118" i="27"/>
  <c r="N75" i="27"/>
  <c r="AH75" i="27" s="1"/>
  <c r="AG75" i="27"/>
  <c r="AE76" i="27" l="1"/>
  <c r="L76" i="27"/>
  <c r="L119" i="27"/>
  <c r="AE119" i="27"/>
  <c r="AH118" i="27"/>
  <c r="L161" i="27"/>
  <c r="AE161" i="27"/>
  <c r="M161" i="27" l="1"/>
  <c r="AF161" i="27"/>
  <c r="M119" i="27"/>
  <c r="AF119" i="27"/>
  <c r="AF76" i="27"/>
  <c r="M76" i="27"/>
  <c r="N119" i="27" l="1"/>
  <c r="AG119" i="27"/>
  <c r="N76" i="27"/>
  <c r="AG76" i="27"/>
  <c r="N161" i="27"/>
  <c r="AG161" i="27"/>
  <c r="AH119" i="27" l="1"/>
  <c r="D120" i="27"/>
  <c r="J120" i="27" s="1"/>
  <c r="D77" i="27"/>
  <c r="J77" i="27" s="1"/>
  <c r="D162" i="27"/>
  <c r="J162" i="27" s="1"/>
  <c r="AH76" i="27"/>
  <c r="AH161" i="27"/>
  <c r="K120" i="27" l="1"/>
  <c r="AD120" i="27"/>
  <c r="AD162" i="27"/>
  <c r="K162" i="27"/>
  <c r="D121" i="27"/>
  <c r="J121" i="27" s="1"/>
  <c r="D163" i="27"/>
  <c r="J163" i="27" s="1"/>
  <c r="D78" i="27"/>
  <c r="J78" i="27" s="1"/>
  <c r="AD77" i="27"/>
  <c r="K77" i="27"/>
  <c r="AE77" i="27" l="1"/>
  <c r="L77" i="27"/>
  <c r="L162" i="27"/>
  <c r="AE162" i="27"/>
  <c r="K78" i="27"/>
  <c r="AD78" i="27"/>
  <c r="AD163" i="27"/>
  <c r="K163" i="27"/>
  <c r="D164" i="27"/>
  <c r="J164" i="27" s="1"/>
  <c r="D79" i="27"/>
  <c r="J79" i="27" s="1"/>
  <c r="D122" i="27"/>
  <c r="J122" i="27" s="1"/>
  <c r="AD121" i="27"/>
  <c r="K121" i="27"/>
  <c r="AE120" i="27"/>
  <c r="L120" i="27"/>
  <c r="AD122" i="27" l="1"/>
  <c r="K122" i="27"/>
  <c r="K79" i="27"/>
  <c r="AD79" i="27"/>
  <c r="M120" i="27"/>
  <c r="AF120" i="27"/>
  <c r="K164" i="27"/>
  <c r="AD164" i="27"/>
  <c r="AE163" i="27"/>
  <c r="L163" i="27"/>
  <c r="AF77" i="27"/>
  <c r="M77" i="27"/>
  <c r="M162" i="27"/>
  <c r="AF162" i="27"/>
  <c r="AE121" i="27"/>
  <c r="L121" i="27"/>
  <c r="D80" i="27"/>
  <c r="J80" i="27" s="1"/>
  <c r="D165" i="27"/>
  <c r="J165" i="27" s="1"/>
  <c r="D123" i="27"/>
  <c r="J123" i="27" s="1"/>
  <c r="L78" i="27"/>
  <c r="AE78" i="27"/>
  <c r="M121" i="27" l="1"/>
  <c r="AF121" i="27"/>
  <c r="AE79" i="27"/>
  <c r="L79" i="27"/>
  <c r="AF78" i="27"/>
  <c r="M78" i="27"/>
  <c r="AG120" i="27"/>
  <c r="N120" i="27"/>
  <c r="AE164" i="27"/>
  <c r="L164" i="27"/>
  <c r="L122" i="27"/>
  <c r="AE122" i="27"/>
  <c r="N77" i="27"/>
  <c r="AG77" i="27"/>
  <c r="K123" i="27"/>
  <c r="AD123" i="27"/>
  <c r="K165" i="27"/>
  <c r="AD165" i="27"/>
  <c r="M163" i="27"/>
  <c r="AF163" i="27"/>
  <c r="K80" i="27"/>
  <c r="AD80" i="27"/>
  <c r="AG162" i="27"/>
  <c r="N162" i="27"/>
  <c r="AH162" i="27" l="1"/>
  <c r="L165" i="27"/>
  <c r="AE165" i="27"/>
  <c r="AH77" i="27"/>
  <c r="L123" i="27"/>
  <c r="AE123" i="27"/>
  <c r="AH120" i="27"/>
  <c r="AG121" i="27"/>
  <c r="N121" i="27"/>
  <c r="AH121" i="27" s="1"/>
  <c r="AE80" i="27"/>
  <c r="L80" i="27"/>
  <c r="M164" i="27"/>
  <c r="AF164" i="27"/>
  <c r="N78" i="27"/>
  <c r="AH78" i="27" s="1"/>
  <c r="AG78" i="27"/>
  <c r="M122" i="27"/>
  <c r="AF122" i="27"/>
  <c r="AF79" i="27"/>
  <c r="M79" i="27"/>
  <c r="AG163" i="27"/>
  <c r="N163" i="27"/>
  <c r="AH163" i="27" s="1"/>
  <c r="N122" i="27" l="1"/>
  <c r="AG122" i="27"/>
  <c r="AF123" i="27"/>
  <c r="M123" i="27"/>
  <c r="AG164" i="27"/>
  <c r="N164" i="27"/>
  <c r="AH164" i="27" s="1"/>
  <c r="M165" i="27"/>
  <c r="AF165" i="27"/>
  <c r="M80" i="27"/>
  <c r="AF80" i="27"/>
  <c r="AG79" i="27"/>
  <c r="N79" i="27"/>
  <c r="AH79" i="27" s="1"/>
  <c r="N165" i="27" l="1"/>
  <c r="AG165" i="27"/>
  <c r="AG123" i="27"/>
  <c r="N123" i="27"/>
  <c r="AH122" i="27"/>
  <c r="N80" i="27"/>
  <c r="AG80" i="27"/>
  <c r="AH123" i="27" l="1"/>
  <c r="AH80" i="27"/>
  <c r="AH165" i="27"/>
  <c r="D166" i="27" l="1"/>
  <c r="J166" i="27" s="1"/>
  <c r="D124" i="27"/>
  <c r="J124" i="27" s="1"/>
  <c r="D81" i="27"/>
  <c r="J81" i="27" s="1"/>
  <c r="K81" i="27" l="1"/>
  <c r="AD81" i="27"/>
  <c r="AD124" i="27"/>
  <c r="K124" i="27"/>
  <c r="K166" i="27"/>
  <c r="AD166" i="27"/>
  <c r="D125" i="27"/>
  <c r="J125" i="27" s="1"/>
  <c r="D82" i="27"/>
  <c r="J82" i="27" s="1"/>
  <c r="D167" i="27"/>
  <c r="J167" i="27" s="1"/>
  <c r="AE124" i="27" l="1"/>
  <c r="L124" i="27"/>
  <c r="K167" i="27"/>
  <c r="AD167" i="27"/>
  <c r="L166" i="27"/>
  <c r="AE166" i="27"/>
  <c r="AD125" i="27"/>
  <c r="K125" i="27"/>
  <c r="AD82" i="27"/>
  <c r="K82" i="27"/>
  <c r="L81" i="27"/>
  <c r="AE81" i="27"/>
  <c r="L82" i="27" l="1"/>
  <c r="AE82" i="27"/>
  <c r="M81" i="27"/>
  <c r="AF81" i="27"/>
  <c r="AF166" i="27"/>
  <c r="M166" i="27"/>
  <c r="M124" i="27"/>
  <c r="AF124" i="27"/>
  <c r="AE125" i="27"/>
  <c r="L125" i="27"/>
  <c r="L167" i="27"/>
  <c r="AE167" i="27"/>
  <c r="N124" i="27" l="1"/>
  <c r="AG124" i="27"/>
  <c r="D126" i="27"/>
  <c r="J126" i="27" s="1"/>
  <c r="D168" i="27"/>
  <c r="J168" i="27" s="1"/>
  <c r="D83" i="27"/>
  <c r="J83" i="27" s="1"/>
  <c r="AG81" i="27"/>
  <c r="N81" i="27"/>
  <c r="N166" i="27"/>
  <c r="AG166" i="27"/>
  <c r="M167" i="27"/>
  <c r="AF167" i="27"/>
  <c r="AF82" i="27"/>
  <c r="M82" i="27"/>
  <c r="M125" i="27"/>
  <c r="AF125" i="27"/>
  <c r="N167" i="27" l="1"/>
  <c r="AH167" i="27" s="1"/>
  <c r="AG167" i="27"/>
  <c r="D84" i="27"/>
  <c r="J84" i="27" s="1"/>
  <c r="D169" i="27"/>
  <c r="J169" i="27" s="1"/>
  <c r="D127" i="27"/>
  <c r="J127" i="27" s="1"/>
  <c r="K83" i="27"/>
  <c r="AD83" i="27"/>
  <c r="AD168" i="27"/>
  <c r="K168" i="27"/>
  <c r="AD126" i="27"/>
  <c r="K126" i="27"/>
  <c r="AH124" i="27"/>
  <c r="AG82" i="27"/>
  <c r="N82" i="27"/>
  <c r="AH82" i="27" s="1"/>
  <c r="N125" i="27"/>
  <c r="AH125" i="27" s="1"/>
  <c r="AG125" i="27"/>
  <c r="AH166" i="27"/>
  <c r="AH81" i="27"/>
  <c r="AD127" i="27" l="1"/>
  <c r="K127" i="27"/>
  <c r="K169" i="27"/>
  <c r="AD169" i="27"/>
  <c r="AD84" i="27"/>
  <c r="K84" i="27"/>
  <c r="L168" i="27"/>
  <c r="AE168" i="27"/>
  <c r="L83" i="27"/>
  <c r="AE83" i="27"/>
  <c r="L126" i="27"/>
  <c r="AE126" i="27"/>
  <c r="AF83" i="27" l="1"/>
  <c r="M83" i="27"/>
  <c r="AE84" i="27"/>
  <c r="L84" i="27"/>
  <c r="M126" i="27"/>
  <c r="AF126" i="27"/>
  <c r="L169" i="27"/>
  <c r="AE169" i="27"/>
  <c r="AE127" i="27"/>
  <c r="L127" i="27"/>
  <c r="AF168" i="27"/>
  <c r="M168" i="27"/>
  <c r="M84" i="27" l="1"/>
  <c r="AF84" i="27"/>
  <c r="M169" i="27"/>
  <c r="AF169" i="27"/>
  <c r="AF127" i="27"/>
  <c r="M127" i="27"/>
  <c r="N83" i="27"/>
  <c r="AG83" i="27"/>
  <c r="N168" i="27"/>
  <c r="AG168" i="27"/>
  <c r="AG126" i="27"/>
  <c r="N126" i="27"/>
  <c r="AH83" i="27" l="1"/>
  <c r="AG127" i="27"/>
  <c r="N127" i="27"/>
  <c r="AH127" i="27" s="1"/>
  <c r="AH168" i="27"/>
  <c r="AH126" i="27"/>
  <c r="N169" i="27"/>
  <c r="AH169" i="27" s="1"/>
  <c r="AG169" i="27"/>
  <c r="AG84" i="27"/>
  <c r="N84" i="27"/>
  <c r="AH84" i="27" s="1"/>
  <c r="D85" i="27" l="1"/>
  <c r="J85" i="27" s="1"/>
  <c r="D170" i="27"/>
  <c r="J170" i="27" s="1"/>
  <c r="D128" i="27"/>
  <c r="J128" i="27" s="1"/>
  <c r="AD128" i="27" l="1"/>
  <c r="K128" i="27"/>
  <c r="K170" i="27"/>
  <c r="AD170" i="27"/>
  <c r="K85" i="27"/>
  <c r="AD85" i="27"/>
  <c r="D129" i="27"/>
  <c r="J129" i="27" s="1"/>
  <c r="D171" i="27"/>
  <c r="J171" i="27" s="1"/>
  <c r="D86" i="27"/>
  <c r="J86" i="27" s="1"/>
  <c r="AD129" i="27" l="1"/>
  <c r="K129" i="27"/>
  <c r="AD86" i="27"/>
  <c r="K86" i="27"/>
  <c r="AE85" i="27"/>
  <c r="L85" i="27"/>
  <c r="L128" i="27"/>
  <c r="AE128" i="27"/>
  <c r="D87" i="27"/>
  <c r="J87" i="27" s="1"/>
  <c r="D172" i="27"/>
  <c r="J172" i="27" s="1"/>
  <c r="D130" i="27"/>
  <c r="J130" i="27" s="1"/>
  <c r="AD171" i="27"/>
  <c r="K171" i="27"/>
  <c r="L170" i="27"/>
  <c r="AE170" i="27"/>
  <c r="L86" i="27" l="1"/>
  <c r="AE86" i="27"/>
  <c r="K130" i="27"/>
  <c r="AD130" i="27"/>
  <c r="K172" i="27"/>
  <c r="AD172" i="27"/>
  <c r="D131" i="27"/>
  <c r="J131" i="27" s="1"/>
  <c r="D173" i="27"/>
  <c r="J173" i="27" s="1"/>
  <c r="D88" i="27"/>
  <c r="J88" i="27" s="1"/>
  <c r="M170" i="27"/>
  <c r="AF170" i="27"/>
  <c r="AD87" i="27"/>
  <c r="K87" i="27"/>
  <c r="M128" i="27"/>
  <c r="AF128" i="27"/>
  <c r="L129" i="27"/>
  <c r="AE129" i="27"/>
  <c r="M85" i="27"/>
  <c r="AF85" i="27"/>
  <c r="AE171" i="27"/>
  <c r="L171" i="27"/>
  <c r="N170" i="27" l="1"/>
  <c r="AG170" i="27"/>
  <c r="AE87" i="27"/>
  <c r="L87" i="27"/>
  <c r="AD88" i="27"/>
  <c r="K88" i="27"/>
  <c r="AD173" i="27"/>
  <c r="K173" i="27"/>
  <c r="N85" i="27"/>
  <c r="AG85" i="27"/>
  <c r="AD131" i="27"/>
  <c r="K131" i="27"/>
  <c r="L130" i="27"/>
  <c r="AE130" i="27"/>
  <c r="L172" i="27"/>
  <c r="AE172" i="27"/>
  <c r="AF129" i="27"/>
  <c r="M129" i="27"/>
  <c r="D89" i="27"/>
  <c r="J89" i="27" s="1"/>
  <c r="D132" i="27"/>
  <c r="J132" i="27" s="1"/>
  <c r="D174" i="27"/>
  <c r="J174" i="27" s="1"/>
  <c r="AF86" i="27"/>
  <c r="M86" i="27"/>
  <c r="M171" i="27"/>
  <c r="AF171" i="27"/>
  <c r="N128" i="27"/>
  <c r="AG128" i="27"/>
  <c r="K132" i="27" l="1"/>
  <c r="AD132" i="27"/>
  <c r="AF130" i="27"/>
  <c r="M130" i="27"/>
  <c r="AG171" i="27"/>
  <c r="N171" i="27"/>
  <c r="AH171" i="27" s="1"/>
  <c r="K89" i="27"/>
  <c r="AD89" i="27"/>
  <c r="L88" i="27"/>
  <c r="AE88" i="27"/>
  <c r="AF172" i="27"/>
  <c r="M172" i="27"/>
  <c r="AH128" i="27"/>
  <c r="N129" i="27"/>
  <c r="AH129" i="27" s="1"/>
  <c r="AG129" i="27"/>
  <c r="L131" i="27"/>
  <c r="AE131" i="27"/>
  <c r="AH85" i="27"/>
  <c r="L173" i="27"/>
  <c r="AE173" i="27"/>
  <c r="AH170" i="27"/>
  <c r="AG86" i="27"/>
  <c r="N86" i="27"/>
  <c r="AH86" i="27" s="1"/>
  <c r="AD174" i="27"/>
  <c r="K174" i="27"/>
  <c r="AF87" i="27"/>
  <c r="M87" i="27"/>
  <c r="M88" i="27" l="1"/>
  <c r="AF88" i="27"/>
  <c r="D175" i="27"/>
  <c r="J175" i="27" s="1"/>
  <c r="D90" i="27"/>
  <c r="J90" i="27" s="1"/>
  <c r="D133" i="27"/>
  <c r="J133" i="27" s="1"/>
  <c r="AF131" i="27"/>
  <c r="M131" i="27"/>
  <c r="AE132" i="27"/>
  <c r="L132" i="27"/>
  <c r="L89" i="27"/>
  <c r="AE89" i="27"/>
  <c r="AG130" i="27"/>
  <c r="N130" i="27"/>
  <c r="AE174" i="27"/>
  <c r="L174" i="27"/>
  <c r="AG172" i="27"/>
  <c r="N172" i="27"/>
  <c r="N87" i="27"/>
  <c r="AH87" i="27" s="1"/>
  <c r="AG87" i="27"/>
  <c r="M173" i="27"/>
  <c r="AF173" i="27"/>
  <c r="AF174" i="27" l="1"/>
  <c r="M174" i="27"/>
  <c r="AH172" i="27"/>
  <c r="M89" i="27"/>
  <c r="AF89" i="27"/>
  <c r="N88" i="27"/>
  <c r="AG88" i="27"/>
  <c r="AG131" i="27"/>
  <c r="N131" i="27"/>
  <c r="AH131" i="27" s="1"/>
  <c r="AD133" i="27"/>
  <c r="K133" i="27"/>
  <c r="K90" i="27"/>
  <c r="AD90" i="27"/>
  <c r="N173" i="27"/>
  <c r="AH173" i="27" s="1"/>
  <c r="AG173" i="27"/>
  <c r="AH130" i="27"/>
  <c r="AF132" i="27"/>
  <c r="M132" i="27"/>
  <c r="K175" i="27"/>
  <c r="AD175" i="27"/>
  <c r="AH88" i="27" l="1"/>
  <c r="L175" i="27"/>
  <c r="AE175" i="27"/>
  <c r="L133" i="27"/>
  <c r="AE133" i="27"/>
  <c r="N132" i="27"/>
  <c r="AG132" i="27"/>
  <c r="L90" i="27"/>
  <c r="AE90" i="27"/>
  <c r="N174" i="27"/>
  <c r="AH174" i="27" s="1"/>
  <c r="AG174" i="27"/>
  <c r="AG89" i="27"/>
  <c r="N89" i="27"/>
  <c r="AH89" i="27" s="1"/>
  <c r="AF175" i="27" l="1"/>
  <c r="M175" i="27"/>
  <c r="M133" i="27"/>
  <c r="AF133" i="27"/>
  <c r="AH132" i="27"/>
  <c r="AF90" i="27"/>
  <c r="M90" i="27"/>
  <c r="D91" i="27" l="1"/>
  <c r="J91" i="27" s="1"/>
  <c r="D176" i="27"/>
  <c r="J176" i="27" s="1"/>
  <c r="D134" i="27"/>
  <c r="J134" i="27" s="1"/>
  <c r="N175" i="27"/>
  <c r="AG175" i="27"/>
  <c r="AG90" i="27"/>
  <c r="N90" i="27"/>
  <c r="N133" i="27"/>
  <c r="AG133" i="27"/>
  <c r="AH90" i="27" l="1"/>
  <c r="AH175" i="27"/>
  <c r="AH133" i="27"/>
  <c r="K134" i="27"/>
  <c r="AD134" i="27"/>
  <c r="AD176" i="27"/>
  <c r="K176" i="27"/>
  <c r="AD91" i="27"/>
  <c r="K91" i="27"/>
  <c r="D92" i="27"/>
  <c r="J92" i="27" s="1"/>
  <c r="D135" i="27"/>
  <c r="J135" i="27" s="1"/>
  <c r="D177" i="27"/>
  <c r="J177" i="27" s="1"/>
  <c r="L134" i="27" l="1"/>
  <c r="AE134" i="27"/>
  <c r="L176" i="27"/>
  <c r="AE176" i="27"/>
  <c r="AE91" i="27"/>
  <c r="L91" i="27"/>
  <c r="K177" i="27"/>
  <c r="AD177" i="27"/>
  <c r="K135" i="27"/>
  <c r="AD135" i="27"/>
  <c r="AD92" i="27"/>
  <c r="AD104" i="27" s="1"/>
  <c r="K92" i="27"/>
  <c r="AE135" i="27" l="1"/>
  <c r="L135" i="27"/>
  <c r="M176" i="27"/>
  <c r="AF176" i="27"/>
  <c r="L92" i="27"/>
  <c r="AE92" i="27"/>
  <c r="AE104" i="27" s="1"/>
  <c r="AF91" i="27"/>
  <c r="M91" i="27"/>
  <c r="M134" i="27"/>
  <c r="AF134" i="27"/>
  <c r="D136" i="27"/>
  <c r="J136" i="27" s="1"/>
  <c r="D178" i="27"/>
  <c r="J178" i="27" s="1"/>
  <c r="D93" i="27"/>
  <c r="J93" i="27" s="1"/>
  <c r="L177" i="27"/>
  <c r="AE177" i="27"/>
  <c r="K136" i="27" l="1"/>
  <c r="AD136" i="27"/>
  <c r="N91" i="27"/>
  <c r="AG91" i="27"/>
  <c r="M177" i="27"/>
  <c r="AF177" i="27"/>
  <c r="N176" i="27"/>
  <c r="AG176" i="27"/>
  <c r="AD93" i="27"/>
  <c r="K93" i="27"/>
  <c r="M135" i="27"/>
  <c r="AF135" i="27"/>
  <c r="AD178" i="27"/>
  <c r="K178" i="27"/>
  <c r="AG134" i="27"/>
  <c r="N134" i="27"/>
  <c r="AF92" i="27"/>
  <c r="AF104" i="27" s="1"/>
  <c r="M92" i="27"/>
  <c r="AG92" i="27" l="1"/>
  <c r="AG104" i="27" s="1"/>
  <c r="N92" i="27"/>
  <c r="AH92" i="27" s="1"/>
  <c r="AH176" i="27"/>
  <c r="D94" i="27"/>
  <c r="J94" i="27" s="1"/>
  <c r="D137" i="27"/>
  <c r="J137" i="27" s="1"/>
  <c r="D179" i="27"/>
  <c r="J179" i="27" s="1"/>
  <c r="AH134" i="27"/>
  <c r="AE93" i="27"/>
  <c r="L93" i="27"/>
  <c r="AH91" i="27"/>
  <c r="AH104" i="27" s="1"/>
  <c r="N177" i="27"/>
  <c r="AH177" i="27" s="1"/>
  <c r="AG177" i="27"/>
  <c r="AG135" i="27"/>
  <c r="N135" i="27"/>
  <c r="AH135" i="27" s="1"/>
  <c r="L178" i="27"/>
  <c r="AE178" i="27"/>
  <c r="AE136" i="27"/>
  <c r="L136" i="27"/>
  <c r="AD179" i="27" l="1"/>
  <c r="K179" i="27"/>
  <c r="M93" i="27"/>
  <c r="AF93" i="27"/>
  <c r="AD137" i="27"/>
  <c r="K137" i="27"/>
  <c r="K94" i="27"/>
  <c r="AD94" i="27"/>
  <c r="M136" i="27"/>
  <c r="AF136" i="27"/>
  <c r="AF178" i="27"/>
  <c r="M178" i="27"/>
  <c r="D138" i="27"/>
  <c r="J138" i="27" s="1"/>
  <c r="D180" i="27"/>
  <c r="J180" i="27" s="1"/>
  <c r="D95" i="27"/>
  <c r="J95" i="27" s="1"/>
  <c r="K180" i="27" l="1"/>
  <c r="AD180" i="27"/>
  <c r="D96" i="27"/>
  <c r="J96" i="27" s="1"/>
  <c r="D139" i="27"/>
  <c r="J139" i="27" s="1"/>
  <c r="D181" i="27"/>
  <c r="J181" i="27" s="1"/>
  <c r="L94" i="27"/>
  <c r="AE94" i="27"/>
  <c r="AD138" i="27"/>
  <c r="K138" i="27"/>
  <c r="L179" i="27"/>
  <c r="AE179" i="27"/>
  <c r="N93" i="27"/>
  <c r="AG93" i="27"/>
  <c r="AG136" i="27"/>
  <c r="N136" i="27"/>
  <c r="AE137" i="27"/>
  <c r="L137" i="27"/>
  <c r="AD95" i="27"/>
  <c r="K95" i="27"/>
  <c r="AG178" i="27"/>
  <c r="N178" i="27"/>
  <c r="L138" i="27" l="1"/>
  <c r="AE138" i="27"/>
  <c r="M94" i="27"/>
  <c r="AF94" i="27"/>
  <c r="AH93" i="27"/>
  <c r="K181" i="27"/>
  <c r="AD181" i="27"/>
  <c r="AH136" i="27"/>
  <c r="AD139" i="27"/>
  <c r="K139" i="27"/>
  <c r="K96" i="27"/>
  <c r="AD96" i="27"/>
  <c r="AH178" i="27"/>
  <c r="L95" i="27"/>
  <c r="AE95" i="27"/>
  <c r="M137" i="27"/>
  <c r="AF137" i="27"/>
  <c r="M179" i="27"/>
  <c r="AF179" i="27"/>
  <c r="L180" i="27"/>
  <c r="AE180" i="27"/>
  <c r="D182" i="27"/>
  <c r="J182" i="27" s="1"/>
  <c r="D140" i="27"/>
  <c r="J140" i="27" s="1"/>
  <c r="D97" i="27"/>
  <c r="J97" i="27" s="1"/>
  <c r="K97" i="27" l="1"/>
  <c r="AD97" i="27"/>
  <c r="AD182" i="27"/>
  <c r="K182" i="27"/>
  <c r="N137" i="27"/>
  <c r="AG137" i="27"/>
  <c r="K140" i="27"/>
  <c r="AD140" i="27"/>
  <c r="M180" i="27"/>
  <c r="AF180" i="27"/>
  <c r="N179" i="27"/>
  <c r="AG179" i="27"/>
  <c r="M95" i="27"/>
  <c r="AF95" i="27"/>
  <c r="N94" i="27"/>
  <c r="AG94" i="27"/>
  <c r="AF138" i="27"/>
  <c r="M138" i="27"/>
  <c r="AE96" i="27"/>
  <c r="L96" i="27"/>
  <c r="D141" i="27"/>
  <c r="J141" i="27" s="1"/>
  <c r="D98" i="27"/>
  <c r="J98" i="27" s="1"/>
  <c r="D183" i="27"/>
  <c r="J183" i="27" s="1"/>
  <c r="L139" i="27"/>
  <c r="AE139" i="27"/>
  <c r="AE181" i="27"/>
  <c r="L181" i="27"/>
  <c r="AD98" i="27" l="1"/>
  <c r="K98" i="27"/>
  <c r="N95" i="27"/>
  <c r="AH95" i="27" s="1"/>
  <c r="AG95" i="27"/>
  <c r="AG180" i="27"/>
  <c r="N180" i="27"/>
  <c r="AH180" i="27" s="1"/>
  <c r="AF139" i="27"/>
  <c r="M139" i="27"/>
  <c r="AD141" i="27"/>
  <c r="K141" i="27"/>
  <c r="AF181" i="27"/>
  <c r="M181" i="27"/>
  <c r="L182" i="27"/>
  <c r="AE182" i="27"/>
  <c r="AF96" i="27"/>
  <c r="M96" i="27"/>
  <c r="AH137" i="27"/>
  <c r="D99" i="27"/>
  <c r="J99" i="27" s="1"/>
  <c r="D184" i="27"/>
  <c r="J184" i="27" s="1"/>
  <c r="D142" i="27"/>
  <c r="J142" i="27" s="1"/>
  <c r="N138" i="27"/>
  <c r="AH138" i="27" s="1"/>
  <c r="AG138" i="27"/>
  <c r="AH94" i="27"/>
  <c r="L140" i="27"/>
  <c r="AE140" i="27"/>
  <c r="AH179" i="27"/>
  <c r="AE97" i="27"/>
  <c r="L97" i="27"/>
  <c r="K183" i="27"/>
  <c r="AD183" i="27"/>
  <c r="L183" i="27" l="1"/>
  <c r="AE183" i="27"/>
  <c r="D100" i="27"/>
  <c r="J100" i="27" s="1"/>
  <c r="D185" i="27"/>
  <c r="J185" i="27" s="1"/>
  <c r="D143" i="27"/>
  <c r="J143" i="27" s="1"/>
  <c r="AG96" i="27"/>
  <c r="N96" i="27"/>
  <c r="M140" i="27"/>
  <c r="AF140" i="27"/>
  <c r="AG181" i="27"/>
  <c r="N181" i="27"/>
  <c r="AD142" i="27"/>
  <c r="K142" i="27"/>
  <c r="M182" i="27"/>
  <c r="AF182" i="27"/>
  <c r="M97" i="27"/>
  <c r="AF97" i="27"/>
  <c r="K184" i="27"/>
  <c r="AD184" i="27"/>
  <c r="K99" i="27"/>
  <c r="AD99" i="27"/>
  <c r="N139" i="27"/>
  <c r="AG139" i="27"/>
  <c r="AE98" i="27"/>
  <c r="L98" i="27"/>
  <c r="L141" i="27"/>
  <c r="AE141" i="27"/>
  <c r="AF98" i="27" l="1"/>
  <c r="M98" i="27"/>
  <c r="N97" i="27"/>
  <c r="AH97" i="27" s="1"/>
  <c r="AG97" i="27"/>
  <c r="AH96" i="27"/>
  <c r="M141" i="27"/>
  <c r="AF141" i="27"/>
  <c r="AE99" i="27"/>
  <c r="L99" i="27"/>
  <c r="N140" i="27"/>
  <c r="AG140" i="27"/>
  <c r="K143" i="27"/>
  <c r="AD143" i="27"/>
  <c r="M183" i="27"/>
  <c r="AF183" i="27"/>
  <c r="AD185" i="27"/>
  <c r="K185" i="27"/>
  <c r="D186" i="27"/>
  <c r="J186" i="27" s="1"/>
  <c r="D101" i="27"/>
  <c r="J101" i="27" s="1"/>
  <c r="D144" i="27"/>
  <c r="J144" i="27" s="1"/>
  <c r="N182" i="27"/>
  <c r="AH182" i="27" s="1"/>
  <c r="AG182" i="27"/>
  <c r="AH181" i="27"/>
  <c r="K100" i="27"/>
  <c r="AD100" i="27"/>
  <c r="L184" i="27"/>
  <c r="AE184" i="27"/>
  <c r="AH139" i="27"/>
  <c r="L142" i="27"/>
  <c r="AE142" i="27"/>
  <c r="D145" i="27" l="1"/>
  <c r="J145" i="27" s="1"/>
  <c r="D187" i="27"/>
  <c r="J187" i="27" s="1"/>
  <c r="AD154" i="27" s="1" a="1"/>
  <c r="AD154" i="27" s="1"/>
  <c r="D102" i="27"/>
  <c r="L100" i="27"/>
  <c r="AE100" i="27"/>
  <c r="AH140" i="27"/>
  <c r="N141" i="27"/>
  <c r="AG141" i="27"/>
  <c r="M184" i="27"/>
  <c r="AF184" i="27"/>
  <c r="K144" i="27"/>
  <c r="AD144" i="27"/>
  <c r="AD115" i="27" a="1"/>
  <c r="AD115" i="27" s="1"/>
  <c r="AD113" i="27" a="1"/>
  <c r="AD113" i="27" s="1"/>
  <c r="AD114" i="27" a="1"/>
  <c r="AD114" i="27" s="1"/>
  <c r="N183" i="27"/>
  <c r="AG183" i="27"/>
  <c r="AG98" i="27"/>
  <c r="N98" i="27"/>
  <c r="K101" i="27"/>
  <c r="AD101" i="27"/>
  <c r="AD112" i="27" a="1"/>
  <c r="AD112" i="27" s="1"/>
  <c r="K186" i="27"/>
  <c r="AD186" i="27"/>
  <c r="M99" i="27"/>
  <c r="AF99" i="27"/>
  <c r="AF142" i="27"/>
  <c r="M142" i="27"/>
  <c r="L185" i="27"/>
  <c r="AE185" i="27"/>
  <c r="AE143" i="27"/>
  <c r="L143" i="27"/>
  <c r="AD157" i="27" l="1" a="1"/>
  <c r="AD157" i="27" s="1"/>
  <c r="AD155" i="27" a="1"/>
  <c r="AD155" i="27" s="1"/>
  <c r="L186" i="27"/>
  <c r="AE186" i="27"/>
  <c r="AG184" i="27"/>
  <c r="N184" i="27"/>
  <c r="AD145" i="27"/>
  <c r="AD3" i="27" s="1"/>
  <c r="AW3" i="27" s="1"/>
  <c r="K145" i="27"/>
  <c r="AH98" i="27"/>
  <c r="AF185" i="27"/>
  <c r="M185" i="27"/>
  <c r="L144" i="27"/>
  <c r="AE144" i="27"/>
  <c r="N142" i="27"/>
  <c r="AH142" i="27" s="1"/>
  <c r="AG142" i="27"/>
  <c r="L101" i="27"/>
  <c r="AE101" i="27"/>
  <c r="M100" i="27"/>
  <c r="AF100" i="27"/>
  <c r="AH183" i="27"/>
  <c r="AH141" i="27"/>
  <c r="Y102" i="27"/>
  <c r="J102" i="27"/>
  <c r="N99" i="27"/>
  <c r="AH99" i="27" s="1"/>
  <c r="AG99" i="27"/>
  <c r="M143" i="27"/>
  <c r="AF143" i="27"/>
  <c r="K187" i="27"/>
  <c r="AE154" i="27" s="1" a="1"/>
  <c r="AE154" i="27" s="1"/>
  <c r="AD187" i="27"/>
  <c r="AD156" i="27" a="1"/>
  <c r="AD156" i="27" s="1"/>
  <c r="AR82" i="27" l="1"/>
  <c r="AT63" i="27" s="1"/>
  <c r="Y230" i="27"/>
  <c r="Z230" i="27" s="1"/>
  <c r="AA230" i="27" s="1"/>
  <c r="AB230" i="27" s="1"/>
  <c r="AC230" i="27" s="1"/>
  <c r="Y2" i="27"/>
  <c r="AS2" i="27" s="1"/>
  <c r="Y103" i="27" a="1"/>
  <c r="Y103" i="27" s="1"/>
  <c r="Y231" i="27" s="1"/>
  <c r="AD146" i="27" a="1"/>
  <c r="AD146" i="27" s="1"/>
  <c r="AD4" i="27"/>
  <c r="AW4" i="27" s="1"/>
  <c r="AE156" i="27" a="1"/>
  <c r="AE156" i="27" s="1"/>
  <c r="AE145" i="27"/>
  <c r="L145" i="27"/>
  <c r="AE113" i="27" a="1"/>
  <c r="AE113" i="27" s="1"/>
  <c r="AE115" i="27" a="1"/>
  <c r="AE115" i="27" s="1"/>
  <c r="AE114" i="27" a="1"/>
  <c r="AE114" i="27" s="1"/>
  <c r="AE112" i="27" a="1"/>
  <c r="AE112" i="27" s="1"/>
  <c r="L187" i="27"/>
  <c r="AE187" i="27"/>
  <c r="AF144" i="27"/>
  <c r="M144" i="27"/>
  <c r="AF115" i="27" a="1"/>
  <c r="AF115" i="27" s="1"/>
  <c r="M186" i="27"/>
  <c r="AF186" i="27"/>
  <c r="AD102" i="27"/>
  <c r="K102" i="27"/>
  <c r="J4" i="27"/>
  <c r="AD71" i="27" a="1"/>
  <c r="AD71" i="27" s="1"/>
  <c r="AD69" i="27" a="1"/>
  <c r="AD69" i="27" s="1"/>
  <c r="AD70" i="27" a="1"/>
  <c r="AD70" i="27" s="1"/>
  <c r="AD72" i="27" a="1"/>
  <c r="AD72" i="27" s="1"/>
  <c r="M101" i="27"/>
  <c r="AF101" i="27"/>
  <c r="AH184" i="27"/>
  <c r="AF113" i="27" a="1"/>
  <c r="AF113" i="27" s="1"/>
  <c r="AD188" i="27" a="1"/>
  <c r="AD188" i="27" s="1"/>
  <c r="N143" i="27"/>
  <c r="AG143" i="27"/>
  <c r="N185" i="27"/>
  <c r="AG185" i="27"/>
  <c r="AE155" i="27" a="1"/>
  <c r="AE155" i="27" s="1"/>
  <c r="AG100" i="27"/>
  <c r="N100" i="27"/>
  <c r="AH100" i="27" s="1"/>
  <c r="AE157" i="27" a="1"/>
  <c r="AE157" i="27" s="1"/>
  <c r="Y9" i="27" l="1"/>
  <c r="C312" i="29" s="1"/>
  <c r="C318" i="29" s="1"/>
  <c r="Y8" i="27"/>
  <c r="C296" i="29" s="1"/>
  <c r="C302" i="29" s="1"/>
  <c r="AD230" i="27"/>
  <c r="AE230" i="27" s="1"/>
  <c r="AF230" i="27" s="1"/>
  <c r="AG230" i="27" s="1"/>
  <c r="AH230" i="27" s="1"/>
  <c r="AI230" i="27" s="1"/>
  <c r="AJ230" i="27" s="1"/>
  <c r="AK230" i="27" s="1"/>
  <c r="AL230" i="27" s="1"/>
  <c r="AM230" i="27" s="1"/>
  <c r="AD274" i="27"/>
  <c r="AE274" i="27" s="1"/>
  <c r="AF274" i="27" s="1"/>
  <c r="AG274" i="27" s="1"/>
  <c r="AH274" i="27" s="1"/>
  <c r="AI274" i="27" s="1"/>
  <c r="AJ274" i="27" s="1"/>
  <c r="AK274" i="27" s="1"/>
  <c r="AL274" i="27" s="1"/>
  <c r="AM274" i="27" s="1"/>
  <c r="AE188" i="27" a="1"/>
  <c r="AE188" i="27" s="1"/>
  <c r="AD103" i="27" a="1"/>
  <c r="AD103" i="27" s="1"/>
  <c r="N144" i="27"/>
  <c r="AG144" i="27"/>
  <c r="M145" i="27"/>
  <c r="AF145" i="27"/>
  <c r="AF114" i="27" a="1"/>
  <c r="AF114" i="27" s="1"/>
  <c r="AF112" i="27" a="1"/>
  <c r="AF112" i="27" s="1"/>
  <c r="L102" i="27"/>
  <c r="AE102" i="27"/>
  <c r="K4" i="27"/>
  <c r="AE71" i="27" a="1"/>
  <c r="AE71" i="27" s="1"/>
  <c r="AE72" i="27" a="1"/>
  <c r="AE72" i="27" s="1"/>
  <c r="AE70" i="27" a="1"/>
  <c r="AE70" i="27" s="1"/>
  <c r="AE69" i="27" a="1"/>
  <c r="AE69" i="27" s="1"/>
  <c r="AD2" i="27"/>
  <c r="AW2" i="27" s="1"/>
  <c r="AE4" i="27"/>
  <c r="AX4" i="27" s="1"/>
  <c r="AH185" i="27"/>
  <c r="N101" i="27"/>
  <c r="AG101" i="27"/>
  <c r="M187" i="27"/>
  <c r="AF187" i="27"/>
  <c r="AF156" i="27" a="1"/>
  <c r="AF156" i="27" s="1"/>
  <c r="AF157" i="27" a="1"/>
  <c r="AF157" i="27" s="1"/>
  <c r="AF155" i="27" a="1"/>
  <c r="AF155" i="27" s="1"/>
  <c r="AF154" i="27" a="1"/>
  <c r="AF154" i="27" s="1"/>
  <c r="AG186" i="27"/>
  <c r="N186" i="27"/>
  <c r="AG156" i="27" a="1"/>
  <c r="AG156" i="27" s="1"/>
  <c r="AE3" i="27"/>
  <c r="AX3" i="27" s="1"/>
  <c r="AE146" i="27" a="1"/>
  <c r="AE146" i="27" s="1"/>
  <c r="AH143" i="27"/>
  <c r="C306" i="29" l="1"/>
  <c r="C304" i="29"/>
  <c r="W304" i="29" s="1"/>
  <c r="C322" i="29"/>
  <c r="C320" i="29"/>
  <c r="W320" i="29" s="1"/>
  <c r="D140" i="44"/>
  <c r="C140" i="44" s="1"/>
  <c r="D138" i="44"/>
  <c r="C138" i="44" s="1"/>
  <c r="D139" i="44"/>
  <c r="C139" i="44" s="1"/>
  <c r="AF146" i="27" a="1"/>
  <c r="AF146" i="27" s="1"/>
  <c r="AF188" i="27" a="1"/>
  <c r="AF188" i="27" s="1"/>
  <c r="AH186" i="27"/>
  <c r="AE2" i="27"/>
  <c r="AX2" i="27" s="1"/>
  <c r="AE103" i="27" a="1"/>
  <c r="AE103" i="27" s="1"/>
  <c r="AH101" i="27"/>
  <c r="AF3" i="27"/>
  <c r="AY3" i="27" s="1"/>
  <c r="N145" i="27"/>
  <c r="AH115" i="27" s="1" a="1"/>
  <c r="AH115" i="27" s="1"/>
  <c r="AG145" i="27"/>
  <c r="AG114" i="27" a="1"/>
  <c r="AG114" i="27" s="1"/>
  <c r="AG115" i="27" a="1"/>
  <c r="AG115" i="27" s="1"/>
  <c r="AG113" i="27" a="1"/>
  <c r="AG113" i="27" s="1"/>
  <c r="AG112" i="27" a="1"/>
  <c r="AG112" i="27" s="1"/>
  <c r="AF4" i="27"/>
  <c r="AY4" i="27" s="1"/>
  <c r="AH144" i="27"/>
  <c r="AH112" i="27" a="1"/>
  <c r="AH112" i="27" s="1"/>
  <c r="N187" i="27"/>
  <c r="AG187" i="27"/>
  <c r="AG155" i="27" a="1"/>
  <c r="AG155" i="27" s="1"/>
  <c r="AG154" i="27" a="1"/>
  <c r="AG154" i="27" s="1"/>
  <c r="AF102" i="27"/>
  <c r="M102" i="27"/>
  <c r="L4" i="27"/>
  <c r="AF69" i="27" a="1"/>
  <c r="AF69" i="27" s="1"/>
  <c r="AF72" i="27" a="1"/>
  <c r="AF72" i="27" s="1"/>
  <c r="AF70" i="27" a="1"/>
  <c r="AF70" i="27" s="1"/>
  <c r="AF71" i="27" a="1"/>
  <c r="AF71" i="27" s="1"/>
  <c r="AG157" i="27" a="1"/>
  <c r="AG157" i="27" s="1"/>
  <c r="M306" i="39" l="1"/>
  <c r="N306" i="39"/>
  <c r="S306" i="39"/>
  <c r="F306" i="39"/>
  <c r="O306" i="39"/>
  <c r="I306" i="39"/>
  <c r="H306" i="39"/>
  <c r="V306" i="39"/>
  <c r="G306" i="39"/>
  <c r="D306" i="39"/>
  <c r="K306" i="39"/>
  <c r="J306" i="39"/>
  <c r="L306" i="39"/>
  <c r="T306" i="39"/>
  <c r="E306" i="39"/>
  <c r="U306" i="39"/>
  <c r="P306" i="39"/>
  <c r="R306" i="39"/>
  <c r="Q306" i="39"/>
  <c r="C306" i="39"/>
  <c r="D136" i="44"/>
  <c r="C349" i="29"/>
  <c r="C351" i="29"/>
  <c r="C350" i="29"/>
  <c r="C323" i="29"/>
  <c r="H18" i="29" s="1"/>
  <c r="C297" i="39"/>
  <c r="C299" i="39" s="1"/>
  <c r="O297" i="39"/>
  <c r="O299" i="39" s="1"/>
  <c r="Q297" i="39"/>
  <c r="Q299" i="39" s="1"/>
  <c r="K297" i="39"/>
  <c r="K299" i="39" s="1"/>
  <c r="D297" i="39"/>
  <c r="D299" i="39" s="1"/>
  <c r="U297" i="39"/>
  <c r="U299" i="39" s="1"/>
  <c r="F297" i="39"/>
  <c r="F299" i="39" s="1"/>
  <c r="I297" i="39"/>
  <c r="I299" i="39" s="1"/>
  <c r="N297" i="39"/>
  <c r="N299" i="39" s="1"/>
  <c r="G297" i="39"/>
  <c r="G299" i="39" s="1"/>
  <c r="R297" i="39"/>
  <c r="R299" i="39" s="1"/>
  <c r="M297" i="39"/>
  <c r="M299" i="39" s="1"/>
  <c r="T297" i="39"/>
  <c r="T299" i="39" s="1"/>
  <c r="H297" i="39"/>
  <c r="H299" i="39" s="1"/>
  <c r="L297" i="39"/>
  <c r="L299" i="39" s="1"/>
  <c r="J297" i="39"/>
  <c r="J299" i="39" s="1"/>
  <c r="E297" i="39"/>
  <c r="E299" i="39" s="1"/>
  <c r="V297" i="39"/>
  <c r="V299" i="39" s="1"/>
  <c r="P297" i="39"/>
  <c r="P299" i="39" s="1"/>
  <c r="S297" i="39"/>
  <c r="S299" i="39" s="1"/>
  <c r="C334" i="29"/>
  <c r="C333" i="29"/>
  <c r="C335" i="29"/>
  <c r="C20" i="29" a="1"/>
  <c r="C20" i="29" s="1"/>
  <c r="C19" i="29"/>
  <c r="C18" i="29"/>
  <c r="C307" i="29"/>
  <c r="AG146" i="27" a="1"/>
  <c r="AG146" i="27" s="1"/>
  <c r="AH187" i="27"/>
  <c r="AH157" i="27" a="1"/>
  <c r="AH157" i="27" s="1"/>
  <c r="AH154" i="27" a="1"/>
  <c r="AH154" i="27" s="1"/>
  <c r="AG4" i="27"/>
  <c r="AZ4" i="27" s="1"/>
  <c r="AG3" i="27"/>
  <c r="AZ3" i="27" s="1"/>
  <c r="AF103" i="27" a="1"/>
  <c r="AF103" i="27" s="1"/>
  <c r="AH155" i="27" a="1"/>
  <c r="AH155" i="27" s="1"/>
  <c r="N102" i="27"/>
  <c r="AG102" i="27"/>
  <c r="M4" i="27"/>
  <c r="AG69" i="27" a="1"/>
  <c r="AG69" i="27" s="1"/>
  <c r="AG71" i="27" a="1"/>
  <c r="AG71" i="27" s="1"/>
  <c r="AG70" i="27" a="1"/>
  <c r="AG70" i="27" s="1"/>
  <c r="AG72" i="27" a="1"/>
  <c r="AG72" i="27" s="1"/>
  <c r="AH145" i="27"/>
  <c r="AH114" i="27" a="1"/>
  <c r="AH114" i="27" s="1"/>
  <c r="AH113" i="27" a="1"/>
  <c r="AH113" i="27" s="1"/>
  <c r="AF2" i="27"/>
  <c r="AY2" i="27" s="1"/>
  <c r="AG188" i="27" a="1"/>
  <c r="AG188" i="27" s="1"/>
  <c r="AH156" i="27" a="1"/>
  <c r="AH156" i="27" s="1"/>
  <c r="C339" i="29" l="1"/>
  <c r="D339" i="29"/>
  <c r="E339" i="29"/>
  <c r="F339" i="29"/>
  <c r="G339" i="29"/>
  <c r="H339" i="29"/>
  <c r="I339" i="29"/>
  <c r="J339" i="29"/>
  <c r="K339" i="29"/>
  <c r="L339" i="29"/>
  <c r="M339" i="29"/>
  <c r="O339" i="29"/>
  <c r="N339" i="29"/>
  <c r="P339" i="29"/>
  <c r="U339" i="29"/>
  <c r="Q339" i="29"/>
  <c r="R339" i="29"/>
  <c r="T339" i="29"/>
  <c r="S339" i="29"/>
  <c r="V339" i="29"/>
  <c r="L319" i="39"/>
  <c r="L320" i="39"/>
  <c r="L321" i="39"/>
  <c r="F321" i="39"/>
  <c r="F320" i="39"/>
  <c r="F319" i="39"/>
  <c r="D354" i="29"/>
  <c r="C354" i="29"/>
  <c r="E354" i="29"/>
  <c r="F354" i="29"/>
  <c r="G354" i="29"/>
  <c r="H354" i="29"/>
  <c r="I354" i="29"/>
  <c r="J354" i="29"/>
  <c r="K354" i="29"/>
  <c r="L354" i="29"/>
  <c r="M354" i="29"/>
  <c r="N354" i="29"/>
  <c r="O354" i="29"/>
  <c r="P354" i="29"/>
  <c r="Q354" i="29"/>
  <c r="R354" i="29"/>
  <c r="T354" i="29"/>
  <c r="S354" i="29"/>
  <c r="U354" i="29"/>
  <c r="V354" i="29"/>
  <c r="V78" i="44"/>
  <c r="V79" i="44"/>
  <c r="U308" i="39"/>
  <c r="V77" i="44"/>
  <c r="V308" i="39"/>
  <c r="W77" i="44"/>
  <c r="W78" i="44"/>
  <c r="W79" i="44"/>
  <c r="C337" i="29"/>
  <c r="D337" i="29"/>
  <c r="E337" i="29"/>
  <c r="F337" i="29"/>
  <c r="G337" i="29"/>
  <c r="H337" i="29"/>
  <c r="I337" i="29"/>
  <c r="J337" i="29"/>
  <c r="K337" i="29"/>
  <c r="L337" i="29"/>
  <c r="M337" i="29"/>
  <c r="N337" i="29"/>
  <c r="O337" i="29"/>
  <c r="P337" i="29"/>
  <c r="T337" i="29"/>
  <c r="Q337" i="29"/>
  <c r="U337" i="29"/>
  <c r="S337" i="29"/>
  <c r="R337" i="29"/>
  <c r="V337" i="29"/>
  <c r="H321" i="39"/>
  <c r="H319" i="39"/>
  <c r="H320" i="39"/>
  <c r="U320" i="39"/>
  <c r="U319" i="39"/>
  <c r="U321" i="39"/>
  <c r="C355" i="29"/>
  <c r="E355" i="29"/>
  <c r="D355" i="29"/>
  <c r="F355" i="29"/>
  <c r="H355" i="29"/>
  <c r="G355" i="29"/>
  <c r="I355" i="29"/>
  <c r="J355" i="29"/>
  <c r="K355" i="29"/>
  <c r="L355" i="29"/>
  <c r="M355" i="29"/>
  <c r="N355" i="29"/>
  <c r="O355" i="29"/>
  <c r="P355" i="29"/>
  <c r="S355" i="29"/>
  <c r="T355" i="29"/>
  <c r="Q355" i="29"/>
  <c r="R355" i="29"/>
  <c r="U355" i="29"/>
  <c r="V355" i="29"/>
  <c r="F78" i="44"/>
  <c r="F79" i="44"/>
  <c r="E308" i="39"/>
  <c r="F77" i="44"/>
  <c r="H308" i="39"/>
  <c r="I77" i="44"/>
  <c r="I78" i="44"/>
  <c r="I79" i="44"/>
  <c r="C338" i="29"/>
  <c r="D338" i="29"/>
  <c r="E338" i="29"/>
  <c r="F338" i="29"/>
  <c r="G338" i="29"/>
  <c r="H338" i="29"/>
  <c r="I338" i="29"/>
  <c r="J338" i="29"/>
  <c r="L338" i="29"/>
  <c r="K338" i="29"/>
  <c r="M338" i="29"/>
  <c r="O338" i="29"/>
  <c r="N338" i="29"/>
  <c r="P338" i="29"/>
  <c r="R338" i="29"/>
  <c r="T338" i="29"/>
  <c r="U338" i="29"/>
  <c r="Q338" i="29"/>
  <c r="S338" i="29"/>
  <c r="V338" i="29"/>
  <c r="T321" i="39"/>
  <c r="T320" i="39"/>
  <c r="T319" i="39"/>
  <c r="D319" i="39"/>
  <c r="D320" i="39"/>
  <c r="D321" i="39"/>
  <c r="C353" i="29"/>
  <c r="E353" i="29"/>
  <c r="D353" i="29"/>
  <c r="F353" i="29"/>
  <c r="G353" i="29"/>
  <c r="H353" i="29"/>
  <c r="I353" i="29"/>
  <c r="J353" i="29"/>
  <c r="K353" i="29"/>
  <c r="L353" i="29"/>
  <c r="M353" i="29"/>
  <c r="N353" i="29"/>
  <c r="O353" i="29"/>
  <c r="P353" i="29"/>
  <c r="R353" i="29"/>
  <c r="Q353" i="29"/>
  <c r="S353" i="29"/>
  <c r="T353" i="29"/>
  <c r="U353" i="29"/>
  <c r="V353" i="29"/>
  <c r="U78" i="44"/>
  <c r="T308" i="39"/>
  <c r="U79" i="44"/>
  <c r="U77" i="44"/>
  <c r="J78" i="44"/>
  <c r="I308" i="39"/>
  <c r="J79" i="44"/>
  <c r="J77" i="44"/>
  <c r="S319" i="39"/>
  <c r="S320" i="39"/>
  <c r="S321" i="39"/>
  <c r="M320" i="39"/>
  <c r="M321" i="39"/>
  <c r="M319" i="39"/>
  <c r="K320" i="39"/>
  <c r="K319" i="39"/>
  <c r="K321" i="39"/>
  <c r="D145" i="44"/>
  <c r="D143" i="44"/>
  <c r="D144" i="44"/>
  <c r="C136" i="44"/>
  <c r="M77" i="44"/>
  <c r="M79" i="44"/>
  <c r="M78" i="44"/>
  <c r="L308" i="39"/>
  <c r="P79" i="44"/>
  <c r="O308" i="39"/>
  <c r="P78" i="44"/>
  <c r="P77" i="44"/>
  <c r="P319" i="39"/>
  <c r="P320" i="39"/>
  <c r="P321" i="39"/>
  <c r="R321" i="39"/>
  <c r="R320" i="39"/>
  <c r="R319" i="39"/>
  <c r="Q320" i="39"/>
  <c r="Q321" i="39"/>
  <c r="Q319" i="39"/>
  <c r="D77" i="44"/>
  <c r="C308" i="39"/>
  <c r="D78" i="44"/>
  <c r="D79" i="44"/>
  <c r="K79" i="44"/>
  <c r="K78" i="44"/>
  <c r="J308" i="39"/>
  <c r="K77" i="44"/>
  <c r="G79" i="44"/>
  <c r="G78" i="44"/>
  <c r="G77" i="44"/>
  <c r="F308" i="39"/>
  <c r="V321" i="39"/>
  <c r="V319" i="39"/>
  <c r="V320" i="39"/>
  <c r="G319" i="39"/>
  <c r="G321" i="39"/>
  <c r="G320" i="39"/>
  <c r="O319" i="39"/>
  <c r="O320" i="39"/>
  <c r="O321" i="39"/>
  <c r="R78" i="44"/>
  <c r="R77" i="44"/>
  <c r="R79" i="44"/>
  <c r="Q308" i="39"/>
  <c r="L78" i="44"/>
  <c r="L79" i="44"/>
  <c r="K308" i="39"/>
  <c r="L77" i="44"/>
  <c r="T79" i="44"/>
  <c r="T77" i="44"/>
  <c r="T78" i="44"/>
  <c r="S308" i="39"/>
  <c r="E319" i="39"/>
  <c r="E321" i="39"/>
  <c r="E320" i="39"/>
  <c r="N320" i="39"/>
  <c r="N321" i="39"/>
  <c r="N319" i="39"/>
  <c r="C18" i="39"/>
  <c r="C300" i="39"/>
  <c r="C319" i="39"/>
  <c r="C321" i="39"/>
  <c r="C320" i="39"/>
  <c r="C20" i="39"/>
  <c r="C19" i="39"/>
  <c r="R308" i="39"/>
  <c r="S79" i="44"/>
  <c r="S77" i="44"/>
  <c r="S78" i="44"/>
  <c r="E77" i="44"/>
  <c r="D308" i="39"/>
  <c r="E78" i="44"/>
  <c r="E79" i="44"/>
  <c r="O77" i="44"/>
  <c r="N308" i="39"/>
  <c r="O79" i="44"/>
  <c r="O78" i="44"/>
  <c r="J321" i="39"/>
  <c r="J319" i="39"/>
  <c r="J320" i="39"/>
  <c r="I320" i="39"/>
  <c r="I319" i="39"/>
  <c r="I321" i="39"/>
  <c r="H19" i="29"/>
  <c r="H23" i="29"/>
  <c r="I18" i="29"/>
  <c r="Q79" i="44"/>
  <c r="P308" i="39"/>
  <c r="Q77" i="44"/>
  <c r="Q78" i="44"/>
  <c r="H79" i="44"/>
  <c r="H77" i="44"/>
  <c r="H78" i="44"/>
  <c r="G308" i="39"/>
  <c r="N78" i="44"/>
  <c r="N77" i="44"/>
  <c r="N79" i="44"/>
  <c r="M308" i="39"/>
  <c r="AH146" i="27" a="1"/>
  <c r="AH146" i="27" s="1"/>
  <c r="AG103" i="27" a="1"/>
  <c r="AG103" i="27" s="1"/>
  <c r="AH188" i="27" a="1"/>
  <c r="AH188" i="27" s="1"/>
  <c r="AH102" i="27"/>
  <c r="N4" i="27"/>
  <c r="AH72" i="27" a="1"/>
  <c r="AH72" i="27" s="1"/>
  <c r="AH71" i="27" a="1"/>
  <c r="AH71" i="27" s="1"/>
  <c r="AH69" i="27" a="1"/>
  <c r="AH69" i="27" s="1"/>
  <c r="AH70" i="27" a="1"/>
  <c r="AH70" i="27" s="1"/>
  <c r="AH4" i="27"/>
  <c r="BA4" i="27" s="1"/>
  <c r="BB4" i="27" s="1"/>
  <c r="AG2" i="27"/>
  <c r="AZ2" i="27" s="1"/>
  <c r="AH3" i="27"/>
  <c r="BA3" i="27" s="1"/>
  <c r="BB3" i="27" s="1"/>
  <c r="O75" i="44" l="1"/>
  <c r="N336" i="39"/>
  <c r="N335" i="39"/>
  <c r="N337" i="39"/>
  <c r="I336" i="39"/>
  <c r="I335" i="39"/>
  <c r="I337" i="39"/>
  <c r="J75" i="44"/>
  <c r="N75" i="44"/>
  <c r="M335" i="39"/>
  <c r="M336" i="39"/>
  <c r="M337" i="39"/>
  <c r="R337" i="39"/>
  <c r="S75" i="44"/>
  <c r="R336" i="39"/>
  <c r="R335" i="39"/>
  <c r="J337" i="39"/>
  <c r="J335" i="39"/>
  <c r="K75" i="44"/>
  <c r="J336" i="39"/>
  <c r="E335" i="39"/>
  <c r="E337" i="39"/>
  <c r="F75" i="44"/>
  <c r="E336" i="39"/>
  <c r="E148" i="44"/>
  <c r="D148" i="44"/>
  <c r="F148" i="44"/>
  <c r="G148" i="44"/>
  <c r="I148" i="44"/>
  <c r="H148" i="44"/>
  <c r="K148" i="44"/>
  <c r="J148" i="44"/>
  <c r="L148" i="44"/>
  <c r="M148" i="44"/>
  <c r="N148" i="44"/>
  <c r="O148" i="44"/>
  <c r="P148" i="44"/>
  <c r="Q148" i="44"/>
  <c r="S148" i="44"/>
  <c r="T148" i="44"/>
  <c r="V148" i="44"/>
  <c r="U148" i="44"/>
  <c r="R148" i="44"/>
  <c r="W148" i="44"/>
  <c r="C144" i="44"/>
  <c r="P336" i="39"/>
  <c r="Q75" i="44"/>
  <c r="P337" i="39"/>
  <c r="P335" i="39"/>
  <c r="O336" i="39"/>
  <c r="P75" i="44"/>
  <c r="O337" i="39"/>
  <c r="O335" i="39"/>
  <c r="D147" i="44"/>
  <c r="F147" i="44"/>
  <c r="E147" i="44"/>
  <c r="G147" i="44"/>
  <c r="I147" i="44"/>
  <c r="H147" i="44"/>
  <c r="J147" i="44"/>
  <c r="L147" i="44"/>
  <c r="K147" i="44"/>
  <c r="M147" i="44"/>
  <c r="N147" i="44"/>
  <c r="O147" i="44"/>
  <c r="P147" i="44"/>
  <c r="Q147" i="44"/>
  <c r="U147" i="44"/>
  <c r="R147" i="44"/>
  <c r="S147" i="44"/>
  <c r="T147" i="44"/>
  <c r="V147" i="44"/>
  <c r="W147" i="44"/>
  <c r="C143" i="44"/>
  <c r="L75" i="44"/>
  <c r="K336" i="39"/>
  <c r="K337" i="39"/>
  <c r="K335" i="39"/>
  <c r="C79" i="44"/>
  <c r="D149" i="44"/>
  <c r="F149" i="44"/>
  <c r="E149" i="44"/>
  <c r="G149" i="44"/>
  <c r="H149" i="44"/>
  <c r="I149" i="44"/>
  <c r="K149" i="44"/>
  <c r="J149" i="44"/>
  <c r="L149" i="44"/>
  <c r="M149" i="44"/>
  <c r="N149" i="44"/>
  <c r="O149" i="44"/>
  <c r="P149" i="44"/>
  <c r="Q149" i="44"/>
  <c r="V149" i="44"/>
  <c r="R149" i="44"/>
  <c r="U149" i="44"/>
  <c r="S149" i="44"/>
  <c r="T149" i="44"/>
  <c r="W149" i="44"/>
  <c r="C145" i="44"/>
  <c r="H75" i="44"/>
  <c r="G335" i="39"/>
  <c r="G337" i="39"/>
  <c r="G336" i="39"/>
  <c r="I23" i="29"/>
  <c r="J18" i="29"/>
  <c r="H325" i="39"/>
  <c r="P325" i="39"/>
  <c r="M325" i="39"/>
  <c r="J325" i="39"/>
  <c r="R325" i="39"/>
  <c r="U325" i="39"/>
  <c r="G325" i="39"/>
  <c r="I325" i="39"/>
  <c r="L325" i="39"/>
  <c r="T325" i="39"/>
  <c r="O325" i="39"/>
  <c r="V325" i="39"/>
  <c r="Q325" i="39"/>
  <c r="N325" i="39"/>
  <c r="K325" i="39"/>
  <c r="S325" i="39"/>
  <c r="C78" i="44"/>
  <c r="M75" i="44"/>
  <c r="L337" i="39"/>
  <c r="L336" i="39"/>
  <c r="L335" i="39"/>
  <c r="W75" i="44"/>
  <c r="V336" i="39"/>
  <c r="V337" i="39"/>
  <c r="V335" i="39"/>
  <c r="E75" i="44"/>
  <c r="D337" i="39"/>
  <c r="D335" i="39"/>
  <c r="D336" i="39"/>
  <c r="G324" i="39"/>
  <c r="T324" i="39"/>
  <c r="V324" i="39"/>
  <c r="H324" i="39"/>
  <c r="L324" i="39"/>
  <c r="K324" i="39"/>
  <c r="O324" i="39"/>
  <c r="U324" i="39"/>
  <c r="S324" i="39"/>
  <c r="N324" i="39"/>
  <c r="J324" i="39"/>
  <c r="Q324" i="39"/>
  <c r="R324" i="39"/>
  <c r="I324" i="39"/>
  <c r="M324" i="39"/>
  <c r="P324" i="39"/>
  <c r="F336" i="39"/>
  <c r="G75" i="44"/>
  <c r="F335" i="39"/>
  <c r="F337" i="39"/>
  <c r="T336" i="39"/>
  <c r="U75" i="44"/>
  <c r="T335" i="39"/>
  <c r="T337" i="39"/>
  <c r="L323" i="39"/>
  <c r="E323" i="39"/>
  <c r="N323" i="39"/>
  <c r="O323" i="39"/>
  <c r="J323" i="39"/>
  <c r="C323" i="39"/>
  <c r="M323" i="39"/>
  <c r="R323" i="39"/>
  <c r="H323" i="39"/>
  <c r="S323" i="39"/>
  <c r="P323" i="39"/>
  <c r="Q323" i="39"/>
  <c r="V323" i="39"/>
  <c r="I323" i="39"/>
  <c r="K323" i="39"/>
  <c r="D323" i="39"/>
  <c r="G323" i="39"/>
  <c r="T323" i="39"/>
  <c r="U323" i="39"/>
  <c r="F323" i="39"/>
  <c r="C337" i="39"/>
  <c r="D75" i="44"/>
  <c r="C336" i="39"/>
  <c r="C335" i="39"/>
  <c r="C309" i="39"/>
  <c r="H18" i="39" s="1"/>
  <c r="H25" i="29"/>
  <c r="H20" i="29"/>
  <c r="I19" i="29"/>
  <c r="S337" i="39"/>
  <c r="T75" i="44"/>
  <c r="S335" i="39"/>
  <c r="S336" i="39"/>
  <c r="R75" i="44"/>
  <c r="Q335" i="39"/>
  <c r="Q337" i="39"/>
  <c r="Q336" i="39"/>
  <c r="C77" i="44"/>
  <c r="H335" i="39"/>
  <c r="H337" i="39"/>
  <c r="H336" i="39"/>
  <c r="I75" i="44"/>
  <c r="V75" i="44"/>
  <c r="U335" i="39"/>
  <c r="U337" i="39"/>
  <c r="U336" i="39"/>
  <c r="AH103" i="27" a="1"/>
  <c r="AH103" i="27" s="1"/>
  <c r="AH2" i="27"/>
  <c r="BA2" i="27" s="1"/>
  <c r="BB2" i="27" s="1"/>
  <c r="C147" i="44" l="1"/>
  <c r="C149" i="44"/>
  <c r="C148" i="44"/>
  <c r="T83" i="44"/>
  <c r="T82" i="44"/>
  <c r="T84" i="44"/>
  <c r="D82" i="44"/>
  <c r="C75" i="44"/>
  <c r="D83" i="44"/>
  <c r="D84" i="44"/>
  <c r="U82" i="44"/>
  <c r="U83" i="44"/>
  <c r="U84" i="44"/>
  <c r="J82" i="44"/>
  <c r="J83" i="44"/>
  <c r="J84" i="44"/>
  <c r="U340" i="39"/>
  <c r="S341" i="39"/>
  <c r="V341" i="39"/>
  <c r="L341" i="39"/>
  <c r="P341" i="39"/>
  <c r="G341" i="39"/>
  <c r="M341" i="39"/>
  <c r="O341" i="39"/>
  <c r="R341" i="39"/>
  <c r="N341" i="39"/>
  <c r="Q341" i="39"/>
  <c r="H341" i="39"/>
  <c r="T341" i="39"/>
  <c r="J341" i="39"/>
  <c r="U341" i="39"/>
  <c r="I341" i="39"/>
  <c r="K341" i="39"/>
  <c r="E84" i="44"/>
  <c r="E159" i="44" s="1"/>
  <c r="E83" i="44"/>
  <c r="E158" i="44" s="1"/>
  <c r="E82" i="44"/>
  <c r="E157" i="44" s="1"/>
  <c r="M82" i="44"/>
  <c r="M83" i="44"/>
  <c r="M84" i="44"/>
  <c r="Q84" i="44"/>
  <c r="Q83" i="44"/>
  <c r="Q82" i="44"/>
  <c r="F84" i="44"/>
  <c r="F159" i="44" s="1"/>
  <c r="F83" i="44"/>
  <c r="F158" i="44" s="1"/>
  <c r="F82" i="44"/>
  <c r="F157" i="44" s="1"/>
  <c r="H83" i="44"/>
  <c r="H158" i="44" s="1"/>
  <c r="H84" i="44"/>
  <c r="H159" i="44" s="1"/>
  <c r="H82" i="44"/>
  <c r="H157" i="44" s="1"/>
  <c r="S83" i="44"/>
  <c r="S82" i="44"/>
  <c r="S84" i="44"/>
  <c r="V84" i="44"/>
  <c r="V83" i="44"/>
  <c r="V82" i="44"/>
  <c r="G84" i="44"/>
  <c r="G159" i="44" s="1"/>
  <c r="G83" i="44"/>
  <c r="G158" i="44" s="1"/>
  <c r="G82" i="44"/>
  <c r="G157" i="44" s="1"/>
  <c r="R83" i="44"/>
  <c r="R82" i="44"/>
  <c r="R84" i="44"/>
  <c r="H19" i="39"/>
  <c r="H23" i="39"/>
  <c r="I18" i="39"/>
  <c r="W83" i="44"/>
  <c r="W84" i="44"/>
  <c r="W82" i="44"/>
  <c r="L82" i="44"/>
  <c r="L83" i="44"/>
  <c r="L84" i="44"/>
  <c r="P82" i="44"/>
  <c r="P83" i="44"/>
  <c r="P84" i="44"/>
  <c r="K83" i="44"/>
  <c r="K84" i="44"/>
  <c r="K82" i="44"/>
  <c r="I25" i="29"/>
  <c r="J19" i="29"/>
  <c r="I82" i="44"/>
  <c r="I84" i="44"/>
  <c r="I83" i="44"/>
  <c r="V339" i="39"/>
  <c r="F339" i="39"/>
  <c r="C339" i="39"/>
  <c r="P339" i="39"/>
  <c r="U339" i="39"/>
  <c r="K339" i="39"/>
  <c r="N339" i="39"/>
  <c r="Q339" i="39"/>
  <c r="J339" i="39"/>
  <c r="D339" i="39"/>
  <c r="H339" i="39"/>
  <c r="R339" i="39"/>
  <c r="G339" i="39"/>
  <c r="O339" i="39"/>
  <c r="L339" i="39"/>
  <c r="T339" i="39"/>
  <c r="M339" i="39"/>
  <c r="I339" i="39"/>
  <c r="E339" i="39"/>
  <c r="S339" i="39"/>
  <c r="H24" i="29"/>
  <c r="I20" i="29"/>
  <c r="G340" i="39"/>
  <c r="P340" i="39"/>
  <c r="N340" i="39"/>
  <c r="Q340" i="39"/>
  <c r="O340" i="39"/>
  <c r="S340" i="39"/>
  <c r="J340" i="39"/>
  <c r="T340" i="39"/>
  <c r="I340" i="39"/>
  <c r="R340" i="39"/>
  <c r="H340" i="39"/>
  <c r="M340" i="39"/>
  <c r="K340" i="39"/>
  <c r="L340" i="39"/>
  <c r="V340" i="39"/>
  <c r="N83" i="44"/>
  <c r="N82" i="44"/>
  <c r="N84" i="44"/>
  <c r="O83" i="44"/>
  <c r="O84" i="44"/>
  <c r="O82" i="44"/>
  <c r="H88" i="44" l="1"/>
  <c r="O88" i="44"/>
  <c r="V88" i="44"/>
  <c r="D159" i="44"/>
  <c r="S88" i="44"/>
  <c r="J88" i="44"/>
  <c r="T88" i="44"/>
  <c r="C84" i="44"/>
  <c r="U88" i="44"/>
  <c r="Q88" i="44"/>
  <c r="D21" i="44"/>
  <c r="H21" i="44" s="1"/>
  <c r="D88" i="44"/>
  <c r="E88" i="44"/>
  <c r="I88" i="44"/>
  <c r="M88" i="44"/>
  <c r="R88" i="44"/>
  <c r="P88" i="44"/>
  <c r="W88" i="44"/>
  <c r="L88" i="44"/>
  <c r="N88" i="44"/>
  <c r="K88" i="44"/>
  <c r="G88" i="44"/>
  <c r="F88" i="44"/>
  <c r="C83" i="44"/>
  <c r="M87" i="44"/>
  <c r="T87" i="44"/>
  <c r="V87" i="44"/>
  <c r="D158" i="44"/>
  <c r="W87" i="44"/>
  <c r="E87" i="44"/>
  <c r="K87" i="44"/>
  <c r="D20" i="44"/>
  <c r="H20" i="44" s="1"/>
  <c r="F87" i="44"/>
  <c r="Q87" i="44"/>
  <c r="G87" i="44"/>
  <c r="D87" i="44"/>
  <c r="I87" i="44"/>
  <c r="P87" i="44"/>
  <c r="H87" i="44"/>
  <c r="N87" i="44"/>
  <c r="J87" i="44"/>
  <c r="U87" i="44"/>
  <c r="R87" i="44"/>
  <c r="S87" i="44"/>
  <c r="O87" i="44"/>
  <c r="L87" i="44"/>
  <c r="O86" i="44"/>
  <c r="P86" i="44"/>
  <c r="C82" i="44"/>
  <c r="S86" i="44"/>
  <c r="U86" i="44"/>
  <c r="J86" i="44"/>
  <c r="G86" i="44"/>
  <c r="K86" i="44"/>
  <c r="V86" i="44"/>
  <c r="D19" i="44"/>
  <c r="H19" i="44" s="1"/>
  <c r="F86" i="44"/>
  <c r="L86" i="44"/>
  <c r="W86" i="44"/>
  <c r="I86" i="44"/>
  <c r="M86" i="44"/>
  <c r="N86" i="44"/>
  <c r="R86" i="44"/>
  <c r="H86" i="44"/>
  <c r="D157" i="44"/>
  <c r="T86" i="44"/>
  <c r="D86" i="44"/>
  <c r="E86" i="44"/>
  <c r="Q86" i="44"/>
  <c r="J20" i="29"/>
  <c r="I24" i="29"/>
  <c r="I23" i="39"/>
  <c r="J18" i="39"/>
  <c r="H20" i="39"/>
  <c r="I19" i="39"/>
  <c r="H25" i="39"/>
  <c r="I25" i="39" l="1"/>
  <c r="J19" i="39"/>
  <c r="I20" i="39"/>
  <c r="H24" i="39"/>
  <c r="D162" i="44"/>
  <c r="U162" i="44"/>
  <c r="S162" i="44"/>
  <c r="H162" i="44"/>
  <c r="E162" i="44"/>
  <c r="N162" i="44"/>
  <c r="R162" i="44"/>
  <c r="L162" i="44"/>
  <c r="O162" i="44"/>
  <c r="K162" i="44"/>
  <c r="F162" i="44"/>
  <c r="I162" i="44"/>
  <c r="Q162" i="44"/>
  <c r="G162" i="44"/>
  <c r="J162" i="44"/>
  <c r="V162" i="44"/>
  <c r="M162" i="44"/>
  <c r="T162" i="44"/>
  <c r="P162" i="44"/>
  <c r="W162" i="44"/>
  <c r="R163" i="44"/>
  <c r="O163" i="44"/>
  <c r="Q163" i="44"/>
  <c r="V163" i="44"/>
  <c r="L163" i="44"/>
  <c r="M163" i="44"/>
  <c r="F163" i="44"/>
  <c r="I163" i="44"/>
  <c r="J163" i="44"/>
  <c r="D163" i="44"/>
  <c r="H163" i="44"/>
  <c r="N163" i="44"/>
  <c r="U163" i="44"/>
  <c r="T163" i="44"/>
  <c r="S163" i="44"/>
  <c r="P163" i="44"/>
  <c r="G163" i="44"/>
  <c r="K163" i="44"/>
  <c r="E163" i="44"/>
  <c r="W163" i="44"/>
  <c r="L161" i="44"/>
  <c r="H161" i="44"/>
  <c r="F161" i="44"/>
  <c r="K161" i="44"/>
  <c r="G161" i="44"/>
  <c r="T161" i="44"/>
  <c r="R161" i="44"/>
  <c r="I161" i="44"/>
  <c r="V161" i="44"/>
  <c r="Q161" i="44"/>
  <c r="U161" i="44"/>
  <c r="O161" i="44"/>
  <c r="J161" i="44"/>
  <c r="P161" i="44"/>
  <c r="M161" i="44"/>
  <c r="S161" i="44"/>
  <c r="D161" i="44"/>
  <c r="E161" i="44"/>
  <c r="N161" i="44"/>
  <c r="W161" i="44"/>
  <c r="H25" i="44"/>
  <c r="H24" i="44"/>
  <c r="C86" i="44"/>
  <c r="H26" i="44"/>
  <c r="C87" i="44"/>
  <c r="C88" i="44"/>
  <c r="J20" i="39" l="1"/>
  <c r="I24" i="39"/>
  <c r="G163" i="10" l="1"/>
  <c r="H22" i="51"/>
  <c r="G164" i="10"/>
  <c r="H23" i="51"/>
  <c r="H21" i="51"/>
  <c r="G162" i="10"/>
  <c r="H41" i="51"/>
  <c r="G182" i="10"/>
  <c r="H14" i="51"/>
  <c r="G155" i="10"/>
  <c r="H16" i="51"/>
  <c r="G157" i="10"/>
  <c r="G171" i="10"/>
  <c r="H30" i="51"/>
  <c r="H8" i="51"/>
  <c r="G149" i="10"/>
  <c r="G156" i="10"/>
  <c r="H15" i="51"/>
  <c r="H4" i="51"/>
  <c r="G145" i="10"/>
  <c r="H11" i="51"/>
  <c r="G152" i="10"/>
  <c r="G174" i="10"/>
  <c r="H33" i="51"/>
  <c r="H5" i="51"/>
  <c r="G146" i="10"/>
  <c r="G180" i="10"/>
  <c r="H39" i="51"/>
  <c r="H37" i="51"/>
  <c r="G178" i="10"/>
  <c r="H27" i="51"/>
  <c r="G168" i="10"/>
  <c r="H43" i="51"/>
  <c r="G184" i="10"/>
  <c r="H19" i="51"/>
  <c r="G160" i="10"/>
  <c r="H40" i="51"/>
  <c r="G181" i="10"/>
  <c r="H32" i="51"/>
  <c r="G173" i="10"/>
  <c r="G167" i="10"/>
  <c r="H26" i="51"/>
  <c r="H28" i="51"/>
  <c r="G169" i="10"/>
  <c r="H6" i="51"/>
  <c r="G147" i="10"/>
  <c r="H12" i="51"/>
  <c r="G153" i="10"/>
  <c r="H29" i="51"/>
  <c r="G170" i="10"/>
  <c r="G183" i="10"/>
  <c r="H42" i="51"/>
  <c r="H9" i="51"/>
  <c r="G150" i="10"/>
  <c r="G148" i="10"/>
  <c r="H7" i="51"/>
  <c r="H20" i="51"/>
  <c r="G161" i="10"/>
  <c r="G151" i="10"/>
  <c r="H10" i="51"/>
  <c r="G159" i="10"/>
  <c r="H18" i="51"/>
  <c r="H36" i="51"/>
  <c r="G177" i="10"/>
  <c r="G175" i="10"/>
  <c r="H34" i="51"/>
  <c r="H38" i="51"/>
  <c r="G179" i="10"/>
  <c r="H24" i="51"/>
  <c r="G165" i="10"/>
  <c r="H13" i="51"/>
  <c r="G154" i="10"/>
  <c r="H17" i="51"/>
  <c r="G158" i="10"/>
  <c r="H25" i="51"/>
  <c r="G166" i="10"/>
  <c r="G172" i="10"/>
  <c r="H31" i="51"/>
  <c r="H35" i="51"/>
  <c r="G176" i="10"/>
  <c r="H179" i="10" l="1"/>
  <c r="I38" i="51"/>
  <c r="I35" i="51"/>
  <c r="H176" i="10"/>
  <c r="I29" i="51"/>
  <c r="H170" i="10"/>
  <c r="H183" i="10"/>
  <c r="I42" i="51"/>
  <c r="I40" i="51"/>
  <c r="H181" i="10"/>
  <c r="I23" i="51"/>
  <c r="H164" i="10"/>
  <c r="I24" i="51"/>
  <c r="H165" i="10"/>
  <c r="H171" i="10"/>
  <c r="I30" i="51"/>
  <c r="H149" i="10"/>
  <c r="I8" i="51"/>
  <c r="H151" i="10"/>
  <c r="I10" i="51"/>
  <c r="H150" i="10"/>
  <c r="I9" i="51"/>
  <c r="H167" i="10"/>
  <c r="I26" i="51"/>
  <c r="H166" i="10"/>
  <c r="I25" i="51"/>
  <c r="I12" i="51"/>
  <c r="H153" i="10"/>
  <c r="H174" i="10"/>
  <c r="I33" i="51"/>
  <c r="H163" i="10"/>
  <c r="I22" i="51"/>
  <c r="I7" i="51"/>
  <c r="H148" i="10"/>
  <c r="I16" i="51"/>
  <c r="H157" i="10"/>
  <c r="H155" i="10"/>
  <c r="I14" i="51"/>
  <c r="H182" i="10"/>
  <c r="I41" i="51"/>
  <c r="I20" i="51"/>
  <c r="H161" i="10"/>
  <c r="H158" i="10"/>
  <c r="I17" i="51"/>
  <c r="H162" i="10"/>
  <c r="I21" i="51"/>
  <c r="I36" i="51"/>
  <c r="H177" i="10"/>
  <c r="H147" i="10"/>
  <c r="I6" i="51"/>
  <c r="H159" i="10"/>
  <c r="I18" i="51"/>
  <c r="I31" i="51"/>
  <c r="H172" i="10"/>
  <c r="I28" i="51"/>
  <c r="H169" i="10"/>
  <c r="I39" i="51"/>
  <c r="H180" i="10"/>
  <c r="H178" i="10"/>
  <c r="I37" i="51"/>
  <c r="I27" i="51"/>
  <c r="H168" i="10"/>
  <c r="I32" i="51"/>
  <c r="H173" i="10"/>
  <c r="H175" i="10"/>
  <c r="I34" i="51"/>
  <c r="I13" i="51"/>
  <c r="H154" i="10"/>
  <c r="I43" i="51"/>
  <c r="H184" i="10"/>
  <c r="I19" i="51"/>
  <c r="H160" i="10"/>
  <c r="I5" i="51"/>
  <c r="H146" i="10"/>
  <c r="I15" i="51"/>
  <c r="H156" i="10"/>
  <c r="I4" i="51"/>
  <c r="H145" i="10"/>
  <c r="H152" i="10"/>
  <c r="I11" i="51"/>
  <c r="J39" i="51" l="1"/>
  <c r="I180" i="10"/>
  <c r="J31" i="51"/>
  <c r="I172" i="10"/>
  <c r="J7" i="51"/>
  <c r="I148" i="10"/>
  <c r="I179" i="10"/>
  <c r="J38" i="51"/>
  <c r="J43" i="51"/>
  <c r="I184" i="10"/>
  <c r="J13" i="51"/>
  <c r="I154" i="10"/>
  <c r="I167" i="10"/>
  <c r="J26" i="51"/>
  <c r="J36" i="51"/>
  <c r="I177" i="10"/>
  <c r="I175" i="10"/>
  <c r="J34" i="51"/>
  <c r="J41" i="51"/>
  <c r="I182" i="10"/>
  <c r="J29" i="51"/>
  <c r="I170" i="10"/>
  <c r="J27" i="51"/>
  <c r="I168" i="10"/>
  <c r="I183" i="10"/>
  <c r="J42" i="51"/>
  <c r="J12" i="51"/>
  <c r="I153" i="10"/>
  <c r="J28" i="51"/>
  <c r="I169" i="10"/>
  <c r="I158" i="10"/>
  <c r="J17" i="51"/>
  <c r="I150" i="10"/>
  <c r="J9" i="51"/>
  <c r="J5" i="51"/>
  <c r="I146" i="10"/>
  <c r="J40" i="51"/>
  <c r="I181" i="10"/>
  <c r="J11" i="51"/>
  <c r="I152" i="10"/>
  <c r="I159" i="10"/>
  <c r="J18" i="51"/>
  <c r="I176" i="10"/>
  <c r="J35" i="51"/>
  <c r="I166" i="10"/>
  <c r="J25" i="51"/>
  <c r="J16" i="51"/>
  <c r="I157" i="10"/>
  <c r="I151" i="10"/>
  <c r="J10" i="51"/>
  <c r="I145" i="10"/>
  <c r="J4" i="51"/>
  <c r="I155" i="10"/>
  <c r="J14" i="51"/>
  <c r="J15" i="51"/>
  <c r="I156" i="10"/>
  <c r="I171" i="10"/>
  <c r="J30" i="51"/>
  <c r="J32" i="51"/>
  <c r="I173" i="10"/>
  <c r="I161" i="10"/>
  <c r="J20" i="51"/>
  <c r="J21" i="51"/>
  <c r="I162" i="10"/>
  <c r="I163" i="10"/>
  <c r="J22" i="51"/>
  <c r="I147" i="10"/>
  <c r="J6" i="51"/>
  <c r="J24" i="51"/>
  <c r="I165" i="10"/>
  <c r="J23" i="51"/>
  <c r="I164" i="10"/>
  <c r="I160" i="10"/>
  <c r="J19" i="51"/>
  <c r="J37" i="51"/>
  <c r="I178" i="10"/>
  <c r="I174" i="10"/>
  <c r="J33" i="51"/>
  <c r="J8" i="51"/>
  <c r="I149" i="10"/>
  <c r="K43" i="51" l="1"/>
  <c r="J184" i="10"/>
  <c r="J149" i="10"/>
  <c r="K8" i="51"/>
  <c r="K18" i="51"/>
  <c r="J159" i="10"/>
  <c r="J158" i="10"/>
  <c r="K17" i="51"/>
  <c r="K30" i="51"/>
  <c r="J171" i="10"/>
  <c r="J182" i="10"/>
  <c r="K41" i="51"/>
  <c r="K15" i="51"/>
  <c r="J156" i="10"/>
  <c r="K35" i="51"/>
  <c r="J176" i="10"/>
  <c r="K42" i="51"/>
  <c r="J183" i="10"/>
  <c r="J174" i="10"/>
  <c r="K33" i="51"/>
  <c r="J165" i="10"/>
  <c r="K24" i="51"/>
  <c r="K40" i="51"/>
  <c r="J181" i="10"/>
  <c r="J160" i="10"/>
  <c r="K19" i="51"/>
  <c r="J162" i="10"/>
  <c r="K21" i="51"/>
  <c r="J161" i="10"/>
  <c r="K20" i="51"/>
  <c r="K31" i="51"/>
  <c r="J172" i="10"/>
  <c r="K14" i="51"/>
  <c r="J155" i="10"/>
  <c r="K9" i="51"/>
  <c r="J150" i="10"/>
  <c r="J173" i="10"/>
  <c r="K32" i="51"/>
  <c r="K16" i="51"/>
  <c r="J157" i="10"/>
  <c r="J166" i="10"/>
  <c r="K25" i="51"/>
  <c r="K34" i="51"/>
  <c r="J175" i="10"/>
  <c r="K39" i="51" l="1"/>
  <c r="J180" i="10"/>
  <c r="J177" i="10"/>
  <c r="K36" i="51"/>
  <c r="K27" i="51"/>
  <c r="J168" i="10"/>
  <c r="K6" i="51"/>
  <c r="J147" i="10"/>
  <c r="J178" i="10"/>
  <c r="K37" i="51"/>
  <c r="J146" i="10"/>
  <c r="K5" i="51"/>
  <c r="K38" i="51"/>
  <c r="J179" i="10"/>
  <c r="K7" i="51"/>
  <c r="J148" i="10"/>
  <c r="J154" i="10"/>
  <c r="K13" i="51"/>
  <c r="J145" i="10"/>
  <c r="K4" i="51"/>
  <c r="J152" i="10" l="1"/>
  <c r="K11" i="51"/>
  <c r="J169" i="10"/>
  <c r="K28" i="51"/>
  <c r="K10" i="51"/>
  <c r="J151" i="10"/>
  <c r="J167" i="10"/>
  <c r="K26" i="51"/>
  <c r="K22" i="51"/>
  <c r="J163" i="10"/>
  <c r="J170" i="10"/>
  <c r="K29" i="51"/>
  <c r="J153" i="10"/>
  <c r="K12" i="51"/>
  <c r="K23" i="51"/>
  <c r="J164" i="10"/>
  <c r="L16" i="51" l="1"/>
  <c r="K157" i="10"/>
  <c r="L35" i="51"/>
  <c r="K176" i="10"/>
  <c r="L15" i="51"/>
  <c r="K156" i="10"/>
  <c r="L31" i="51"/>
  <c r="K172" i="10"/>
  <c r="K161" i="10"/>
  <c r="L20" i="51"/>
  <c r="L14" i="51"/>
  <c r="K155" i="10"/>
  <c r="L43" i="51"/>
  <c r="K184" i="10"/>
  <c r="L18" i="51"/>
  <c r="K159" i="10"/>
  <c r="K160" i="10"/>
  <c r="L19" i="51"/>
  <c r="L40" i="51"/>
  <c r="K181" i="10"/>
  <c r="L24" i="51"/>
  <c r="K165" i="10"/>
  <c r="K162" i="10"/>
  <c r="L21" i="51"/>
  <c r="K182" i="10"/>
  <c r="L41" i="51"/>
  <c r="K166" i="10"/>
  <c r="L25" i="51"/>
  <c r="L8" i="51"/>
  <c r="K149" i="10"/>
  <c r="L32" i="51"/>
  <c r="K173" i="10"/>
  <c r="K171" i="10"/>
  <c r="L30" i="51"/>
  <c r="L34" i="51"/>
  <c r="K175" i="10"/>
  <c r="K158" i="10"/>
  <c r="L17" i="51"/>
  <c r="L42" i="51"/>
  <c r="K183" i="10"/>
  <c r="K150" i="10"/>
  <c r="L9" i="51"/>
  <c r="K174" i="10"/>
  <c r="L33" i="51"/>
  <c r="L22" i="51" l="1"/>
  <c r="K163" i="10"/>
  <c r="L27" i="51"/>
  <c r="K168" i="10"/>
  <c r="L39" i="51"/>
  <c r="K180" i="10"/>
  <c r="L7" i="51"/>
  <c r="K148" i="10"/>
  <c r="K145" i="10"/>
  <c r="L4" i="51"/>
  <c r="L38" i="51"/>
  <c r="K179" i="10"/>
  <c r="K146" i="10"/>
  <c r="L5" i="51"/>
  <c r="K178" i="10"/>
  <c r="L37" i="51"/>
  <c r="K177" i="10"/>
  <c r="L36" i="51"/>
  <c r="L6" i="51"/>
  <c r="K147" i="10"/>
  <c r="L23" i="51" l="1"/>
  <c r="K164" i="10"/>
  <c r="L26" i="51"/>
  <c r="K167" i="10"/>
  <c r="L10" i="51"/>
  <c r="K151" i="10"/>
  <c r="K170" i="10"/>
  <c r="L29" i="51"/>
  <c r="K152" i="10"/>
  <c r="L11" i="51"/>
  <c r="K153" i="10"/>
  <c r="L12" i="51"/>
  <c r="K169" i="10"/>
  <c r="L28" i="51"/>
  <c r="K154" i="10"/>
  <c r="L13" i="51"/>
  <c r="L161" i="10" l="1"/>
  <c r="M20" i="51"/>
  <c r="L184" i="10"/>
  <c r="M43" i="51"/>
  <c r="M35" i="51"/>
  <c r="L176" i="10"/>
  <c r="M17" i="51"/>
  <c r="L158" i="10"/>
  <c r="M14" i="51"/>
  <c r="L155" i="10"/>
  <c r="M9" i="51"/>
  <c r="L150" i="10"/>
  <c r="L171" i="10"/>
  <c r="M30" i="51"/>
  <c r="M34" i="51"/>
  <c r="L175" i="10"/>
  <c r="M33" i="51"/>
  <c r="L174" i="10"/>
  <c r="M18" i="51"/>
  <c r="L159" i="10"/>
  <c r="M19" i="51"/>
  <c r="L160" i="10"/>
  <c r="M32" i="51"/>
  <c r="L173" i="10"/>
  <c r="L172" i="10"/>
  <c r="M31" i="51"/>
  <c r="M16" i="51"/>
  <c r="L157" i="10"/>
  <c r="L162" i="10"/>
  <c r="M21" i="51"/>
  <c r="M24" i="51"/>
  <c r="L165" i="10"/>
  <c r="M25" i="51"/>
  <c r="L166" i="10"/>
  <c r="M41" i="51"/>
  <c r="L182" i="10"/>
  <c r="L156" i="10"/>
  <c r="M15" i="51"/>
  <c r="M40" i="51"/>
  <c r="L181" i="10"/>
  <c r="M8" i="51"/>
  <c r="L149" i="10"/>
  <c r="M42" i="51"/>
  <c r="L183" i="10"/>
  <c r="L148" i="10" l="1"/>
  <c r="M7" i="51"/>
  <c r="M5" i="51"/>
  <c r="L146" i="10"/>
  <c r="M28" i="51"/>
  <c r="L169" i="10"/>
  <c r="L145" i="10"/>
  <c r="M4" i="51"/>
  <c r="L180" i="10"/>
  <c r="M39" i="51"/>
  <c r="L179" i="10"/>
  <c r="M38" i="51"/>
  <c r="M37" i="51"/>
  <c r="L178" i="10"/>
  <c r="L152" i="10"/>
  <c r="M11" i="51"/>
  <c r="M6" i="51"/>
  <c r="L147" i="10"/>
  <c r="L177" i="10"/>
  <c r="M36" i="51"/>
  <c r="L170" i="10"/>
  <c r="M29" i="51"/>
  <c r="M10" i="51" l="1"/>
  <c r="L151" i="10"/>
  <c r="M26" i="51"/>
  <c r="L167" i="10"/>
  <c r="L153" i="10"/>
  <c r="M12" i="51"/>
  <c r="M13" i="51"/>
  <c r="L154" i="10"/>
  <c r="M22" i="51"/>
  <c r="L163" i="10"/>
  <c r="L164" i="10"/>
  <c r="M23" i="51"/>
  <c r="M27" i="51"/>
  <c r="L168"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<sst xmlns="http://schemas.openxmlformats.org/spreadsheetml/2006/main" count="4531" uniqueCount="526">
  <si>
    <t>Low cost</t>
  </si>
  <si>
    <t>High cost</t>
  </si>
  <si>
    <t>Premises passed</t>
  </si>
  <si>
    <t>Connections</t>
  </si>
  <si>
    <t>Central</t>
  </si>
  <si>
    <t>2021/22</t>
  </si>
  <si>
    <t>2022/23</t>
  </si>
  <si>
    <t>2023/24</t>
  </si>
  <si>
    <t>2024/25</t>
  </si>
  <si>
    <t>2025/26</t>
  </si>
  <si>
    <t>2026/27</t>
  </si>
  <si>
    <t>2027/28</t>
  </si>
  <si>
    <t>2028/29</t>
  </si>
  <si>
    <t>2029/30</t>
  </si>
  <si>
    <t>2030/31</t>
  </si>
  <si>
    <t>Inflation</t>
  </si>
  <si>
    <t>FTTP + Legacy Total Costs</t>
  </si>
  <si>
    <t>Cost forecasts (£m)</t>
  </si>
  <si>
    <t>2021 - 26</t>
  </si>
  <si>
    <t>2026-31</t>
  </si>
  <si>
    <t>2031-36</t>
  </si>
  <si>
    <t>2036-41</t>
  </si>
  <si>
    <t>Total Costs</t>
  </si>
  <si>
    <t>Cost central</t>
  </si>
  <si>
    <t>Cost high</t>
  </si>
  <si>
    <t>Cost low</t>
  </si>
  <si>
    <t>FTTP + Legacy Total Revenues</t>
  </si>
  <si>
    <t>Revenue forecasts (£m)</t>
  </si>
  <si>
    <t>Total Revenues</t>
  </si>
  <si>
    <t>Revenue central</t>
  </si>
  <si>
    <t>Revenue high</t>
  </si>
  <si>
    <t>Revenue low</t>
  </si>
  <si>
    <t>NPV forecasts (£m)</t>
  </si>
  <si>
    <t>FTTP + Legacy NPV</t>
  </si>
  <si>
    <t>NPV central</t>
  </si>
  <si>
    <t>NPV low returns</t>
  </si>
  <si>
    <t>NPV high returns</t>
  </si>
  <si>
    <t>Show results for:</t>
  </si>
  <si>
    <t>10-yr indexation</t>
  </si>
  <si>
    <t>Total FTTP and legacy cost and revenue forecasts</t>
  </si>
  <si>
    <t>In nominal terms</t>
  </si>
  <si>
    <t>Units: £ unless otherwise stated</t>
  </si>
  <si>
    <t xml:space="preserve">Results summary </t>
  </si>
  <si>
    <t>2021 RAB Model</t>
  </si>
  <si>
    <t>FTTP + Copper Costs</t>
  </si>
  <si>
    <t>PV FTTP + copper costs - central</t>
  </si>
  <si>
    <t>PV FTTP + copper costs - high</t>
  </si>
  <si>
    <t>PV FTTP + copper costs - low</t>
  </si>
  <si>
    <t>Total</t>
  </si>
  <si>
    <t>2031/32</t>
  </si>
  <si>
    <t>2032/33</t>
  </si>
  <si>
    <t>2033/34</t>
  </si>
  <si>
    <t>2034/35</t>
  </si>
  <si>
    <t>2035/36</t>
  </si>
  <si>
    <t>2036/37</t>
  </si>
  <si>
    <t>2037/38</t>
  </si>
  <si>
    <t>2038/39</t>
  </si>
  <si>
    <t>2039/40</t>
  </si>
  <si>
    <t>2040/41</t>
  </si>
  <si>
    <t>Discount factors - FTTP</t>
  </si>
  <si>
    <t>Discount factors - legacy</t>
  </si>
  <si>
    <t>WA Discount Factor</t>
  </si>
  <si>
    <t>FTTP commercial volumes</t>
  </si>
  <si>
    <t>Copper total volumes</t>
  </si>
  <si>
    <t>Total Lines</t>
  </si>
  <si>
    <t>% copper volumes</t>
  </si>
  <si>
    <t>PV FTTP Commercial Volumes</t>
  </si>
  <si>
    <t>PV Copper Volumes</t>
  </si>
  <si>
    <t>PV Total Lines</t>
  </si>
  <si>
    <t>Cost per line - Central</t>
  </si>
  <si>
    <t>Cost per line - High</t>
  </si>
  <si>
    <t>Cost per line - Low</t>
  </si>
  <si>
    <t>Total Cost - Central</t>
  </si>
  <si>
    <t>Total Cost - High</t>
  </si>
  <si>
    <t>Total Cost - Low</t>
  </si>
  <si>
    <t>Discounted Total Cost - Central</t>
  </si>
  <si>
    <t>Discounted Total Cost - High</t>
  </si>
  <si>
    <t>Discounted Total Cost - Low</t>
  </si>
  <si>
    <t>FTTP + Copper Revenues</t>
  </si>
  <si>
    <t>PV FTTP revenue - 10yr index (Central)</t>
  </si>
  <si>
    <t>PV FTTP revenue - 10yr index (High)</t>
  </si>
  <si>
    <t>PV FTTP revenue - 10yr index (Low)</t>
  </si>
  <si>
    <t>PV copper revenue - index for 10 years</t>
  </si>
  <si>
    <t>Total revenue central</t>
  </si>
  <si>
    <t>Total revenue high</t>
  </si>
  <si>
    <t>Total revenue low</t>
  </si>
  <si>
    <t>10 year indexing</t>
  </si>
  <si>
    <t>PV total revenue central</t>
  </si>
  <si>
    <t>PV total revenue high</t>
  </si>
  <si>
    <t>PV total revenue low</t>
  </si>
  <si>
    <t>Cumulative PV total revenue central</t>
  </si>
  <si>
    <t>Cumulative PV total revenue high</t>
  </si>
  <si>
    <t>Cumulative PV total revenue low</t>
  </si>
  <si>
    <t>2026 RAB Model</t>
  </si>
  <si>
    <t xml:space="preserve">2021 &amp; 2026 models Combined </t>
  </si>
  <si>
    <t>Indexing for 10 years chart</t>
  </si>
  <si>
    <t>Cumulative revenue central</t>
  </si>
  <si>
    <t>Cumulative revenue high</t>
  </si>
  <si>
    <t>Cumulative revenue low</t>
  </si>
  <si>
    <t>PV total costs central</t>
  </si>
  <si>
    <t>PV total costs high</t>
  </si>
  <si>
    <t>PV total costs low</t>
  </si>
  <si>
    <t>20 year total cost central</t>
  </si>
  <si>
    <t>20 year total cost high</t>
  </si>
  <si>
    <t>20 year total cost low</t>
  </si>
  <si>
    <t>FTTP build capex</t>
  </si>
  <si>
    <t>FTTP connection capex</t>
  </si>
  <si>
    <t>FTTP opex</t>
  </si>
  <si>
    <t>FTTP total costs</t>
  </si>
  <si>
    <t>Legacy total costs</t>
  </si>
  <si>
    <t>FTTP + Legacy total costs</t>
  </si>
  <si>
    <t>2021-26 Legacy revenue</t>
  </si>
  <si>
    <t>2021-26 FTTP revenue</t>
  </si>
  <si>
    <t>Avg FTTP price (£/month)</t>
  </si>
  <si>
    <t>Avg Legacy price (£/month)</t>
  </si>
  <si>
    <t>FTTP revenue</t>
  </si>
  <si>
    <t>Legacy revenue</t>
  </si>
  <si>
    <t>FTTP + Legacy revenue</t>
  </si>
  <si>
    <t>FTTP NPV</t>
  </si>
  <si>
    <t>Legacy NPV</t>
  </si>
  <si>
    <t>Inputs</t>
  </si>
  <si>
    <t>1. FTTP cash forecasts</t>
  </si>
  <si>
    <t>Source: Ofcom bottom-up fibre model</t>
  </si>
  <si>
    <t>Cost forecasts on a cash basis. 2021-26 forecast is based on 3.2m premises within postcode sectors Openreach plans to build to. Post-2026, assume Openreach builds out to remaining postcode sectors to cover 7m cheaper premises within Area 3 by 2030/31</t>
  </si>
  <si>
    <t>Central case - all premises</t>
  </si>
  <si>
    <t>Homes Passed</t>
  </si>
  <si>
    <t>FTTP Lines</t>
  </si>
  <si>
    <t>FTTP Final Drop</t>
  </si>
  <si>
    <t>FTTP Build capex</t>
  </si>
  <si>
    <t>FTTP Opex (excl. L2C)</t>
  </si>
  <si>
    <t>FTTP L2C Opex</t>
  </si>
  <si>
    <t>High case - all premises</t>
  </si>
  <si>
    <t>Low case - all premises</t>
  </si>
  <si>
    <t>Scaling factor</t>
  </si>
  <si>
    <t>Note: scale not applied</t>
  </si>
  <si>
    <t>Homes passed per annum</t>
  </si>
  <si>
    <t>Lines connected per annum</t>
  </si>
  <si>
    <t>Build capex / premise central</t>
  </si>
  <si>
    <t>Build capex / premise high</t>
  </si>
  <si>
    <t>Build capex / premise low</t>
  </si>
  <si>
    <t>Unit connection capex central</t>
  </si>
  <si>
    <t>Unit connection capex high</t>
  </si>
  <si>
    <t>Unit connection capex low</t>
  </si>
  <si>
    <t>Opex per annum other / line central</t>
  </si>
  <si>
    <t>Opex per annum other / line high</t>
  </si>
  <si>
    <t>Opex per annum other / line low</t>
  </si>
  <si>
    <t>L2C Opex / connection central</t>
  </si>
  <si>
    <t>L2C Opex / connection high</t>
  </si>
  <si>
    <t>L2C Opex / connection low</t>
  </si>
  <si>
    <t>Total lines</t>
  </si>
  <si>
    <t>Pricing scenarios modelled</t>
  </si>
  <si>
    <t>5-yr indexation</t>
  </si>
  <si>
    <t>2. Cost of capital</t>
  </si>
  <si>
    <t>Until 2025/26</t>
  </si>
  <si>
    <t>FTTP discount rate (OUKT WACC)</t>
  </si>
  <si>
    <t>Legacy discount rate (OR WACC)</t>
  </si>
  <si>
    <t>3. Incremental FTTP price (£ per month)</t>
  </si>
  <si>
    <t>The assumed premium on FTTP prices compared to average legacy prices</t>
  </si>
  <si>
    <t>Low revenue</t>
  </si>
  <si>
    <t>High revenue</t>
  </si>
  <si>
    <t>4. FTTP connection price</t>
  </si>
  <si>
    <t>Source: Equinox price lists for 2024/25, 2025/26, and 2026/27. Adjusted for inflation post 2026/27</t>
  </si>
  <si>
    <t>£ per connection</t>
  </si>
  <si>
    <t>Calculations - discounted cost forecasts</t>
  </si>
  <si>
    <t>5. FTTP cost forecasts</t>
  </si>
  <si>
    <t>PV Final drop capex</t>
  </si>
  <si>
    <t>PV Build capex</t>
  </si>
  <si>
    <t>PV total opex</t>
  </si>
  <si>
    <t>PV 20-year total FTTP costs - central</t>
  </si>
  <si>
    <t>PV 20-year total FTTP costs - high</t>
  </si>
  <si>
    <t>PV 20-year total FTTP costs - low</t>
  </si>
  <si>
    <t>6. Legacy cost forecasts</t>
  </si>
  <si>
    <t>Copper total FAC</t>
  </si>
  <si>
    <t>Copper lines</t>
  </si>
  <si>
    <t>PV copper FAC</t>
  </si>
  <si>
    <t>PV 20-year copper FAC</t>
  </si>
  <si>
    <t>7. Summary 20 year cost forecasts</t>
  </si>
  <si>
    <t>PV FTTP costs - central</t>
  </si>
  <si>
    <t>PV FTTP costs - high</t>
  </si>
  <si>
    <t>PV FTTP costs - low</t>
  </si>
  <si>
    <t>PV copper FAC - central</t>
  </si>
  <si>
    <t>PV copper FAC - high</t>
  </si>
  <si>
    <t>PV copper FAC - low</t>
  </si>
  <si>
    <t>Calculations - discounted revenue forecasts</t>
  </si>
  <si>
    <t>8. FTTP revenue forecasts</t>
  </si>
  <si>
    <t>Scenarios assume FTTP prices will track the copper price plus the specified FTTP premium</t>
  </si>
  <si>
    <t>Central case</t>
  </si>
  <si>
    <t>FTTP price - index for 5 years</t>
  </si>
  <si>
    <t>FTTP lines</t>
  </si>
  <si>
    <t>FTTP rental revenue - index for 5 years</t>
  </si>
  <si>
    <t>FTTP connection revenue</t>
  </si>
  <si>
    <t>PV FTTP revenue - 5yr index (central)</t>
  </si>
  <si>
    <t>PV 20-year FTTP revenue - 5yr index (central)</t>
  </si>
  <si>
    <t>FTTP price - index for 10 years</t>
  </si>
  <si>
    <t>FTTP rental revenue - index for 10 years</t>
  </si>
  <si>
    <t>PV FTTP revenue - 10yr index (central)</t>
  </si>
  <si>
    <t>PV 20-year FTTP revenue - 10yr index (central)</t>
  </si>
  <si>
    <t>PV FTTP revenue - 5yr index (Low)</t>
  </si>
  <si>
    <t>PV 20-year FTTP revenue - 5yr index (Low)</t>
  </si>
  <si>
    <t>PV 20-year FTTP revenue - 10yr index (Low)</t>
  </si>
  <si>
    <t>PV FTTP revenue - 5yr index (high)</t>
  </si>
  <si>
    <t>PV 20-year FTTP revenue - 5yr index (high)</t>
  </si>
  <si>
    <t>PV FTTP revenue - 10 yr index (high)</t>
  </si>
  <si>
    <t>PV 20-year FTTP revenue - 10yr index (high)</t>
  </si>
  <si>
    <t>9. Copper revenue forecasts</t>
  </si>
  <si>
    <t>Indexing scenarios assume copper prices inflate with CPI for specified period, then remain flat in nominal terms thereafter</t>
  </si>
  <si>
    <t>Copper rental price - index for 5 years</t>
  </si>
  <si>
    <t>Copper connection price - index for 5 years</t>
  </si>
  <si>
    <t>SMPF rental prices - index for 5 years</t>
  </si>
  <si>
    <t>Copper lines - Rental</t>
  </si>
  <si>
    <t>Copper Connections</t>
  </si>
  <si>
    <t>SMPF Rentals</t>
  </si>
  <si>
    <t>Copper rentals revenue - index for 5 years</t>
  </si>
  <si>
    <t>Copper connections revenue - index for 5 years</t>
  </si>
  <si>
    <t>SMPF Rentals Revenues</t>
  </si>
  <si>
    <t>Connections and SMPF revenue as % of total revenue</t>
  </si>
  <si>
    <t>PV copper revenue - index for 5 years</t>
  </si>
  <si>
    <t>PV 20-year copper revenue - 5yr index</t>
  </si>
  <si>
    <t>Copper price - index for 10 years</t>
  </si>
  <si>
    <t>Copper connection price - index for 10 years</t>
  </si>
  <si>
    <t>SMPF rental prices - index for 10 years</t>
  </si>
  <si>
    <t>Copper rentals revenue - index for 10 years</t>
  </si>
  <si>
    <t>Copper connections revenue - index for 10 years</t>
  </si>
  <si>
    <t>SMPF Rentals Revenue</t>
  </si>
  <si>
    <t>Connections revenue as % of total revenue</t>
  </si>
  <si>
    <t>PV 20-year copper revenue - 10yr index</t>
  </si>
  <si>
    <t>Summary charts</t>
  </si>
  <si>
    <t>10. Indexing for 5 years chart</t>
  </si>
  <si>
    <t>20-year costs NPV central</t>
  </si>
  <si>
    <t>20-year costs NPV high</t>
  </si>
  <si>
    <t>20-year costs NPV low</t>
  </si>
  <si>
    <t>11. Indexing for 10 years chart</t>
  </si>
  <si>
    <t>Current prem in A3</t>
  </si>
  <si>
    <t>Adjustment factor</t>
  </si>
  <si>
    <t>Adj. prem in A3</t>
  </si>
  <si>
    <t>Copper price - index for 5 years</t>
  </si>
  <si>
    <t>Copper revenue - index for 5 years</t>
  </si>
  <si>
    <t>Copper revenue - index for 10 years</t>
  </si>
  <si>
    <t>PV copper revnue - index for 10 years</t>
  </si>
  <si>
    <t>(i) Individual service prices</t>
  </si>
  <si>
    <t>(ii) Combined Copper-FTTC prices</t>
  </si>
  <si>
    <t>Unit cost trend</t>
  </si>
  <si>
    <t>Avg 2026-31</t>
  </si>
  <si>
    <t>Prices</t>
  </si>
  <si>
    <t>Discounted</t>
  </si>
  <si>
    <t>Cost-based prices (central)</t>
  </si>
  <si>
    <t>2021/22-2025/26 Cost Stack</t>
  </si>
  <si>
    <t>Costs</t>
  </si>
  <si>
    <t>Cost-based prices (high)</t>
  </si>
  <si>
    <t>2026-31 cost trend sensitivity</t>
  </si>
  <si>
    <t>Weighted Average Price &gt;</t>
  </si>
  <si>
    <t>Vol Trend post 25/26</t>
  </si>
  <si>
    <t>Cost-based prices (low)</t>
  </si>
  <si>
    <t>Indexed 5 years prices - Rental</t>
  </si>
  <si>
    <t>Indexed 10 years prices - Rental</t>
  </si>
  <si>
    <t>Indexed 5 years prices - Connections</t>
  </si>
  <si>
    <t>Indexed 10 years prices - Connections</t>
  </si>
  <si>
    <t>Fcast CPI</t>
  </si>
  <si>
    <t>Fcast_CPI</t>
  </si>
  <si>
    <t>Volumes summary</t>
  </si>
  <si>
    <t>CVE Legacy</t>
  </si>
  <si>
    <t>Legacy</t>
  </si>
  <si>
    <t>CVE_Legacy</t>
  </si>
  <si>
    <t>MPF/WLR solus</t>
  </si>
  <si>
    <t>CVE FTTC</t>
  </si>
  <si>
    <t>FTTC</t>
  </si>
  <si>
    <t>CVE_FTTC</t>
  </si>
  <si>
    <t>FTTC (+MPF/WLR)</t>
  </si>
  <si>
    <t>WLA opex Efficiency</t>
  </si>
  <si>
    <t>WLA_Opex_Efficieny</t>
  </si>
  <si>
    <t>FTTP</t>
  </si>
  <si>
    <t>Calculates combined MPF/WLR + GEA FTTC prices</t>
  </si>
  <si>
    <t>Volumes</t>
  </si>
  <si>
    <t>Area 3</t>
  </si>
  <si>
    <t>MPF Rentals - non SL1 Int- A3</t>
  </si>
  <si>
    <t>Rentals</t>
  </si>
  <si>
    <t>MPF Rental with SL1 Int- A3</t>
  </si>
  <si>
    <t>MPF Rentals Costs - non SL1 Ext- A3</t>
  </si>
  <si>
    <t>MPF Rental with SL1 Ext- A3</t>
  </si>
  <si>
    <t>MPF New Provides - External- A3</t>
  </si>
  <si>
    <t>MPF New Provides - Internal- A3</t>
  </si>
  <si>
    <t>GEA FTTC rentals (all other speeds except 40/10) internal- A3</t>
  </si>
  <si>
    <t>GEA 40/10 FTTC Rentals Internal- A3</t>
  </si>
  <si>
    <t>GEA FTTC rentals (all other speeds except 40/10) external- A3</t>
  </si>
  <si>
    <t>GEA 40/10 FTTC Rentals External- A3</t>
  </si>
  <si>
    <t>GEA FTTC connections internal- A3</t>
  </si>
  <si>
    <t>GEA FTTC connections external- A3</t>
  </si>
  <si>
    <t>GEA 40/10 FTTC Connections External- A3</t>
  </si>
  <si>
    <t>GEA 40/10 (FTTC) Connections Internal- A3</t>
  </si>
  <si>
    <t>GEA 40/10 (FTTC) PCP Only Install Connections Internal- A3</t>
  </si>
  <si>
    <t>GEA Other (FTTC) PCP Only Install Connections Internal- A3</t>
  </si>
  <si>
    <t>GEA 40/10 (FTTC) PCP Only Install Connections External- A3</t>
  </si>
  <si>
    <t>GEA Other (FTTC) PCP Only Install Connections External- A3</t>
  </si>
  <si>
    <t>G Fast Rentals Internal- A3</t>
  </si>
  <si>
    <t>G Fast</t>
  </si>
  <si>
    <t>G Fast Rentals External- A3</t>
  </si>
  <si>
    <t>G Fast Connections Internal- A3</t>
  </si>
  <si>
    <t>G Fast Connections External- A3</t>
  </si>
  <si>
    <t>40/10 SOGEA rentals - Internal- A3</t>
  </si>
  <si>
    <t>SOGEA</t>
  </si>
  <si>
    <t>Non-40/10 SOGEA rentals - Internal- A3</t>
  </si>
  <si>
    <t>40/10 SOGEA rentals - External- A3</t>
  </si>
  <si>
    <t>Non-40/10 SOGEA rentals - External- A3</t>
  </si>
  <si>
    <t>SOGEA connections - External- A3</t>
  </si>
  <si>
    <t>SOGEA connections - Internal- A3</t>
  </si>
  <si>
    <t>SMPF Rentals Costs - Internal- A3</t>
  </si>
  <si>
    <t>SMPF Rentals - External- A3</t>
  </si>
  <si>
    <t>SMPF New Provides - Internal- A3</t>
  </si>
  <si>
    <t>SMPF New Provides - External- A3</t>
  </si>
  <si>
    <t>PSTN Premium Rentals - Internal</t>
  </si>
  <si>
    <t>PSTN Basic Rentals - Internal</t>
  </si>
  <si>
    <t>PSTN Premium Rentals - External</t>
  </si>
  <si>
    <t>PSTN Basic Rentals - External</t>
  </si>
  <si>
    <t>PSTN Premium Connections - Internal</t>
  </si>
  <si>
    <t>PSTN Basic Connections - Internal</t>
  </si>
  <si>
    <t>PSTN Basic Connections - External</t>
  </si>
  <si>
    <t>PSTN Premium Connections - External</t>
  </si>
  <si>
    <t>Total - Rentals</t>
  </si>
  <si>
    <t>Total - Connections</t>
  </si>
  <si>
    <t>Cost based prices - central</t>
  </si>
  <si>
    <t>Base case Area 3</t>
  </si>
  <si>
    <t>Chosen Area 3 X</t>
  </si>
  <si>
    <t>Chosen Start Prices</t>
  </si>
  <si>
    <t>Prices - cost-based (central)</t>
  </si>
  <si>
    <t>WX129</t>
  </si>
  <si>
    <t>WN123</t>
  </si>
  <si>
    <t>WN302</t>
  </si>
  <si>
    <t>WX312</t>
  </si>
  <si>
    <t>WX338</t>
  </si>
  <si>
    <t>WN336</t>
  </si>
  <si>
    <t>WN303</t>
  </si>
  <si>
    <t>WN337</t>
  </si>
  <si>
    <t>WX313</t>
  </si>
  <si>
    <t>WX339</t>
  </si>
  <si>
    <t>WN333</t>
  </si>
  <si>
    <t>WX335</t>
  </si>
  <si>
    <t>WX355</t>
  </si>
  <si>
    <t>WN354</t>
  </si>
  <si>
    <t>WN138</t>
  </si>
  <si>
    <t>WX134</t>
  </si>
  <si>
    <t>SL111</t>
  </si>
  <si>
    <t>SL112</t>
  </si>
  <si>
    <t>SL140</t>
  </si>
  <si>
    <t>SL144</t>
  </si>
  <si>
    <t>WA Connections Price</t>
  </si>
  <si>
    <t>WA SMPF Rentals Price</t>
  </si>
  <si>
    <t>Cost based prices - high</t>
  </si>
  <si>
    <t>High costs Area 3</t>
  </si>
  <si>
    <t>Prices - cost-based (high)</t>
  </si>
  <si>
    <t>Cost based prices - low</t>
  </si>
  <si>
    <t>Low costs Area 3</t>
  </si>
  <si>
    <t>Prices - cost-based (low)</t>
  </si>
  <si>
    <t>WA Connection Prices</t>
  </si>
  <si>
    <t>Indexed 5 years</t>
  </si>
  <si>
    <t>Cost Trend</t>
  </si>
  <si>
    <t>Prices - indexed</t>
  </si>
  <si>
    <t>Cost trend - central</t>
  </si>
  <si>
    <t>2025/26 +</t>
  </si>
  <si>
    <t>Indexed 10 years</t>
  </si>
  <si>
    <t>Cost Stack Fcast - central</t>
  </si>
  <si>
    <t>Price = Cost Final Year</t>
  </si>
  <si>
    <t>WN127</t>
  </si>
  <si>
    <t>WN346</t>
  </si>
  <si>
    <t>WX130</t>
  </si>
  <si>
    <t>WX347</t>
  </si>
  <si>
    <t>WN300</t>
  </si>
  <si>
    <t>WN301</t>
  </si>
  <si>
    <t>WX310</t>
  </si>
  <si>
    <t>WX311</t>
  </si>
  <si>
    <t>WN332</t>
  </si>
  <si>
    <t>WX334</t>
  </si>
  <si>
    <t>WN348</t>
  </si>
  <si>
    <t>WN350</t>
  </si>
  <si>
    <t>WX349</t>
  </si>
  <si>
    <t>WX351</t>
  </si>
  <si>
    <t>WN158</t>
  </si>
  <si>
    <t>WX135</t>
  </si>
  <si>
    <t>SL121</t>
  </si>
  <si>
    <t>SL122</t>
  </si>
  <si>
    <t>SL150</t>
  </si>
  <si>
    <t>SL151</t>
  </si>
  <si>
    <t>2021 adjustment factor for connections and SMPF rentals</t>
  </si>
  <si>
    <t>Rental Price Calculation</t>
  </si>
  <si>
    <t>Cost trend - high</t>
  </si>
  <si>
    <t>Indexed Prices</t>
  </si>
  <si>
    <t>5 year indexation</t>
  </si>
  <si>
    <t>Condoc</t>
  </si>
  <si>
    <t>Cost Stack Fcast - high</t>
  </si>
  <si>
    <t>10 year indexation</t>
  </si>
  <si>
    <t>Cost trend - low</t>
  </si>
  <si>
    <t>Cost Stack Fcast - low</t>
  </si>
  <si>
    <t>2024/25 estimates (for TAR 2026 Statement)</t>
  </si>
  <si>
    <t>Unit Costs</t>
  </si>
  <si>
    <t>Headline X's</t>
  </si>
  <si>
    <t>Headline Prices</t>
  </si>
  <si>
    <t>Live Link</t>
  </si>
  <si>
    <t>Control Panel Scenario&gt;</t>
  </si>
  <si>
    <t>TD_service_codes</t>
  </si>
  <si>
    <t>Unreg copper rentals (incl. MPF)</t>
  </si>
  <si>
    <t>Unreg copper connections (incl. MPF)</t>
  </si>
  <si>
    <t>Non-FTTP VULA rentals</t>
  </si>
  <si>
    <t>Non-FTTP VULA connections</t>
  </si>
  <si>
    <t>WLR (PSTN) rentals and connections</t>
  </si>
  <si>
    <t>Discounted X's</t>
  </si>
  <si>
    <t>Discounted Prices</t>
  </si>
  <si>
    <t>Scaled for new A2/3 Split</t>
  </si>
  <si>
    <t>Total no. of premises in A3 - 2026 Statement</t>
  </si>
  <si>
    <t>Efficiency</t>
  </si>
  <si>
    <t>Total no. of premises in A3 - WFTMR21</t>
  </si>
  <si>
    <t>WACC</t>
  </si>
  <si>
    <t>FTTC/Openreach</t>
  </si>
  <si>
    <t>CPI forecast</t>
  </si>
  <si>
    <t>Nominal Costs</t>
  </si>
  <si>
    <t>&lt;Control Panel Scenario 3&gt;</t>
  </si>
  <si>
    <t>High Costs</t>
  </si>
  <si>
    <t>&lt;Control Panel Scenario 4&gt;</t>
  </si>
  <si>
    <t>Low Costs</t>
  </si>
  <si>
    <t>&lt;Control Panel Scenario 5&gt;</t>
  </si>
  <si>
    <t>Updated Cost Stack</t>
  </si>
  <si>
    <t>WFTMR Area 3 scale</t>
  </si>
  <si>
    <t>TAR Area 3 scale</t>
  </si>
  <si>
    <t>Actuals</t>
  </si>
  <si>
    <t>Changed to mid-year</t>
  </si>
  <si>
    <t>UK volumes</t>
  </si>
  <si>
    <t>Service</t>
  </si>
  <si>
    <t xml:space="preserve">FTTP Rental - 40Mbit/s </t>
  </si>
  <si>
    <t>FTTP Rental - 55Mbit/s</t>
  </si>
  <si>
    <t>FTTP Rental - 80Mbit/s</t>
  </si>
  <si>
    <t>FTTP Rental - 100Mbit/s</t>
  </si>
  <si>
    <t>FTTP Rental - 220Mbit/s</t>
  </si>
  <si>
    <t>FTTP Rental - 330Mbit/s</t>
  </si>
  <si>
    <t>FTTP Rental - 500Mbit/s</t>
  </si>
  <si>
    <t>FTTP Rental - 1000Mbit/s</t>
  </si>
  <si>
    <t>Forecast</t>
  </si>
  <si>
    <t>FTTP rentals (total BT)</t>
  </si>
  <si>
    <t>FTTP rentals (total non-BT)</t>
  </si>
  <si>
    <t>FTTP 40Mbit/s (total)</t>
  </si>
  <si>
    <t>FTTP 80Mbit/s (total)</t>
  </si>
  <si>
    <t>FTTP 100Mbit/s (total)</t>
  </si>
  <si>
    <t>FTTP 160Mbit/s (total)</t>
  </si>
  <si>
    <t>FTTP 220Mbit/s (total)</t>
  </si>
  <si>
    <t>FTTP 330Mbit/s (total)</t>
  </si>
  <si>
    <t>FTTP 500Mbit/s (total)</t>
  </si>
  <si>
    <t>FTTP 1000Mbit/s (total)</t>
  </si>
  <si>
    <t>FTTP 1200Mbit/s (total)</t>
  </si>
  <si>
    <t>FTTP 1800Mbit/s (total)</t>
  </si>
  <si>
    <t>Equinox prices</t>
  </si>
  <si>
    <t>FTTP Prices</t>
  </si>
  <si>
    <t xml:space="preserve">2024/25 </t>
  </si>
  <si>
    <t>Average</t>
  </si>
  <si>
    <t>Legacy Rental Price - indexed for 10 years</t>
  </si>
  <si>
    <t>Fibre Premium</t>
  </si>
  <si>
    <t>Last updated: 10/03/2026</t>
  </si>
  <si>
    <t>Last updated in Cost forecast ('CPI-X') model on: 03/03/2026</t>
  </si>
  <si>
    <t>&lt;Linked to Cost forecast model&gt;</t>
  </si>
  <si>
    <t>&lt;Linked to Cost forecast model except 2022/23&gt;</t>
  </si>
  <si>
    <t>Source: TAR Statement Cost forecast model</t>
  </si>
  <si>
    <t>Source: TAR November 2025 Consultation Cost forecast model</t>
  </si>
  <si>
    <t xml:space="preserve">Source: Ofcom outturn and forecast volumes data calculated in the Statement WLA Volumes Module												</t>
  </si>
  <si>
    <t>Style Guidelines</t>
  </si>
  <si>
    <t>Styles</t>
  </si>
  <si>
    <t>Input data</t>
  </si>
  <si>
    <t>Input data (e.g. RFS data, inflation, etc)</t>
  </si>
  <si>
    <t>Input assumption or parameter</t>
  </si>
  <si>
    <t>Input assumptions or parameters (e.g. for a scenario or control sheet)</t>
  </si>
  <si>
    <t>Feed internal</t>
  </si>
  <si>
    <t>Feed cell from within this workbook</t>
  </si>
  <si>
    <t>Feed external</t>
  </si>
  <si>
    <t>Feed cell from a different workbook</t>
  </si>
  <si>
    <t>Randomised data</t>
  </si>
  <si>
    <t>Data which has been randomised by +/-20% for confidentiality reasons</t>
  </si>
  <si>
    <t>Calculation</t>
  </si>
  <si>
    <t>Intermediate calculation (not final output)</t>
  </si>
  <si>
    <t>Model logic</t>
  </si>
  <si>
    <t>Cells required for model logic (e.g. year counters)</t>
  </si>
  <si>
    <t>Intentionally blank</t>
  </si>
  <si>
    <t>Cells left intentionally blank</t>
  </si>
  <si>
    <t>Output</t>
  </si>
  <si>
    <t>A key result from this part of the model (in particular one that will be used elsewhere in the model)</t>
  </si>
  <si>
    <t>Highlight</t>
  </si>
  <si>
    <t>A cell that is highlighted for uncertainty</t>
  </si>
  <si>
    <t>QA highlight</t>
  </si>
  <si>
    <t>A cell that is highlighted for quality assurance</t>
  </si>
  <si>
    <t>Check pass</t>
  </si>
  <si>
    <t>A side calculation intended solely to cross check a result (and which therefore should not be referenced anywhere else in the model)</t>
  </si>
  <si>
    <t>Check fail</t>
  </si>
  <si>
    <t>Note or source</t>
  </si>
  <si>
    <t>Text</t>
  </si>
  <si>
    <t>Note/source</t>
  </si>
  <si>
    <t>Named range</t>
  </si>
  <si>
    <t>Cells which are part of a named range</t>
  </si>
  <si>
    <t>Name</t>
  </si>
  <si>
    <t>named_range_1</t>
  </si>
  <si>
    <r>
      <t xml:space="preserve">An Excel Name applying to one or more adjacent cells (use </t>
    </r>
    <r>
      <rPr>
        <u/>
        <sz val="9"/>
        <rFont val="Arial"/>
        <family val="2"/>
      </rPr>
      <t>I</t>
    </r>
    <r>
      <rPr>
        <sz val="11"/>
        <color theme="1"/>
        <rFont val="Calibri"/>
        <family val="2"/>
        <scheme val="minor"/>
      </rPr>
      <t xml:space="preserve">nsert </t>
    </r>
    <r>
      <rPr>
        <u/>
        <sz val="9"/>
        <rFont val="Arial"/>
        <family val="2"/>
      </rPr>
      <t>N</t>
    </r>
    <r>
      <rPr>
        <sz val="11"/>
        <color theme="1"/>
        <rFont val="Calibri"/>
        <family val="2"/>
        <scheme val="minor"/>
      </rPr>
      <t xml:space="preserve">ame </t>
    </r>
    <r>
      <rPr>
        <u/>
        <sz val="9"/>
        <rFont val="Arial"/>
        <family val="2"/>
      </rPr>
      <t>C</t>
    </r>
    <r>
      <rPr>
        <sz val="11"/>
        <color theme="1"/>
        <rFont val="Calibri"/>
        <family val="2"/>
        <scheme val="minor"/>
      </rPr>
      <t>reate to actually create the Excel Names)</t>
    </r>
  </si>
  <si>
    <t>Un-format</t>
  </si>
  <si>
    <t>Going back to default Excel formatting</t>
  </si>
  <si>
    <t>H1</t>
  </si>
  <si>
    <t>Title</t>
  </si>
  <si>
    <t>Heading level 1</t>
  </si>
  <si>
    <t>H2</t>
  </si>
  <si>
    <t>Heading level 2</t>
  </si>
  <si>
    <t>H3</t>
  </si>
  <si>
    <t>Heading level 3</t>
  </si>
  <si>
    <t>H4</t>
  </si>
  <si>
    <t>Heading level 4</t>
  </si>
  <si>
    <t>Area 3 RAB model</t>
  </si>
  <si>
    <t>Information</t>
  </si>
  <si>
    <t xml:space="preserve">Title </t>
  </si>
  <si>
    <t>Objective</t>
  </si>
  <si>
    <t>Estimate costs and revenues for Openreach in Area 3 across both its legacy copper network as well as its fibre (FTTP) network</t>
  </si>
  <si>
    <t>Confidentiality status</t>
  </si>
  <si>
    <t>Non-confidential</t>
  </si>
  <si>
    <t>Contents</t>
  </si>
  <si>
    <t>Sheet</t>
  </si>
  <si>
    <t>Description</t>
  </si>
  <si>
    <t>This contents sheet</t>
  </si>
  <si>
    <t>Ofcom style guide</t>
  </si>
  <si>
    <t>Actual model sheets</t>
  </si>
  <si>
    <t>Total costs and revenues</t>
  </si>
  <si>
    <t>Combined costs and revenues from "Total costs and revenues 2026" and "Total costs and revenues 2021"</t>
  </si>
  <si>
    <t>Total costs and revenues 2026</t>
  </si>
  <si>
    <t>Costs and revenues for copper and fibre services using TAR 2026 estimations</t>
  </si>
  <si>
    <t>Total costs and revenues 2021</t>
  </si>
  <si>
    <t>Costs and revenues for copper and fibre services using WFTMR 2021 estimations</t>
  </si>
  <si>
    <t>Terms and conditions</t>
  </si>
  <si>
    <t>The terms and conditions on which OFCOM is making available this model are set out below.
The Area 3 RAB model ('the Model')  has been developed to estimate the possible costs and revenues that Openreach will face in the future in order to determine whether our proposed price controls in Area 3 are likely to allow for a reasonable expecatation of cost recovery. The Model is provided as part of the explanation of OFCOM’s decisions in its statement "Promoting competition and investment in fibre networks: Telecoms Access Review 2026-31", dated 17th March 2026.
While you may freely use the Model for the purposes for which it is provided, as set out in any accompanying model documentation, OFCOM does not guarantee that the Model will function when used in any modified way.
No representation or warranty is given as to the accuracy, completeness or correctness of the provided Model and it is provided 'as is'. It is provided without any representation or endorsement made and without warranty of any kind, whether express or implied, including but not limited to the implied warranties of satisfactory quality, fitness for a particular purpose, non-infringement, compatibility, security and accuracy.
OFCOM does not accept any responsibility for any loss, disruption or damage to your data or your computer system which may occur whilst using the Model or material derived from the Model. OFCOM does not warrant that the functions contained in the Model will be uninterrupted or error free. Also, OFCOM does not warrant that defects will be corrected, or that the Model provided is free of viruses.
In no event will OFCOM be liable for any loss or damage including, without limitation, indirect or consequential loss or damage, or any loss or damages whatsoever arising from use or loss of use of, data or profits arising out of or in connection with the use or otherwise of the provided Model. By using the Model, you agree to the above.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</si>
</sst>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43" formatCode="_-* #,##0.00_-;\-* #,##0.00_-;_-* &quot;-&quot;??_-;_-@_-"/>
    <numFmt numFmtId="164" formatCode="0.0%"/>
    <numFmt numFmtId="165" formatCode="_-* #,##0_-;\-* #,##0_-;_-* &quot;-&quot;??_-;_-@_-"/>
    <numFmt numFmtId="166" formatCode="0.000%"/>
    <numFmt numFmtId="167" formatCode="0.0000000000000000%"/>
    <numFmt numFmtId="168" formatCode="0.00000000000000%"/>
    <numFmt numFmtId="169" formatCode="&quot;£&quot;#,##0.00"/>
    <numFmt numFmtId="170" formatCode="#,##0_);[Red]\-#,##0_);0_);@_)"/>
    <numFmt numFmtId="171" formatCode="#,##0.00;[Red]\-#,##0.00;\-"/>
    <numFmt numFmtId="172" formatCode="#,##0;[Red]\-#,##0;\-"/>
    <numFmt numFmtId="173" formatCode="#,##0.0;[Red]\-#,##0.0;\-"/>
    <numFmt numFmtId="174" formatCode="#,##0.00_);[Red]\-#,##0.00_);0.00_);@_)"/>
    <numFmt numFmtId="175" formatCode="#,##0;\-#,##0;\-"/>
    <numFmt numFmtId="176" formatCode="#,##0.0%;[Red]\-#,##0.0%;\-"/>
    <numFmt numFmtId="177" formatCode="#,##0%;[Red]\-#,##0%;0%;@_)"/>
    <numFmt numFmtId="178" formatCode="&quot;Rnd&quot;* &quot;[&quot;General&quot;]&quot;;&quot;Rnd&quot;* &quot;[&quot;\-General&quot;]&quot;"/>
    <numFmt numFmtId="179" formatCode="&quot;£&quot;#,##0"/>
    <numFmt numFmtId="180" formatCode="_-&quot;£&quot;* #,##0_-;\-&quot;£&quot;* #,##0_-;_-&quot;£&quot;* &quot;-&quot;??_-;_-@_-"/>
    <numFmt numFmtId="181" formatCode="0.0"/>
  </numFmts>
  <fonts count="71" x14ac:knownFonts="1">
    <font>
      <sz val="11"/>
      <color theme="1"/>
      <name val="Calibri"/>
      <family val="2"/>
      <scheme val="minor"/>
    </font>
    <font>
      <sz val="9"/>
      <name val="Arial"/>
      <family val="2"/>
    </font>
    <font>
      <sz val="11"/>
      <color theme="1"/>
      <name val="Calibri"/>
      <family val="2"/>
      <scheme val="minor"/>
    </font>
    <font>
      <b/>
      <sz val="11"/>
      <color theme="1"/>
      <name val="Calibri"/>
      <family val="2"/>
      <scheme val="minor"/>
    </font>
    <font>
      <sz val="11"/>
      <color rgb="FF000000"/>
      <name val="Calibri"/>
      <family val="2"/>
      <scheme val="minor"/>
    </font>
    <font>
      <sz val="10"/>
      <color theme="1"/>
      <name val="Calibri"/>
      <family val="2"/>
      <scheme val="minor"/>
    </font>
    <font>
      <b/>
      <sz val="10"/>
      <color theme="1"/>
      <name val="Calibri"/>
      <family val="2"/>
      <scheme val="minor"/>
    </font>
    <font>
      <sz val="10"/>
      <color rgb="FF000000"/>
      <name val="Calibri"/>
      <family val="2"/>
      <scheme val="minor"/>
    </font>
    <font>
      <sz val="11"/>
      <color rgb="FF0000FF"/>
      <name val="Calibri"/>
      <family val="2"/>
      <scheme val="minor"/>
    </font>
    <font>
      <sz val="11"/>
      <color rgb="FFFF0000"/>
      <name val="Calibri"/>
      <family val="2"/>
      <scheme val="minor"/>
    </font>
    <font>
      <b/>
      <sz val="20"/>
      <color theme="1"/>
      <name val="Calibri"/>
      <family val="2"/>
      <scheme val="minor"/>
    </font>
    <font>
      <u/>
      <sz val="11"/>
      <color theme="1"/>
      <name val="Calibri"/>
      <family val="2"/>
      <scheme val="minor"/>
    </font>
    <font>
      <b/>
      <sz val="11"/>
      <color rgb="FFFF0000"/>
      <name val="Calibri"/>
      <family val="2"/>
      <scheme val="minor"/>
    </font>
    <font>
      <b/>
      <u/>
      <sz val="11"/>
      <color theme="1"/>
      <name val="Calibri"/>
      <family val="2"/>
      <scheme val="minor"/>
    </font>
    <font>
      <sz val="10"/>
      <name val="Calibri"/>
      <family val="2"/>
      <scheme val="minor"/>
    </font>
    <font>
      <b/>
      <sz val="16"/>
      <color theme="1"/>
      <name val="Calibri"/>
      <family val="2"/>
      <scheme val="minor"/>
    </font>
    <font>
      <sz val="24"/>
      <color rgb="FFCC0044"/>
      <name val="Calibri Light"/>
      <family val="2"/>
      <scheme val="major"/>
    </font>
    <font>
      <sz val="11"/>
      <name val="Calibri"/>
      <family val="2"/>
      <scheme val="minor"/>
    </font>
    <font>
      <b/>
      <sz val="14"/>
      <color rgb="FF404040"/>
      <name val="Calibri Light"/>
      <family val="2"/>
      <scheme val="major"/>
    </font>
    <font>
      <b/>
      <sz val="11"/>
      <color rgb="FF642566"/>
      <name val="Calibri Light"/>
      <family val="2"/>
      <scheme val="major"/>
    </font>
    <font>
      <b/>
      <sz val="16"/>
      <color rgb="FFCC0044"/>
      <name val="Calibri Light"/>
      <family val="2"/>
      <scheme val="major"/>
    </font>
    <font>
      <sz val="11"/>
      <color rgb="FF969696"/>
      <name val="Calibri"/>
      <family val="2"/>
      <scheme val="minor"/>
    </font>
    <font>
      <b/>
      <u/>
      <sz val="11"/>
      <name val="Calibri"/>
      <family val="2"/>
      <scheme val="minor"/>
    </font>
    <font>
      <b/>
      <sz val="11"/>
      <name val="Calibri"/>
      <family val="2"/>
      <scheme val="minor"/>
    </font>
    <font>
      <sz val="10"/>
      <color indexed="10"/>
      <name val="Calibri"/>
      <family val="2"/>
      <scheme val="minor"/>
    </font>
    <font>
      <sz val="8"/>
      <name val="Arial"/>
      <family val="2"/>
    </font>
    <font>
      <i/>
      <sz val="9"/>
      <color indexed="55"/>
      <name val="Arial"/>
      <family val="2"/>
    </font>
    <font>
      <sz val="10"/>
      <name val="Arial"/>
      <family val="2"/>
    </font>
    <font>
      <b/>
      <sz val="12"/>
      <name val="Calibri"/>
      <family val="2"/>
      <scheme val="minor"/>
    </font>
    <font>
      <i/>
      <sz val="11"/>
      <color rgb="FFFF0000"/>
      <name val="Calibri"/>
      <family val="2"/>
      <scheme val="minor"/>
    </font>
    <font>
      <b/>
      <sz val="14"/>
      <color theme="1"/>
      <name val="Calibri"/>
      <family val="2"/>
      <scheme val="minor"/>
    </font>
    <font>
      <b/>
      <sz val="12"/>
      <color theme="1"/>
      <name val="Calibri"/>
      <family val="2"/>
      <scheme val="minor"/>
    </font>
    <font>
      <sz val="11"/>
      <color indexed="10"/>
      <name val="Calibri"/>
      <family val="2"/>
      <scheme val="minor"/>
    </font>
    <font>
      <i/>
      <sz val="10"/>
      <color rgb="FFFF0000"/>
      <name val="Calibri"/>
      <family val="2"/>
      <scheme val="minor"/>
    </font>
    <font>
      <b/>
      <sz val="16"/>
      <name val="Calibri"/>
      <family val="2"/>
      <scheme val="minor"/>
    </font>
    <font>
      <i/>
      <sz val="11"/>
      <color rgb="FF7F7F7F"/>
      <name val="Calibri"/>
      <family val="2"/>
      <scheme val="minor"/>
    </font>
    <font>
      <b/>
      <sz val="12"/>
      <color rgb="FF0000FF"/>
      <name val="Calibri"/>
      <family val="2"/>
      <scheme val="minor"/>
    </font>
    <font>
      <i/>
      <sz val="11"/>
      <name val="Calibri"/>
      <family val="2"/>
      <scheme val="minor"/>
    </font>
    <font>
      <b/>
      <sz val="11"/>
      <color rgb="FFFFFFFF"/>
      <name val="Calibri"/>
      <family val="2"/>
      <scheme val="minor"/>
    </font>
    <font>
      <b/>
      <sz val="12"/>
      <name val="Arial"/>
      <family val="2"/>
    </font>
    <font>
      <b/>
      <sz val="9"/>
      <name val="Arial"/>
      <family val="2"/>
    </font>
    <font>
      <b/>
      <sz val="10"/>
      <name val="Arial"/>
      <family val="2"/>
    </font>
    <font>
      <b/>
      <sz val="22"/>
      <color theme="3"/>
      <name val="Calibri"/>
      <family val="2"/>
      <scheme val="minor"/>
    </font>
    <font>
      <sz val="10"/>
      <color rgb="FF0000FF"/>
      <name val="Arial"/>
      <family val="2"/>
    </font>
    <font>
      <sz val="10"/>
      <color indexed="16"/>
      <name val="Arial"/>
      <family val="2"/>
    </font>
    <font>
      <sz val="8"/>
      <color indexed="10"/>
      <name val="Arial"/>
      <family val="2"/>
    </font>
    <font>
      <i/>
      <sz val="9"/>
      <color rgb="FF969696"/>
      <name val="Arial"/>
      <family val="2"/>
    </font>
    <font>
      <sz val="10"/>
      <color theme="0" tint="-0.34998626667073579"/>
      <name val="Arial"/>
      <family val="2"/>
    </font>
    <font>
      <sz val="10"/>
      <color theme="0" tint="-0.499984740745262"/>
      <name val="Arial"/>
      <family val="2"/>
    </font>
    <font>
      <sz val="10"/>
      <color theme="1"/>
      <name val="Arial"/>
      <family val="2"/>
    </font>
    <font>
      <sz val="8"/>
      <color theme="0" tint="-0.24994659260841701"/>
      <name val="Arial"/>
      <family val="2"/>
    </font>
    <font>
      <sz val="9"/>
      <color theme="5" tint="-0.24994659260841701"/>
      <name val="Arial"/>
      <family val="2"/>
    </font>
    <font>
      <b/>
      <sz val="14"/>
      <name val="Arial"/>
      <family val="2"/>
    </font>
    <font>
      <sz val="11"/>
      <color theme="0" tint="-0.14993743705557422"/>
      <name val="Calibri"/>
      <family val="2"/>
      <scheme val="minor"/>
    </font>
    <font>
      <i/>
      <sz val="11"/>
      <color rgb="FFC00000"/>
      <name val="Calibri"/>
      <family val="2"/>
      <scheme val="minor"/>
    </font>
    <font>
      <b/>
      <sz val="18"/>
      <name val="Arial"/>
      <family val="2"/>
    </font>
    <font>
      <i/>
      <sz val="9"/>
      <color indexed="16"/>
      <name val="Arial"/>
      <family val="2"/>
    </font>
    <font>
      <b/>
      <sz val="10"/>
      <color theme="0"/>
      <name val="Calibri"/>
      <family val="2"/>
      <scheme val="minor"/>
    </font>
    <font>
      <b/>
      <sz val="10"/>
      <color rgb="FF0070C0"/>
      <name val="Calibri"/>
      <family val="2"/>
      <scheme val="minor"/>
    </font>
    <font>
      <b/>
      <sz val="11"/>
      <color rgb="FF642566"/>
      <name val="Calibri"/>
      <family val="2"/>
      <scheme val="minor"/>
    </font>
    <font>
      <u/>
      <sz val="11"/>
      <color theme="10"/>
      <name val="Calibri"/>
      <family val="2"/>
      <scheme val="minor"/>
    </font>
    <font>
      <b/>
      <sz val="14"/>
      <color rgb="FFFF0000"/>
      <name val="Calibri"/>
      <family val="2"/>
      <scheme val="minor"/>
    </font>
    <font>
      <sz val="11"/>
      <color theme="0" tint="-0.249977111117893"/>
      <name val="Calibri"/>
      <family val="2"/>
      <scheme val="minor"/>
    </font>
    <font>
      <sz val="8"/>
      <name val="Calibri"/>
      <family val="2"/>
      <scheme val="minor"/>
    </font>
    <font>
      <b/>
      <sz val="12"/>
      <color rgb="FFFF0000"/>
      <name val="Calibri"/>
      <family val="2"/>
      <scheme val="minor"/>
    </font>
    <font>
      <sz val="10"/>
      <name val="Arial"/>
      <family val="2"/>
    </font>
    <font>
      <sz val="10"/>
      <name val="Arial"/>
    </font>
    <font>
      <b/>
      <sz val="22"/>
      <name val="Arial"/>
      <family val="2"/>
    </font>
    <font>
      <sz val="9"/>
      <name val="Verdana"/>
      <family val="2"/>
    </font>
    <font>
      <sz val="11"/>
      <color theme="0" tint="-0.14996795556505021"/>
      <name val="Calibri"/>
      <family val="2"/>
      <scheme val="minor"/>
    </font>
    <font>
      <u/>
      <sz val="9"/>
      <name val="Arial"/>
      <family val="2"/>
    </font>
  </fonts>
  <fills count="37">
    <fill>
      <patternFill patternType="none"/>
    </fill>
    <fill>
      <patternFill patternType="gray125"/>
    </fill>
    <fill>
      <patternFill patternType="solid">
        <fgColor rgb="FFE8D9E8"/>
        <bgColor indexed="64"/>
      </patternFill>
    </fill>
    <fill>
      <patternFill patternType="solid">
        <fgColor rgb="FFFFFF00"/>
        <bgColor indexed="64"/>
      </patternFill>
    </fill>
    <fill>
      <patternFill patternType="solid">
        <fgColor rgb="FFFFF296"/>
        <bgColor indexed="64"/>
      </patternFill>
    </fill>
    <fill>
      <patternFill patternType="solid">
        <fgColor rgb="FFDAEEF3"/>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rgb="FF99CCFF"/>
        <bgColor indexed="64"/>
      </patternFill>
    </fill>
    <fill>
      <patternFill patternType="solid">
        <fgColor theme="9" tint="0.59999389629810485"/>
        <bgColor indexed="64"/>
      </patternFill>
    </fill>
    <fill>
      <patternFill patternType="solid">
        <fgColor theme="9" tint="0.59999389629810485"/>
        <bgColor indexed="65"/>
      </patternFill>
    </fill>
    <fill>
      <patternFill patternType="solid">
        <fgColor rgb="FFDDEBF7"/>
        <bgColor indexed="64"/>
      </patternFill>
    </fill>
    <fill>
      <patternFill patternType="solid">
        <fgColor rgb="FFC6E0B4"/>
        <bgColor indexed="64"/>
      </patternFill>
    </fill>
    <fill>
      <patternFill patternType="solid">
        <fgColor rgb="FFE7EEF5"/>
        <bgColor indexed="64"/>
      </patternFill>
    </fill>
    <fill>
      <patternFill patternType="solid">
        <fgColor theme="5" tint="0.79998168889431442"/>
        <bgColor indexed="64"/>
      </patternFill>
    </fill>
    <fill>
      <patternFill patternType="solid">
        <fgColor rgb="FFFFFF99"/>
        <bgColor indexed="64"/>
      </patternFill>
    </fill>
    <fill>
      <patternFill patternType="solid">
        <fgColor theme="6" tint="0.79998168889431442"/>
        <bgColor indexed="26"/>
      </patternFill>
    </fill>
    <fill>
      <gradientFill degree="45">
        <stop position="0">
          <color rgb="FFF7941D"/>
        </stop>
        <stop position="0.5">
          <color rgb="FFFFF200"/>
        </stop>
        <stop position="1">
          <color rgb="FFF7941D"/>
        </stop>
      </gradientFill>
    </fill>
    <fill>
      <patternFill patternType="solid">
        <fgColor indexed="13"/>
        <bgColor indexed="64"/>
      </patternFill>
    </fill>
    <fill>
      <patternFill patternType="solid">
        <fgColor rgb="FFFF0000"/>
        <bgColor indexed="64"/>
      </patternFill>
    </fill>
    <fill>
      <patternFill patternType="solid">
        <fgColor rgb="FF00FFFF"/>
        <bgColor indexed="64"/>
      </patternFill>
    </fill>
    <fill>
      <patternFill patternType="solid">
        <fgColor theme="0" tint="-0.14996795556505021"/>
        <bgColor indexed="64"/>
      </patternFill>
    </fill>
    <fill>
      <patternFill patternType="solid">
        <fgColor rgb="FFEAC8EA"/>
        <bgColor indexed="64"/>
      </patternFill>
    </fill>
    <fill>
      <patternFill patternType="solid">
        <fgColor theme="3" tint="-0.24991607409894101"/>
        <bgColor indexed="64"/>
      </patternFill>
    </fill>
    <fill>
      <patternFill patternType="solid">
        <fgColor theme="6" tint="0.39997558519241921"/>
        <bgColor indexed="65"/>
      </patternFill>
    </fill>
    <fill>
      <patternFill patternType="solid">
        <fgColor theme="7" tint="0.79998168889431442"/>
        <bgColor indexed="65"/>
      </patternFill>
    </fill>
    <fill>
      <patternFill patternType="solid">
        <fgColor theme="5" tint="0.59999389629810485"/>
        <bgColor indexed="64"/>
      </patternFill>
    </fill>
    <fill>
      <patternFill patternType="solid">
        <fgColor theme="8" tint="0.59999389629810485"/>
        <bgColor indexed="64"/>
      </patternFill>
    </fill>
    <fill>
      <patternFill patternType="solid">
        <fgColor rgb="FFE2EFDA"/>
        <bgColor indexed="64"/>
      </patternFill>
    </fill>
    <fill>
      <patternFill patternType="solid">
        <fgColor rgb="FFB5E6A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6" tint="0.59999389629810485"/>
        <bgColor indexed="64"/>
      </patternFill>
    </fill>
    <fill>
      <gradientFill degree="45">
        <stop position="0">
          <color rgb="FFFFFF00"/>
        </stop>
        <stop position="1">
          <color rgb="FFF7941D"/>
        </stop>
      </gradientFill>
    </fill>
    <fill>
      <patternFill patternType="solid">
        <fgColor theme="0" tint="-0.14999847407452621"/>
        <bgColor indexed="64"/>
      </patternFill>
    </fill>
  </fills>
  <borders count="36">
    <border>
      <left/>
      <right/>
      <top/>
      <bottom/>
      <diagonal/>
    </border>
    <border>
      <left style="thin">
        <color rgb="FF660066"/>
      </left>
      <right style="thin">
        <color rgb="FF660066"/>
      </right>
      <top style="thin">
        <color rgb="FF660066"/>
      </top>
      <bottom style="thin">
        <color rgb="FF660066"/>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theme="0" tint="-0.14996795556505021"/>
      </left>
      <right style="medium">
        <color theme="0" tint="-0.14996795556505021"/>
      </right>
      <top style="medium">
        <color theme="0" tint="-0.14996795556505021"/>
      </top>
      <bottom style="medium">
        <color theme="0" tint="-0.14996795556505021"/>
      </bottom>
      <diagonal/>
    </border>
    <border>
      <left style="thin">
        <color theme="3" tint="0.79995117038483843"/>
      </left>
      <right style="thin">
        <color theme="3" tint="0.79995117038483843"/>
      </right>
      <top style="thin">
        <color theme="3" tint="0.79995117038483843"/>
      </top>
      <bottom style="thin">
        <color theme="3" tint="0.79995117038483843"/>
      </bottom>
      <diagonal/>
    </border>
    <border>
      <left style="thin">
        <color theme="0" tint="-0.24991607409894101"/>
      </left>
      <right style="thin">
        <color theme="0" tint="-0.24991607409894101"/>
      </right>
      <top style="thin">
        <color theme="0" tint="-0.24991607409894101"/>
      </top>
      <bottom style="thin">
        <color theme="0" tint="-0.24991607409894101"/>
      </bottom>
      <diagonal/>
    </border>
    <border>
      <left/>
      <right/>
      <top/>
      <bottom style="dashed">
        <color auto="1"/>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top/>
      <bottom style="thick">
        <color theme="4"/>
      </bottom>
      <diagonal/>
    </border>
    <border>
      <left style="thin">
        <color indexed="64"/>
      </left>
      <right/>
      <top/>
      <bottom style="thin">
        <color indexed="64"/>
      </bottom>
      <diagonal/>
    </border>
    <border>
      <left/>
      <right/>
      <top/>
      <bottom style="thin">
        <color indexed="64"/>
      </bottom>
      <diagonal/>
    </border>
    <border>
      <left style="thin">
        <color rgb="FF0033CC"/>
      </left>
      <right style="thin">
        <color rgb="FF0033CC"/>
      </right>
      <top style="thin">
        <color rgb="FF0033CC"/>
      </top>
      <bottom style="thin">
        <color rgb="FF0033CC"/>
      </bottom>
      <diagonal/>
    </border>
    <border>
      <left style="thin">
        <color theme="7" tint="-0.24994659260841701"/>
      </left>
      <right style="thin">
        <color theme="7" tint="-0.24994659260841701"/>
      </right>
      <top style="thin">
        <color theme="7" tint="-0.24994659260841701"/>
      </top>
      <bottom style="thin">
        <color theme="7" tint="-0.24994659260841701"/>
      </bottom>
      <diagonal/>
    </border>
    <border>
      <left style="thin">
        <color rgb="FFC90044"/>
      </left>
      <right style="thin">
        <color rgb="FFC90044"/>
      </right>
      <top style="thin">
        <color rgb="FFC90044"/>
      </top>
      <bottom style="thin">
        <color rgb="FFC90044"/>
      </bottom>
      <diagonal/>
    </border>
    <border>
      <left style="hair">
        <color indexed="59"/>
      </left>
      <right style="hair">
        <color indexed="59"/>
      </right>
      <top style="hair">
        <color indexed="59"/>
      </top>
      <bottom style="hair">
        <color indexed="59"/>
      </bottom>
      <diagonal/>
    </border>
    <border>
      <left style="hair">
        <color rgb="FF660066"/>
      </left>
      <right style="hair">
        <color rgb="FF660066"/>
      </right>
      <top style="hair">
        <color rgb="FF660066"/>
      </top>
      <bottom style="hair">
        <color rgb="FF660066"/>
      </bottom>
      <diagonal/>
    </border>
    <border>
      <left style="hair">
        <color rgb="FF66CCFF"/>
      </left>
      <right style="hair">
        <color rgb="FF66CCFF"/>
      </right>
      <top style="hair">
        <color rgb="FF66CCFF"/>
      </top>
      <bottom style="hair">
        <color rgb="FF66CCFF"/>
      </bottom>
      <diagonal/>
    </border>
    <border>
      <left style="thin">
        <color rgb="FF66CCFF"/>
      </left>
      <right style="thin">
        <color rgb="FF66CCFF"/>
      </right>
      <top style="thin">
        <color rgb="FF66CCFF"/>
      </top>
      <bottom style="thin">
        <color rgb="FF66CCFF"/>
      </bottom>
      <diagonal/>
    </border>
    <border>
      <left style="hair">
        <color rgb="FFFFC000"/>
      </left>
      <right style="hair">
        <color rgb="FFFFC000"/>
      </right>
      <top style="hair">
        <color rgb="FFFFC000"/>
      </top>
      <bottom style="hair">
        <color rgb="FFFFC000"/>
      </bottom>
      <diagonal/>
    </border>
    <border>
      <left style="thin">
        <color rgb="FFFFC000"/>
      </left>
      <right style="thin">
        <color rgb="FFFFC000"/>
      </right>
      <top style="thin">
        <color rgb="FFFFC000"/>
      </top>
      <bottom style="thin">
        <color rgb="FFFFC000"/>
      </bottom>
      <diagonal/>
    </border>
    <border>
      <left style="thin">
        <color theme="1"/>
      </left>
      <right style="thin">
        <color theme="1"/>
      </right>
      <top style="thin">
        <color theme="1"/>
      </top>
      <bottom style="thin">
        <color theme="1"/>
      </bottom>
      <diagonal/>
    </border>
    <border>
      <left style="hair">
        <color rgb="FF00EA00"/>
      </left>
      <right style="hair">
        <color rgb="FF00EA00"/>
      </right>
      <top style="hair">
        <color rgb="FF00EA00"/>
      </top>
      <bottom style="hair">
        <color rgb="FF00EA00"/>
      </bottom>
      <diagonal/>
    </border>
    <border>
      <left style="thin">
        <color rgb="FF00EA00"/>
      </left>
      <right style="thin">
        <color rgb="FF00EA00"/>
      </right>
      <top style="thin">
        <color rgb="FF00EA00"/>
      </top>
      <bottom style="thin">
        <color rgb="FF00EA00"/>
      </bottom>
      <diagonal/>
    </border>
    <border>
      <left style="mediumDashed">
        <color rgb="FFC90044"/>
      </left>
      <right style="mediumDashed">
        <color rgb="FFC90044"/>
      </right>
      <top style="mediumDashed">
        <color rgb="FFC90044"/>
      </top>
      <bottom style="mediumDashed">
        <color rgb="FFC90044"/>
      </bottom>
      <diagonal/>
    </border>
    <border>
      <left style="hair">
        <color rgb="FFC00000"/>
      </left>
      <right style="hair">
        <color rgb="FFC00000"/>
      </right>
      <top style="hair">
        <color rgb="FFC00000"/>
      </top>
      <bottom style="hair">
        <color rgb="FFC00000"/>
      </bottom>
      <diagonal/>
    </border>
    <border>
      <left style="dotted">
        <color rgb="FF660066"/>
      </left>
      <right style="dotted">
        <color rgb="FF660066"/>
      </right>
      <top style="dotted">
        <color rgb="FF660066"/>
      </top>
      <bottom style="dotted">
        <color rgb="FF660066"/>
      </bottom>
      <diagonal/>
    </border>
    <border>
      <left/>
      <right/>
      <top/>
      <bottom style="double">
        <color indexed="64"/>
      </bottom>
      <diagonal/>
    </border>
    <border>
      <left style="mediumDashed">
        <color rgb="FFFF0000"/>
      </left>
      <right/>
      <top style="mediumDashed">
        <color rgb="FFFF0000"/>
      </top>
      <bottom/>
      <diagonal/>
    </border>
    <border>
      <left style="medium">
        <color theme="0" tint="-0.14999847407452621"/>
      </left>
      <right style="medium">
        <color theme="0" tint="-0.14999847407452621"/>
      </right>
      <top style="medium">
        <color theme="0" tint="-0.14999847407452621"/>
      </top>
      <bottom style="medium">
        <color theme="0" tint="-0.14999847407452621"/>
      </bottom>
      <diagonal/>
    </border>
    <border>
      <left style="hair">
        <color rgb="FFC00000"/>
      </left>
      <right style="hair">
        <color rgb="FFC00000"/>
      </right>
      <top style="hair">
        <color rgb="FFC00000"/>
      </top>
      <bottom/>
      <diagonal/>
    </border>
    <border>
      <left style="hair">
        <color rgb="FFC00000"/>
      </left>
      <right style="hair">
        <color rgb="FFC00000"/>
      </right>
      <top/>
      <bottom style="hair">
        <color rgb="FFC00000"/>
      </bottom>
      <diagonal/>
    </border>
    <border>
      <left style="mediumDashed">
        <color rgb="FF0070C0"/>
      </left>
      <right style="mediumDashed">
        <color rgb="FF0070C0"/>
      </right>
      <top style="mediumDashed">
        <color rgb="FF0070C0"/>
      </top>
      <bottom style="mediumDashed">
        <color rgb="FF0070C0"/>
      </bottom>
      <diagonal/>
    </border>
  </borders>
  <cellStyleXfs count="182">
    <xf numFmtId="0" fontId="0" fillId="0" borderId="0"/>
    <xf numFmtId="0" fontId="1" fillId="0" borderId="0">
      <alignment vertical="center"/>
    </xf>
    <xf numFmtId="0" fontId="1" fillId="0" borderId="0" applyProtection="0">
      <alignment vertical="center"/>
    </xf>
    <xf numFmtId="0" fontId="1" fillId="2" borderId="0" applyNumberFormat="0" applyFont="0" applyBorder="0" applyAlignment="0" applyProtection="0">
      <alignment vertical="center"/>
    </xf>
    <xf numFmtId="0" fontId="1" fillId="0" borderId="1" applyNumberFormat="0" applyAlignment="0">
      <alignment vertical="center"/>
      <protection locked="0"/>
    </xf>
    <xf numFmtId="9" fontId="2" fillId="0" borderId="0" applyFont="0" applyFill="0" applyBorder="0" applyAlignment="0" applyProtection="0"/>
    <xf numFmtId="43" fontId="2" fillId="0" borderId="0" applyFont="0" applyFill="0" applyBorder="0" applyAlignment="0" applyProtection="0"/>
    <xf numFmtId="0" fontId="4" fillId="4" borderId="0" applyNumberFormat="0" applyProtection="0"/>
    <xf numFmtId="0" fontId="8" fillId="4" borderId="0" applyNumberFormat="0">
      <protection locked="0"/>
    </xf>
    <xf numFmtId="0" fontId="4" fillId="5" borderId="0" applyNumberFormat="0" applyProtection="0"/>
    <xf numFmtId="0" fontId="1" fillId="0" borderId="0"/>
    <xf numFmtId="0" fontId="16" fillId="0" borderId="0" applyNumberFormat="0" applyFill="0" applyBorder="0" applyProtection="0"/>
    <xf numFmtId="0" fontId="17" fillId="0" borderId="0">
      <alignment vertical="center"/>
    </xf>
    <xf numFmtId="0" fontId="18" fillId="0" borderId="0" applyNumberFormat="0" applyFill="0" applyBorder="0" applyProtection="0"/>
    <xf numFmtId="9" fontId="17" fillId="0" borderId="0" applyFont="0" applyFill="0" applyBorder="0" applyAlignment="0" applyProtection="0"/>
    <xf numFmtId="0" fontId="19" fillId="0" borderId="0" applyNumberFormat="0" applyFill="0" applyBorder="0" applyProtection="0"/>
    <xf numFmtId="43" fontId="17" fillId="0" borderId="0" applyFont="0" applyFill="0" applyBorder="0" applyAlignment="0" applyProtection="0"/>
    <xf numFmtId="0" fontId="20" fillId="0" borderId="0" applyNumberFormat="0" applyFill="0" applyBorder="0" applyProtection="0"/>
    <xf numFmtId="0" fontId="21" fillId="0" borderId="0" applyNumberFormat="0" applyProtection="0"/>
    <xf numFmtId="0" fontId="4" fillId="0" borderId="5" applyNumberFormat="0" applyProtection="0"/>
    <xf numFmtId="0" fontId="23" fillId="10" borderId="0" applyNumberFormat="0" applyAlignment="0" applyProtection="0"/>
    <xf numFmtId="0" fontId="24" fillId="0" borderId="0" applyNumberFormat="0" applyProtection="0"/>
    <xf numFmtId="0" fontId="14" fillId="0" borderId="6" applyNumberFormat="0" applyAlignment="0" applyProtection="0"/>
    <xf numFmtId="0" fontId="25" fillId="0" borderId="0" applyFill="0" applyBorder="0" applyProtection="0"/>
    <xf numFmtId="0" fontId="25" fillId="0" borderId="0" applyNumberFormat="0" applyFill="0" applyBorder="0" applyProtection="0"/>
    <xf numFmtId="0" fontId="26" fillId="0" borderId="0" applyNumberFormat="0"/>
    <xf numFmtId="0" fontId="14" fillId="0" borderId="7" applyNumberFormat="0" applyProtection="0"/>
    <xf numFmtId="0" fontId="27" fillId="0" borderId="0">
      <alignment vertical="center"/>
    </xf>
    <xf numFmtId="43" fontId="27" fillId="0" borderId="0" applyFont="0" applyFill="0" applyBorder="0" applyAlignment="0" applyProtection="0"/>
    <xf numFmtId="0" fontId="35" fillId="0" borderId="0" applyNumberFormat="0" applyFill="0" applyBorder="0" applyAlignment="0" applyProtection="0"/>
    <xf numFmtId="0" fontId="2" fillId="12" borderId="0" applyNumberFormat="0" applyBorder="0" applyAlignment="0" applyProtection="0"/>
    <xf numFmtId="0" fontId="27" fillId="0" borderId="0">
      <alignment vertical="center"/>
    </xf>
    <xf numFmtId="0" fontId="42" fillId="0" borderId="12" applyNumberFormat="0" applyFill="0" applyAlignment="0" applyProtection="0"/>
    <xf numFmtId="170" fontId="43" fillId="15" borderId="15">
      <alignment vertical="center"/>
    </xf>
    <xf numFmtId="170" fontId="43" fillId="2" borderId="16">
      <alignment vertical="center"/>
    </xf>
    <xf numFmtId="171" fontId="27" fillId="2" borderId="16" applyProtection="0">
      <alignment vertical="center"/>
    </xf>
    <xf numFmtId="171" fontId="27" fillId="16" borderId="17">
      <alignment vertical="center"/>
    </xf>
    <xf numFmtId="171" fontId="27" fillId="17" borderId="17">
      <alignment vertical="center"/>
    </xf>
    <xf numFmtId="172" fontId="44" fillId="0" borderId="18" applyAlignment="0" applyProtection="0">
      <alignment vertical="center"/>
      <protection locked="0"/>
    </xf>
    <xf numFmtId="171" fontId="27" fillId="0" borderId="19">
      <alignment vertical="center"/>
    </xf>
    <xf numFmtId="171" fontId="27" fillId="0" borderId="1">
      <alignment vertical="center"/>
    </xf>
    <xf numFmtId="171" fontId="27" fillId="0" borderId="20" applyProtection="0">
      <alignment vertical="center"/>
    </xf>
    <xf numFmtId="171" fontId="41" fillId="0" borderId="21" applyProtection="0">
      <alignment vertical="center"/>
      <protection locked="0"/>
    </xf>
    <xf numFmtId="171" fontId="27" fillId="0" borderId="22" applyProtection="0">
      <alignment vertical="center"/>
    </xf>
    <xf numFmtId="171" fontId="41" fillId="0" borderId="23">
      <alignment vertical="center"/>
    </xf>
    <xf numFmtId="173" fontId="27" fillId="18" borderId="24">
      <alignment vertical="center"/>
    </xf>
    <xf numFmtId="171" fontId="27" fillId="0" borderId="25" applyProtection="0">
      <alignment vertical="center"/>
      <protection locked="0"/>
    </xf>
    <xf numFmtId="171" fontId="41" fillId="0" borderId="26" applyProtection="0">
      <alignment vertical="center"/>
      <protection locked="0"/>
    </xf>
    <xf numFmtId="0" fontId="45" fillId="0" borderId="0" applyNumberFormat="0" applyFill="0" applyBorder="0" applyAlignment="0" applyProtection="0">
      <alignment vertical="top"/>
    </xf>
    <xf numFmtId="174" fontId="46" fillId="0" borderId="0" applyNumberFormat="0" applyAlignment="0">
      <alignment vertical="center"/>
    </xf>
    <xf numFmtId="0" fontId="1" fillId="19" borderId="27" applyNumberFormat="0" applyFont="0" applyAlignment="0" applyProtection="0">
      <alignment vertical="center"/>
    </xf>
    <xf numFmtId="175" fontId="47" fillId="0" borderId="0">
      <alignment vertical="top"/>
    </xf>
    <xf numFmtId="9" fontId="1" fillId="0" borderId="0" applyFont="0" applyFill="0" applyBorder="0" applyAlignment="0" applyProtection="0"/>
    <xf numFmtId="0" fontId="25" fillId="0" borderId="0" applyNumberFormat="0" applyFill="0" applyBorder="0" applyAlignment="0" applyProtection="0">
      <alignment vertical="center"/>
    </xf>
    <xf numFmtId="176" fontId="1" fillId="0" borderId="0" applyFont="0" applyFill="0" applyBorder="0" applyAlignment="0" applyProtection="0">
      <alignment horizontal="right" vertical="center"/>
    </xf>
    <xf numFmtId="177" fontId="1" fillId="0" borderId="0" applyFont="0" applyFill="0" applyBorder="0" applyAlignment="0" applyProtection="0">
      <alignment horizontal="right" vertical="center"/>
    </xf>
    <xf numFmtId="173" fontId="48" fillId="0" borderId="0" applyAlignment="0">
      <alignment vertical="center"/>
    </xf>
    <xf numFmtId="43" fontId="27" fillId="0" borderId="0" applyFont="0" applyFill="0" applyBorder="0" applyAlignment="0" applyProtection="0"/>
    <xf numFmtId="0" fontId="1" fillId="20" borderId="0" applyNumberFormat="0" applyFont="0" applyBorder="0" applyAlignment="0" applyProtection="0">
      <alignment vertical="center"/>
    </xf>
    <xf numFmtId="172" fontId="49" fillId="0" borderId="0"/>
    <xf numFmtId="0" fontId="45" fillId="0" borderId="0" applyNumberFormat="0" applyFill="0" applyProtection="0">
      <alignment horizontal="left" vertical="center"/>
    </xf>
    <xf numFmtId="172" fontId="50" fillId="0" borderId="0">
      <alignment horizontal="right" vertical="center"/>
    </xf>
    <xf numFmtId="0" fontId="27" fillId="0" borderId="0" applyFill="0" applyBorder="0" applyProtection="0">
      <alignment vertical="center"/>
    </xf>
    <xf numFmtId="0" fontId="39" fillId="0" borderId="0" applyNumberFormat="0" applyFill="0" applyBorder="0" applyAlignment="0" applyProtection="0">
      <alignment horizontal="left" vertical="center"/>
    </xf>
    <xf numFmtId="0" fontId="51" fillId="0" borderId="0" applyNumberFormat="0" applyAlignment="0" applyProtection="0"/>
    <xf numFmtId="0" fontId="40" fillId="0" borderId="0" applyNumberFormat="0" applyFill="0" applyBorder="0" applyAlignment="0" applyProtection="0">
      <alignment vertical="center"/>
    </xf>
    <xf numFmtId="0" fontId="27" fillId="0" borderId="0">
      <alignment vertical="center"/>
    </xf>
    <xf numFmtId="0" fontId="2" fillId="0" borderId="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9" fontId="17" fillId="0" borderId="0" applyFont="0" applyFill="0" applyBorder="0" applyAlignment="0" applyProtection="0"/>
    <xf numFmtId="0" fontId="1" fillId="20" borderId="0" applyNumberFormat="0" applyFont="0" applyBorder="0" applyProtection="0"/>
    <xf numFmtId="0" fontId="54" fillId="0" borderId="0" applyNumberFormat="0" applyProtection="0"/>
    <xf numFmtId="0" fontId="17" fillId="0" borderId="0" applyProtection="0">
      <alignment vertical="center"/>
    </xf>
    <xf numFmtId="0" fontId="1" fillId="22" borderId="0" applyNumberFormat="0" applyFont="0" applyBorder="0" applyProtection="0"/>
    <xf numFmtId="0" fontId="8" fillId="19" borderId="27" applyNumberFormat="0" applyProtection="0"/>
    <xf numFmtId="0" fontId="8" fillId="5" borderId="0" applyNumberFormat="0" applyProtection="0"/>
    <xf numFmtId="0" fontId="38" fillId="21" borderId="0" applyNumberFormat="0" applyProtection="0"/>
    <xf numFmtId="0" fontId="53" fillId="0" borderId="0" applyNumberFormat="0" applyProtection="0"/>
    <xf numFmtId="0" fontId="1" fillId="23" borderId="0" applyNumberFormat="0" applyFont="0" applyBorder="0" applyProtection="0"/>
    <xf numFmtId="0" fontId="17" fillId="0" borderId="28" applyNumberFormat="0">
      <protection locked="0"/>
    </xf>
    <xf numFmtId="0" fontId="4" fillId="24" borderId="0" applyNumberFormat="0" applyProtection="0"/>
    <xf numFmtId="178" fontId="8" fillId="19" borderId="27" applyProtection="0"/>
    <xf numFmtId="0" fontId="1" fillId="0" borderId="1" applyNumberFormat="0">
      <protection locked="0"/>
    </xf>
    <xf numFmtId="0" fontId="56" fillId="0" borderId="0" applyNumberFormat="0"/>
    <xf numFmtId="0" fontId="45" fillId="0" borderId="0" applyNumberFormat="0" applyFill="0" applyBorder="0" applyProtection="0"/>
    <xf numFmtId="0" fontId="1" fillId="0" borderId="29" applyNumberFormat="0">
      <protection locked="0"/>
    </xf>
    <xf numFmtId="0" fontId="52" fillId="0" borderId="0" applyNumberFormat="0" applyFill="0" applyBorder="0" applyProtection="0"/>
    <xf numFmtId="43" fontId="1" fillId="0" borderId="0" applyFont="0" applyFill="0" applyBorder="0" applyAlignment="0" applyProtection="0"/>
    <xf numFmtId="0" fontId="1" fillId="2" borderId="0" applyNumberFormat="0" applyFont="0" applyBorder="0" applyProtection="0"/>
    <xf numFmtId="0" fontId="39" fillId="0" borderId="0" applyNumberFormat="0" applyFill="0" applyBorder="0" applyProtection="0"/>
    <xf numFmtId="0" fontId="57" fillId="25" borderId="0" applyNumberFormat="0" applyAlignment="0" applyProtection="0"/>
    <xf numFmtId="0" fontId="5" fillId="0" borderId="0"/>
    <xf numFmtId="38" fontId="2" fillId="0" borderId="0" applyFont="0" applyFill="0" applyBorder="0" applyAlignment="0" applyProtection="0"/>
    <xf numFmtId="0" fontId="58" fillId="0" borderId="6" applyNumberFormat="0" applyAlignment="0" applyProtection="0"/>
    <xf numFmtId="0" fontId="1" fillId="0" borderId="0">
      <alignment vertical="center"/>
    </xf>
    <xf numFmtId="0" fontId="40" fillId="0" borderId="0" applyNumberFormat="0" applyFill="0" applyBorder="0" applyProtection="0"/>
    <xf numFmtId="0" fontId="45" fillId="0" borderId="0" applyNumberFormat="0" applyFill="0" applyBorder="0" applyProtection="0"/>
    <xf numFmtId="0" fontId="55" fillId="0" borderId="0" applyNumberFormat="0" applyFill="0" applyBorder="0" applyProtection="0"/>
    <xf numFmtId="170" fontId="1" fillId="0" borderId="0" applyFont="0" applyFill="0" applyBorder="0" applyProtection="0"/>
    <xf numFmtId="0" fontId="2" fillId="0" borderId="0"/>
    <xf numFmtId="0" fontId="8" fillId="19" borderId="27" applyNumberFormat="0" applyProtection="0"/>
    <xf numFmtId="178" fontId="8" fillId="19" borderId="27" applyProtection="0"/>
    <xf numFmtId="43" fontId="1" fillId="0" borderId="0" applyFont="0" applyFill="0" applyBorder="0" applyAlignment="0" applyProtection="0"/>
    <xf numFmtId="38" fontId="2" fillId="0" borderId="0" applyFont="0" applyFill="0" applyBorder="0" applyAlignment="0" applyProtection="0"/>
    <xf numFmtId="43" fontId="17" fillId="0" borderId="0" applyFont="0" applyFill="0" applyBorder="0" applyAlignment="0" applyProtection="0"/>
    <xf numFmtId="0" fontId="2" fillId="0" borderId="0"/>
    <xf numFmtId="9" fontId="17" fillId="0" borderId="0" applyFont="0" applyFill="0" applyBorder="0" applyAlignment="0" applyProtection="0"/>
    <xf numFmtId="0" fontId="8" fillId="19" borderId="27" applyNumberFormat="0" applyProtection="0"/>
    <xf numFmtId="178" fontId="8" fillId="19" borderId="27" applyProtection="0"/>
    <xf numFmtId="43" fontId="1" fillId="0" borderId="0" applyFont="0" applyFill="0" applyBorder="0" applyAlignment="0" applyProtection="0"/>
    <xf numFmtId="38" fontId="2" fillId="0" borderId="0" applyFont="0" applyFill="0" applyBorder="0" applyAlignment="0" applyProtection="0"/>
    <xf numFmtId="43" fontId="17" fillId="0" borderId="0" applyFont="0" applyFill="0" applyBorder="0" applyAlignment="0" applyProtection="0"/>
    <xf numFmtId="44" fontId="2" fillId="0" borderId="0" applyFont="0" applyFill="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0" borderId="0"/>
    <xf numFmtId="0" fontId="60"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17" fillId="0" borderId="0">
      <alignment vertical="center"/>
    </xf>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0" fontId="5" fillId="0" borderId="0"/>
    <xf numFmtId="43" fontId="2" fillId="0" borderId="0" applyFont="0" applyFill="0" applyBorder="0" applyAlignment="0" applyProtection="0"/>
    <xf numFmtId="44" fontId="2" fillId="0" borderId="0" applyFont="0" applyFill="0" applyBorder="0" applyAlignment="0" applyProtection="0"/>
    <xf numFmtId="0" fontId="1" fillId="2" borderId="0" applyNumberFormat="0" applyFont="0" applyBorder="0" applyAlignment="0" applyProtection="0">
      <alignment vertical="center"/>
    </xf>
    <xf numFmtId="43" fontId="2" fillId="0" borderId="0" applyFont="0" applyFill="0" applyBorder="0" applyAlignment="0" applyProtection="0"/>
    <xf numFmtId="43" fontId="1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16"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8" fillId="0" borderId="0" applyNumberFormat="0" applyFill="0" applyBorder="0" applyAlignment="0" applyProtection="0">
      <alignment horizontal="left" vertical="center"/>
    </xf>
    <xf numFmtId="0" fontId="19" fillId="0" borderId="0" applyNumberFormat="0" applyFill="0" applyBorder="0" applyAlignment="0" applyProtection="0">
      <alignment vertical="center"/>
    </xf>
    <xf numFmtId="0" fontId="17" fillId="0" borderId="0">
      <alignment vertical="center"/>
    </xf>
    <xf numFmtId="0" fontId="16" fillId="0" borderId="0" applyNumberFormat="0" applyFill="0" applyBorder="0" applyAlignment="0" applyProtection="0">
      <alignment vertical="center"/>
    </xf>
    <xf numFmtId="0" fontId="24" fillId="0" borderId="0" applyNumberFormat="0" applyAlignment="0" applyProtection="0">
      <alignment vertical="center"/>
    </xf>
    <xf numFmtId="0" fontId="18" fillId="0" borderId="0" applyNumberFormat="0" applyFill="0" applyBorder="0" applyAlignment="0" applyProtection="0">
      <alignment horizontal="left" vertical="center"/>
    </xf>
    <xf numFmtId="0" fontId="4" fillId="4" borderId="0" applyNumberFormat="0" applyAlignment="0" applyProtection="0">
      <alignment vertical="center"/>
    </xf>
    <xf numFmtId="0" fontId="8" fillId="4" borderId="0" applyNumberFormat="0" applyAlignment="0" applyProtection="0">
      <alignment vertical="center"/>
      <protection locked="0"/>
    </xf>
    <xf numFmtId="0" fontId="4" fillId="5" borderId="0" applyNumberFormat="0" applyAlignment="0" applyProtection="0">
      <alignment vertical="center"/>
    </xf>
    <xf numFmtId="0" fontId="8" fillId="5" borderId="0" applyNumberFormat="0" applyAlignment="0" applyProtection="0">
      <alignment vertical="center"/>
    </xf>
    <xf numFmtId="0" fontId="8" fillId="19" borderId="27" applyNumberFormat="0" applyAlignment="0" applyProtection="0">
      <alignment vertical="center"/>
    </xf>
    <xf numFmtId="178" fontId="8" fillId="19" borderId="27" applyAlignment="0" applyProtection="0">
      <alignment vertical="center"/>
    </xf>
    <xf numFmtId="0" fontId="69" fillId="0" borderId="0" applyNumberFormat="0" applyAlignment="0" applyProtection="0">
      <alignment vertical="center"/>
    </xf>
    <xf numFmtId="0" fontId="1" fillId="36" borderId="0" applyNumberFormat="0" applyFont="0" applyBorder="0" applyAlignment="0" applyProtection="0">
      <alignment vertical="center"/>
    </xf>
    <xf numFmtId="0" fontId="4" fillId="24" borderId="0" applyNumberFormat="0" applyAlignment="0" applyProtection="0">
      <alignment vertical="center"/>
    </xf>
    <xf numFmtId="0" fontId="1" fillId="22" borderId="0" applyNumberFormat="0" applyFont="0" applyBorder="0" applyAlignment="0" applyProtection="0">
      <alignment vertical="center"/>
    </xf>
    <xf numFmtId="0" fontId="21" fillId="0" borderId="0" applyNumberFormat="0" applyAlignment="0" applyProtection="0">
      <alignment vertical="center"/>
    </xf>
    <xf numFmtId="0" fontId="38" fillId="21" borderId="0" applyNumberFormat="0" applyAlignment="0" applyProtection="0">
      <alignment vertical="center"/>
    </xf>
    <xf numFmtId="0" fontId="17" fillId="0" borderId="28" applyNumberFormat="0" applyAlignment="0" applyProtection="0">
      <alignment vertical="center"/>
      <protection locked="0"/>
    </xf>
    <xf numFmtId="0" fontId="54" fillId="0" borderId="0" applyNumberFormat="0" applyAlignment="0" applyProtection="0">
      <alignment vertical="center"/>
    </xf>
    <xf numFmtId="0" fontId="20" fillId="0" borderId="0" applyNumberFormat="0" applyFill="0" applyBorder="0" applyAlignment="0" applyProtection="0">
      <alignment vertical="center"/>
    </xf>
    <xf numFmtId="0" fontId="19" fillId="0" borderId="0" applyNumberFormat="0" applyFill="0" applyBorder="0" applyAlignment="0" applyProtection="0">
      <alignment vertical="center"/>
    </xf>
    <xf numFmtId="178" fontId="8" fillId="19" borderId="35"/>
  </cellStyleXfs>
  <cellXfs count="233">
    <xf numFmtId="0" fontId="0" fillId="0" borderId="0" xfId="0"/>
    <xf numFmtId="0" fontId="5" fillId="0" borderId="0" xfId="0" applyFont="1"/>
    <xf numFmtId="0" fontId="5" fillId="0" borderId="0" xfId="5" applyNumberFormat="1" applyFont="1" applyAlignment="1">
      <alignment horizontal="center"/>
    </xf>
    <xf numFmtId="165" fontId="5" fillId="0" borderId="0" xfId="6" applyNumberFormat="1" applyFont="1"/>
    <xf numFmtId="165" fontId="7" fillId="4" borderId="0" xfId="7" applyNumberFormat="1" applyFont="1"/>
    <xf numFmtId="0" fontId="3" fillId="0" borderId="0" xfId="0" applyFont="1"/>
    <xf numFmtId="9" fontId="0" fillId="0" borderId="0" xfId="5" applyFont="1"/>
    <xf numFmtId="0" fontId="10" fillId="0" borderId="0" xfId="0" applyFont="1"/>
    <xf numFmtId="0" fontId="9" fillId="0" borderId="0" xfId="0" applyFont="1"/>
    <xf numFmtId="0" fontId="0" fillId="0" borderId="0" xfId="10" applyFont="1" applyAlignment="1">
      <alignment vertical="center"/>
    </xf>
    <xf numFmtId="0" fontId="11" fillId="0" borderId="0" xfId="0" applyFont="1"/>
    <xf numFmtId="0" fontId="12" fillId="0" borderId="0" xfId="0" applyFont="1"/>
    <xf numFmtId="165" fontId="0" fillId="0" borderId="0" xfId="6" applyNumberFormat="1" applyFont="1"/>
    <xf numFmtId="43" fontId="8" fillId="4" borderId="0" xfId="6" applyFont="1" applyFill="1" applyAlignment="1" applyProtection="1">
      <alignment horizontal="center" vertical="center"/>
    </xf>
    <xf numFmtId="43" fontId="5" fillId="0" borderId="0" xfId="6" applyFont="1" applyAlignment="1">
      <alignment horizontal="center"/>
    </xf>
    <xf numFmtId="0" fontId="6" fillId="0" borderId="2" xfId="0" applyFont="1" applyBorder="1" applyAlignment="1">
      <alignment horizontal="center"/>
    </xf>
    <xf numFmtId="0" fontId="6" fillId="0" borderId="2" xfId="5" applyNumberFormat="1" applyFont="1" applyBorder="1" applyAlignment="1">
      <alignment horizontal="center"/>
    </xf>
    <xf numFmtId="0" fontId="6" fillId="0" borderId="0" xfId="0" applyFont="1" applyAlignment="1">
      <alignment horizontal="center"/>
    </xf>
    <xf numFmtId="0" fontId="6" fillId="0" borderId="0" xfId="5" applyNumberFormat="1" applyFont="1" applyBorder="1" applyAlignment="1">
      <alignment horizontal="center"/>
    </xf>
    <xf numFmtId="43" fontId="0" fillId="6" borderId="0" xfId="6" applyFont="1" applyFill="1"/>
    <xf numFmtId="165" fontId="0" fillId="0" borderId="3" xfId="6" applyNumberFormat="1" applyFont="1" applyFill="1" applyBorder="1"/>
    <xf numFmtId="165" fontId="0" fillId="0" borderId="0" xfId="6" applyNumberFormat="1" applyFont="1" applyFill="1"/>
    <xf numFmtId="43" fontId="5" fillId="0" borderId="0" xfId="0" applyNumberFormat="1" applyFont="1" applyAlignment="1">
      <alignment horizontal="center"/>
    </xf>
    <xf numFmtId="0" fontId="13" fillId="0" borderId="0" xfId="0" applyFont="1"/>
    <xf numFmtId="165" fontId="0" fillId="6" borderId="0" xfId="6" applyNumberFormat="1" applyFont="1" applyFill="1"/>
    <xf numFmtId="10" fontId="8" fillId="4" borderId="0" xfId="5" applyNumberFormat="1" applyFont="1" applyFill="1" applyAlignment="1" applyProtection="1">
      <alignment horizontal="center" vertical="center"/>
    </xf>
    <xf numFmtId="165" fontId="0" fillId="0" borderId="0" xfId="0" applyNumberFormat="1"/>
    <xf numFmtId="165" fontId="9" fillId="0" borderId="0" xfId="6" applyNumberFormat="1" applyFont="1"/>
    <xf numFmtId="43" fontId="0" fillId="0" borderId="0" xfId="0" applyNumberFormat="1"/>
    <xf numFmtId="2" fontId="3" fillId="0" borderId="0" xfId="0" applyNumberFormat="1" applyFont="1"/>
    <xf numFmtId="43" fontId="0" fillId="7" borderId="0" xfId="6" applyFont="1" applyFill="1"/>
    <xf numFmtId="164" fontId="8" fillId="4" borderId="0" xfId="8" applyNumberFormat="1">
      <protection locked="0"/>
    </xf>
    <xf numFmtId="164" fontId="8" fillId="7" borderId="0" xfId="8" applyNumberFormat="1" applyFill="1">
      <protection locked="0"/>
    </xf>
    <xf numFmtId="0" fontId="3" fillId="0" borderId="0" xfId="0" applyFont="1" applyAlignment="1">
      <alignment horizontal="center"/>
    </xf>
    <xf numFmtId="165" fontId="8" fillId="3" borderId="4" xfId="6" applyNumberFormat="1" applyFont="1" applyFill="1" applyBorder="1" applyAlignment="1" applyProtection="1">
      <alignment horizontal="center"/>
      <protection locked="0"/>
    </xf>
    <xf numFmtId="164" fontId="8" fillId="4" borderId="2" xfId="5" applyNumberFormat="1" applyFont="1" applyFill="1" applyBorder="1" applyAlignment="1" applyProtection="1">
      <alignment horizontal="center" vertical="center"/>
    </xf>
    <xf numFmtId="0" fontId="0" fillId="8" borderId="2" xfId="10" applyFont="1" applyFill="1" applyBorder="1" applyAlignment="1">
      <alignment vertical="center"/>
    </xf>
    <xf numFmtId="0" fontId="0" fillId="8" borderId="2" xfId="0" applyFill="1" applyBorder="1"/>
    <xf numFmtId="0" fontId="3" fillId="0" borderId="0" xfId="10" applyFont="1" applyAlignment="1">
      <alignment vertical="center"/>
    </xf>
    <xf numFmtId="0" fontId="9" fillId="0" borderId="0" xfId="0" applyFont="1" applyAlignment="1">
      <alignment horizontal="right"/>
    </xf>
    <xf numFmtId="0" fontId="15" fillId="0" borderId="0" xfId="0" applyFont="1"/>
    <xf numFmtId="0" fontId="21" fillId="0" borderId="0" xfId="18"/>
    <xf numFmtId="0" fontId="22" fillId="0" borderId="0" xfId="12" applyFont="1">
      <alignment vertical="center"/>
    </xf>
    <xf numFmtId="0" fontId="24" fillId="0" borderId="0" xfId="21"/>
    <xf numFmtId="0" fontId="23" fillId="0" borderId="0" xfId="12" applyFont="1">
      <alignment vertical="center"/>
    </xf>
    <xf numFmtId="167" fontId="0" fillId="0" borderId="0" xfId="0" applyNumberFormat="1"/>
    <xf numFmtId="166" fontId="21" fillId="0" borderId="0" xfId="18" applyNumberFormat="1"/>
    <xf numFmtId="0" fontId="5" fillId="0" borderId="0" xfId="0" applyFont="1" applyAlignment="1">
      <alignment horizontal="center"/>
    </xf>
    <xf numFmtId="10" fontId="8" fillId="11" borderId="0" xfId="5" applyNumberFormat="1" applyFont="1" applyFill="1" applyAlignment="1">
      <alignment horizontal="center" vertical="center"/>
    </xf>
    <xf numFmtId="0" fontId="0" fillId="0" borderId="0" xfId="0" applyAlignment="1">
      <alignment horizontal="right"/>
    </xf>
    <xf numFmtId="10" fontId="5" fillId="0" borderId="0" xfId="5" applyNumberFormat="1" applyFont="1" applyAlignment="1">
      <alignment horizontal="center"/>
    </xf>
    <xf numFmtId="164" fontId="0" fillId="0" borderId="0" xfId="5" applyNumberFormat="1" applyFont="1"/>
    <xf numFmtId="0" fontId="29" fillId="0" borderId="0" xfId="0" applyFont="1"/>
    <xf numFmtId="0" fontId="23" fillId="0" borderId="0" xfId="12" applyFont="1" applyAlignment="1">
      <alignment horizontal="center" vertical="center" wrapText="1"/>
    </xf>
    <xf numFmtId="10" fontId="8" fillId="0" borderId="0" xfId="5" applyNumberFormat="1" applyFont="1" applyFill="1" applyAlignment="1" applyProtection="1">
      <alignment horizontal="center" vertical="center"/>
    </xf>
    <xf numFmtId="0" fontId="3" fillId="0" borderId="0" xfId="0" applyFont="1" applyAlignment="1">
      <alignment horizontal="center" vertical="center"/>
    </xf>
    <xf numFmtId="0" fontId="30" fillId="0" borderId="0" xfId="0" applyFont="1"/>
    <xf numFmtId="0" fontId="31" fillId="0" borderId="0" xfId="0" applyFont="1"/>
    <xf numFmtId="0" fontId="6" fillId="0" borderId="0" xfId="5" applyNumberFormat="1" applyFont="1" applyAlignment="1">
      <alignment horizontal="center"/>
    </xf>
    <xf numFmtId="0" fontId="6" fillId="0" borderId="8" xfId="0" applyFont="1" applyBorder="1" applyAlignment="1">
      <alignment horizontal="center"/>
    </xf>
    <xf numFmtId="9" fontId="8" fillId="4" borderId="0" xfId="5" applyFont="1" applyFill="1" applyProtection="1">
      <protection locked="0"/>
    </xf>
    <xf numFmtId="10" fontId="8" fillId="4" borderId="0" xfId="8" applyNumberFormat="1">
      <protection locked="0"/>
    </xf>
    <xf numFmtId="0" fontId="28" fillId="0" borderId="0" xfId="12" applyFont="1">
      <alignment vertical="center"/>
    </xf>
    <xf numFmtId="2" fontId="14" fillId="0" borderId="6" xfId="22" applyNumberFormat="1"/>
    <xf numFmtId="2" fontId="8" fillId="4" borderId="0" xfId="8" applyNumberFormat="1">
      <protection locked="0"/>
    </xf>
    <xf numFmtId="165" fontId="5" fillId="0" borderId="3" xfId="6" applyNumberFormat="1" applyFont="1" applyBorder="1"/>
    <xf numFmtId="0" fontId="32" fillId="0" borderId="0" xfId="21" applyFont="1"/>
    <xf numFmtId="43" fontId="5" fillId="0" borderId="0" xfId="6" applyFont="1"/>
    <xf numFmtId="164" fontId="8" fillId="3" borderId="2" xfId="5" applyNumberFormat="1" applyFont="1" applyFill="1" applyBorder="1" applyAlignment="1" applyProtection="1">
      <alignment horizontal="center" vertical="center"/>
    </xf>
    <xf numFmtId="165" fontId="0" fillId="7" borderId="0" xfId="6" applyNumberFormat="1" applyFont="1" applyFill="1"/>
    <xf numFmtId="10" fontId="0" fillId="7" borderId="0" xfId="5" applyNumberFormat="1" applyFont="1" applyFill="1"/>
    <xf numFmtId="168" fontId="0" fillId="0" borderId="0" xfId="0" applyNumberFormat="1"/>
    <xf numFmtId="0" fontId="5" fillId="0" borderId="2" xfId="0" applyFont="1" applyBorder="1" applyAlignment="1">
      <alignment horizontal="center"/>
    </xf>
    <xf numFmtId="0" fontId="5" fillId="0" borderId="2" xfId="5" applyNumberFormat="1" applyFont="1" applyBorder="1" applyAlignment="1">
      <alignment horizontal="center"/>
    </xf>
    <xf numFmtId="2" fontId="0" fillId="0" borderId="0" xfId="0" applyNumberFormat="1"/>
    <xf numFmtId="164" fontId="2" fillId="0" borderId="0" xfId="5" applyNumberFormat="1" applyFont="1"/>
    <xf numFmtId="0" fontId="5" fillId="0" borderId="9" xfId="0" applyFont="1" applyBorder="1" applyAlignment="1">
      <alignment horizontal="center"/>
    </xf>
    <xf numFmtId="165" fontId="5" fillId="9" borderId="0" xfId="6" applyNumberFormat="1" applyFont="1" applyFill="1"/>
    <xf numFmtId="0" fontId="33" fillId="0" borderId="0" xfId="0" applyFont="1"/>
    <xf numFmtId="2" fontId="23" fillId="0" borderId="0" xfId="0" applyNumberFormat="1" applyFont="1"/>
    <xf numFmtId="0" fontId="8" fillId="4" borderId="0" xfId="8">
      <protection locked="0"/>
    </xf>
    <xf numFmtId="0" fontId="26" fillId="0" borderId="0" xfId="25"/>
    <xf numFmtId="0" fontId="34" fillId="0" borderId="0" xfId="12" applyFont="1">
      <alignment vertical="center"/>
    </xf>
    <xf numFmtId="0" fontId="28" fillId="0" borderId="0" xfId="12" applyFont="1" applyAlignment="1">
      <alignment horizontal="left" vertical="center"/>
    </xf>
    <xf numFmtId="0" fontId="36" fillId="4" borderId="0" xfId="8" applyFont="1">
      <protection locked="0"/>
    </xf>
    <xf numFmtId="0" fontId="37" fillId="0" borderId="6" xfId="29" applyFont="1" applyBorder="1"/>
    <xf numFmtId="165" fontId="5" fillId="2" borderId="0" xfId="3" applyNumberFormat="1" applyFont="1" applyAlignment="1"/>
    <xf numFmtId="165" fontId="5" fillId="0" borderId="0" xfId="0" applyNumberFormat="1" applyFont="1"/>
    <xf numFmtId="0" fontId="0" fillId="0" borderId="0" xfId="0" applyAlignment="1">
      <alignment wrapText="1"/>
    </xf>
    <xf numFmtId="164" fontId="17" fillId="0" borderId="0" xfId="5" applyNumberFormat="1" applyFont="1" applyAlignment="1">
      <alignment vertical="center"/>
    </xf>
    <xf numFmtId="165" fontId="8" fillId="4" borderId="0" xfId="8" applyNumberFormat="1">
      <protection locked="0"/>
    </xf>
    <xf numFmtId="38" fontId="0" fillId="2" borderId="0" xfId="3" applyNumberFormat="1" applyFont="1" applyAlignment="1"/>
    <xf numFmtId="43" fontId="0" fillId="0" borderId="0" xfId="6" applyFont="1"/>
    <xf numFmtId="165" fontId="0" fillId="2" borderId="0" xfId="3" applyNumberFormat="1" applyFont="1" applyAlignment="1"/>
    <xf numFmtId="10" fontId="0" fillId="0" borderId="0" xfId="5" applyNumberFormat="1" applyFont="1"/>
    <xf numFmtId="10" fontId="0" fillId="0" borderId="0" xfId="0" applyNumberFormat="1"/>
    <xf numFmtId="0" fontId="0" fillId="3" borderId="0" xfId="0" applyFill="1"/>
    <xf numFmtId="169" fontId="0" fillId="0" borderId="0" xfId="0" applyNumberFormat="1"/>
    <xf numFmtId="165" fontId="8" fillId="14" borderId="0" xfId="6" applyNumberFormat="1" applyFont="1" applyFill="1" applyAlignment="1">
      <alignment horizontal="center" vertical="center"/>
    </xf>
    <xf numFmtId="10" fontId="8" fillId="4" borderId="0" xfId="5" applyNumberFormat="1" applyFont="1" applyFill="1" applyProtection="1">
      <protection locked="0"/>
    </xf>
    <xf numFmtId="165" fontId="2" fillId="12" borderId="0" xfId="30" applyNumberFormat="1" applyBorder="1"/>
    <xf numFmtId="0" fontId="17" fillId="0" borderId="0" xfId="0" applyFont="1"/>
    <xf numFmtId="43" fontId="2" fillId="26" borderId="0" xfId="115" applyNumberFormat="1"/>
    <xf numFmtId="43" fontId="2" fillId="26" borderId="0" xfId="6" applyFill="1"/>
    <xf numFmtId="165" fontId="0" fillId="2" borderId="0" xfId="6" applyNumberFormat="1" applyFont="1" applyFill="1" applyAlignment="1"/>
    <xf numFmtId="0" fontId="59" fillId="0" borderId="0" xfId="15" applyFont="1"/>
    <xf numFmtId="0" fontId="59" fillId="0" borderId="0" xfId="15" applyFont="1" applyAlignment="1">
      <alignment horizontal="center"/>
    </xf>
    <xf numFmtId="0" fontId="17" fillId="0" borderId="0" xfId="96" applyFont="1">
      <alignment vertical="center"/>
    </xf>
    <xf numFmtId="179" fontId="0" fillId="0" borderId="0" xfId="0" applyNumberFormat="1"/>
    <xf numFmtId="44" fontId="0" fillId="0" borderId="0" xfId="114" applyFont="1"/>
    <xf numFmtId="0" fontId="23" fillId="0" borderId="0" xfId="96" applyFont="1">
      <alignment vertical="center"/>
    </xf>
    <xf numFmtId="44" fontId="0" fillId="0" borderId="0" xfId="0" applyNumberFormat="1"/>
    <xf numFmtId="43" fontId="3" fillId="0" borderId="0" xfId="6" applyFont="1"/>
    <xf numFmtId="43" fontId="5" fillId="0" borderId="0" xfId="6" applyFont="1" applyFill="1"/>
    <xf numFmtId="10" fontId="8" fillId="14" borderId="0" xfId="5" applyNumberFormat="1" applyFont="1" applyFill="1" applyAlignment="1">
      <alignment horizontal="center" vertical="center"/>
    </xf>
    <xf numFmtId="165" fontId="2" fillId="14" borderId="0" xfId="30" applyNumberFormat="1" applyFill="1" applyBorder="1"/>
    <xf numFmtId="164" fontId="8" fillId="14" borderId="0" xfId="5" applyNumberFormat="1" applyFont="1" applyFill="1" applyAlignment="1">
      <alignment horizontal="center" vertical="center"/>
    </xf>
    <xf numFmtId="10" fontId="0" fillId="13" borderId="2" xfId="5" applyNumberFormat="1" applyFont="1" applyFill="1" applyBorder="1" applyAlignment="1">
      <alignment horizontal="center"/>
    </xf>
    <xf numFmtId="165" fontId="2" fillId="0" borderId="0" xfId="6" applyNumberFormat="1" applyFont="1"/>
    <xf numFmtId="0" fontId="2" fillId="0" borderId="0" xfId="0" applyFont="1"/>
    <xf numFmtId="38" fontId="2" fillId="2" borderId="0" xfId="3" applyNumberFormat="1" applyFont="1" applyAlignment="1"/>
    <xf numFmtId="43" fontId="2" fillId="0" borderId="0" xfId="6" applyFont="1"/>
    <xf numFmtId="0" fontId="0" fillId="0" borderId="0" xfId="0" quotePrefix="1"/>
    <xf numFmtId="0" fontId="24" fillId="0" borderId="0" xfId="21" quotePrefix="1"/>
    <xf numFmtId="165" fontId="2" fillId="2" borderId="0" xfId="3" applyNumberFormat="1" applyFont="1" applyAlignment="1"/>
    <xf numFmtId="165" fontId="5" fillId="0" borderId="0" xfId="6" applyNumberFormat="1" applyFont="1" applyFill="1"/>
    <xf numFmtId="0" fontId="60" fillId="0" borderId="0" xfId="118"/>
    <xf numFmtId="0" fontId="17" fillId="0" borderId="0" xfId="12" applyAlignment="1"/>
    <xf numFmtId="43" fontId="3" fillId="0" borderId="0" xfId="0" applyNumberFormat="1" applyFont="1"/>
    <xf numFmtId="0" fontId="61" fillId="0" borderId="0" xfId="0" applyFont="1"/>
    <xf numFmtId="43" fontId="23" fillId="0" borderId="0" xfId="12" applyNumberFormat="1" applyFont="1">
      <alignment vertical="center"/>
    </xf>
    <xf numFmtId="165" fontId="3" fillId="0" borderId="11" xfId="6" applyNumberFormat="1" applyFont="1" applyFill="1" applyBorder="1"/>
    <xf numFmtId="165" fontId="3" fillId="0" borderId="30" xfId="6" applyNumberFormat="1" applyFont="1" applyBorder="1"/>
    <xf numFmtId="180" fontId="3" fillId="0" borderId="0" xfId="114" applyNumberFormat="1" applyFont="1"/>
    <xf numFmtId="165" fontId="5" fillId="0" borderId="0" xfId="6" applyNumberFormat="1" applyFont="1" applyBorder="1"/>
    <xf numFmtId="44" fontId="0" fillId="2" borderId="0" xfId="90" applyNumberFormat="1" applyFont="1"/>
    <xf numFmtId="180" fontId="0" fillId="2" borderId="0" xfId="90" applyNumberFormat="1" applyFont="1"/>
    <xf numFmtId="44" fontId="3" fillId="2" borderId="0" xfId="90" applyNumberFormat="1" applyFont="1"/>
    <xf numFmtId="180" fontId="3" fillId="2" borderId="0" xfId="90" applyNumberFormat="1" applyFont="1"/>
    <xf numFmtId="0" fontId="36" fillId="0" borderId="0" xfId="8" applyFont="1" applyFill="1">
      <protection locked="0"/>
    </xf>
    <xf numFmtId="0" fontId="62" fillId="0" borderId="0" xfId="0" applyFont="1"/>
    <xf numFmtId="38" fontId="0" fillId="11" borderId="0" xfId="3" applyNumberFormat="1" applyFont="1" applyFill="1" applyAlignment="1"/>
    <xf numFmtId="165" fontId="0" fillId="11" borderId="0" xfId="0" applyNumberFormat="1" applyFill="1"/>
    <xf numFmtId="165" fontId="0" fillId="11" borderId="0" xfId="6" applyNumberFormat="1" applyFont="1" applyFill="1"/>
    <xf numFmtId="165" fontId="0" fillId="28" borderId="0" xfId="0" applyNumberFormat="1" applyFill="1"/>
    <xf numFmtId="165" fontId="0" fillId="28" borderId="0" xfId="6" applyNumberFormat="1" applyFont="1" applyFill="1"/>
    <xf numFmtId="10" fontId="0" fillId="2" borderId="0" xfId="90" applyNumberFormat="1" applyFont="1"/>
    <xf numFmtId="165" fontId="23" fillId="0" borderId="0" xfId="12" applyNumberFormat="1" applyFont="1">
      <alignment vertical="center"/>
    </xf>
    <xf numFmtId="2" fontId="8" fillId="29" borderId="0" xfId="8" applyNumberFormat="1" applyFill="1">
      <protection locked="0"/>
    </xf>
    <xf numFmtId="2" fontId="8" fillId="11" borderId="0" xfId="8" applyNumberFormat="1" applyFill="1">
      <protection locked="0"/>
    </xf>
    <xf numFmtId="43" fontId="8" fillId="29" borderId="0" xfId="6" applyFont="1" applyFill="1"/>
    <xf numFmtId="43" fontId="8" fillId="11" borderId="0" xfId="6" applyFont="1" applyFill="1"/>
    <xf numFmtId="0" fontId="3" fillId="0" borderId="0" xfId="0" applyFont="1" applyAlignment="1">
      <alignment horizontal="right"/>
    </xf>
    <xf numFmtId="0" fontId="59" fillId="0" borderId="0" xfId="15" applyFont="1" applyAlignment="1">
      <alignment vertical="center" wrapText="1"/>
    </xf>
    <xf numFmtId="0" fontId="64" fillId="0" borderId="0" xfId="0" applyFont="1"/>
    <xf numFmtId="44" fontId="3" fillId="0" borderId="0" xfId="0" applyNumberFormat="1" applyFont="1"/>
    <xf numFmtId="10" fontId="0" fillId="30" borderId="0" xfId="5" applyNumberFormat="1" applyFont="1" applyFill="1"/>
    <xf numFmtId="38" fontId="0" fillId="0" borderId="0" xfId="0" applyNumberFormat="1"/>
    <xf numFmtId="0" fontId="59" fillId="0" borderId="0" xfId="15" applyFont="1" applyAlignment="1">
      <alignment horizontal="center" vertical="center" wrapText="1"/>
    </xf>
    <xf numFmtId="0" fontId="59" fillId="0" borderId="0" xfId="15" applyFont="1" applyFill="1" applyAlignment="1">
      <alignment horizontal="center"/>
    </xf>
    <xf numFmtId="3" fontId="4" fillId="0" borderId="0" xfId="7" applyNumberFormat="1" applyFill="1"/>
    <xf numFmtId="10" fontId="4" fillId="0" borderId="0" xfId="5" applyNumberFormat="1" applyFont="1" applyFill="1"/>
    <xf numFmtId="179" fontId="4" fillId="0" borderId="0" xfId="7" applyNumberFormat="1" applyFill="1"/>
    <xf numFmtId="43" fontId="0" fillId="13" borderId="0" xfId="6" applyFont="1" applyFill="1"/>
    <xf numFmtId="10" fontId="2" fillId="27" borderId="0" xfId="116" applyNumberFormat="1"/>
    <xf numFmtId="169" fontId="3" fillId="0" borderId="0" xfId="114" applyNumberFormat="1" applyFont="1"/>
    <xf numFmtId="169" fontId="3" fillId="0" borderId="0" xfId="114" applyNumberFormat="1" applyFont="1" applyAlignment="1"/>
    <xf numFmtId="165" fontId="7" fillId="4" borderId="0" xfId="6" applyNumberFormat="1" applyFont="1" applyFill="1"/>
    <xf numFmtId="165" fontId="2" fillId="31" borderId="0" xfId="30" applyNumberFormat="1" applyFill="1" applyBorder="1"/>
    <xf numFmtId="0" fontId="0" fillId="9" borderId="0" xfId="0" applyFill="1"/>
    <xf numFmtId="0" fontId="0" fillId="16" borderId="0" xfId="0" applyFill="1"/>
    <xf numFmtId="0" fontId="0" fillId="32" borderId="14" xfId="0" applyFill="1" applyBorder="1" applyAlignment="1">
      <alignment horizontal="left"/>
    </xf>
    <xf numFmtId="165" fontId="0" fillId="33" borderId="0" xfId="6" applyNumberFormat="1" applyFont="1" applyFill="1"/>
    <xf numFmtId="165" fontId="0" fillId="34" borderId="0" xfId="6" applyNumberFormat="1" applyFont="1" applyFill="1"/>
    <xf numFmtId="169" fontId="3" fillId="0" borderId="0" xfId="0" applyNumberFormat="1" applyFont="1"/>
    <xf numFmtId="10" fontId="4" fillId="0" borderId="0" xfId="0" applyNumberFormat="1" applyFont="1"/>
    <xf numFmtId="0" fontId="4" fillId="0" borderId="0" xfId="0" applyFont="1"/>
    <xf numFmtId="181" fontId="0" fillId="0" borderId="0" xfId="0" applyNumberFormat="1"/>
    <xf numFmtId="172" fontId="27" fillId="35" borderId="31" xfId="69" applyNumberFormat="1" applyFill="1" applyBorder="1" applyAlignment="1">
      <alignment horizontal="right" vertical="center"/>
    </xf>
    <xf numFmtId="1" fontId="65" fillId="35" borderId="31" xfId="69" applyNumberFormat="1" applyFont="1" applyFill="1" applyBorder="1" applyAlignment="1">
      <alignment horizontal="right" vertical="center"/>
    </xf>
    <xf numFmtId="3" fontId="8" fillId="19" borderId="27" xfId="76" applyNumberFormat="1"/>
    <xf numFmtId="169" fontId="27" fillId="35" borderId="31" xfId="69" applyNumberFormat="1" applyFill="1" applyBorder="1" applyAlignment="1">
      <alignment horizontal="right" vertical="center"/>
    </xf>
    <xf numFmtId="172" fontId="66" fillId="35" borderId="31" xfId="69" applyNumberFormat="1" applyFont="1" applyFill="1" applyBorder="1" applyAlignment="1">
      <alignment horizontal="right" vertical="center"/>
    </xf>
    <xf numFmtId="169" fontId="27" fillId="35" borderId="31" xfId="69" applyNumberFormat="1" applyFont="1" applyFill="1" applyBorder="1" applyAlignment="1">
      <alignment horizontal="right" vertical="center"/>
    </xf>
    <xf numFmtId="0" fontId="17" fillId="0" borderId="0" xfId="12" applyAlignment="1">
      <alignment vertical="center" wrapText="1"/>
    </xf>
    <xf numFmtId="0" fontId="17" fillId="0" borderId="0" xfId="12">
      <alignment vertical="center"/>
    </xf>
    <xf numFmtId="0" fontId="20" fillId="0" borderId="0" xfId="158" applyFill="1" applyAlignment="1">
      <alignment horizontal="left"/>
    </xf>
    <xf numFmtId="0" fontId="68" fillId="0" borderId="0" xfId="12" applyFont="1">
      <alignment vertical="center"/>
    </xf>
    <xf numFmtId="0" fontId="40" fillId="0" borderId="0" xfId="12" applyFont="1">
      <alignment vertical="center"/>
    </xf>
    <xf numFmtId="0" fontId="18" fillId="0" borderId="0" xfId="159" applyAlignment="1"/>
    <xf numFmtId="0" fontId="18" fillId="0" borderId="0" xfId="159" applyAlignment="1">
      <alignment vertical="center"/>
    </xf>
    <xf numFmtId="0" fontId="19" fillId="0" borderId="0" xfId="160" applyAlignment="1">
      <alignment vertical="center"/>
    </xf>
    <xf numFmtId="0" fontId="20" fillId="0" borderId="0" xfId="158" applyAlignment="1">
      <alignment vertical="center"/>
    </xf>
    <xf numFmtId="0" fontId="16" fillId="0" borderId="0" xfId="157" applyAlignment="1">
      <alignment horizontal="left"/>
    </xf>
    <xf numFmtId="0" fontId="17" fillId="0" borderId="0" xfId="161">
      <alignment vertical="center"/>
    </xf>
    <xf numFmtId="0" fontId="67" fillId="0" borderId="0" xfId="161" applyFont="1" applyAlignment="1"/>
    <xf numFmtId="0" fontId="16" fillId="0" borderId="0" xfId="162" applyAlignment="1">
      <alignment horizontal="left"/>
    </xf>
    <xf numFmtId="0" fontId="24" fillId="0" borderId="0" xfId="163">
      <alignment vertical="center"/>
    </xf>
    <xf numFmtId="0" fontId="18" fillId="0" borderId="0" xfId="164" applyAlignment="1">
      <alignment vertical="center"/>
    </xf>
    <xf numFmtId="0" fontId="39" fillId="0" borderId="0" xfId="161" applyFont="1">
      <alignment vertical="center"/>
    </xf>
    <xf numFmtId="0" fontId="17" fillId="0" borderId="0" xfId="161" applyAlignment="1">
      <alignment horizontal="left" vertical="center" wrapText="1"/>
    </xf>
    <xf numFmtId="0" fontId="4" fillId="4" borderId="0" xfId="165">
      <alignment vertical="center"/>
    </xf>
    <xf numFmtId="170" fontId="17" fillId="0" borderId="0" xfId="161" applyNumberFormat="1">
      <alignment vertical="center"/>
    </xf>
    <xf numFmtId="0" fontId="8" fillId="4" borderId="0" xfId="166">
      <alignment vertical="center"/>
      <protection locked="0"/>
    </xf>
    <xf numFmtId="0" fontId="4" fillId="5" borderId="0" xfId="167">
      <alignment vertical="center"/>
    </xf>
    <xf numFmtId="0" fontId="8" fillId="5" borderId="0" xfId="168">
      <alignment vertical="center"/>
    </xf>
    <xf numFmtId="0" fontId="8" fillId="19" borderId="27" xfId="169">
      <alignment vertical="center"/>
    </xf>
    <xf numFmtId="0" fontId="17" fillId="0" borderId="32" xfId="161" applyBorder="1">
      <alignment vertical="center"/>
    </xf>
    <xf numFmtId="0" fontId="69" fillId="0" borderId="0" xfId="171">
      <alignment vertical="center"/>
    </xf>
    <xf numFmtId="0" fontId="1" fillId="36" borderId="0" xfId="172">
      <alignment vertical="center"/>
    </xf>
    <xf numFmtId="0" fontId="4" fillId="24" borderId="0" xfId="173">
      <alignment vertical="center"/>
    </xf>
    <xf numFmtId="0" fontId="0" fillId="20" borderId="0" xfId="58" applyFont="1">
      <alignment vertical="center"/>
    </xf>
    <xf numFmtId="0" fontId="0" fillId="22" borderId="0" xfId="174" applyFont="1">
      <alignment vertical="center"/>
    </xf>
    <xf numFmtId="0" fontId="21" fillId="0" borderId="0" xfId="175">
      <alignment vertical="center"/>
    </xf>
    <xf numFmtId="0" fontId="0" fillId="0" borderId="0" xfId="74" applyFont="1">
      <alignment vertical="center"/>
    </xf>
    <xf numFmtId="0" fontId="38" fillId="21" borderId="0" xfId="176">
      <alignment vertical="center"/>
    </xf>
    <xf numFmtId="0" fontId="17" fillId="0" borderId="33" xfId="177" applyBorder="1" applyProtection="1">
      <alignment vertical="center"/>
    </xf>
    <xf numFmtId="0" fontId="17" fillId="0" borderId="34" xfId="177" applyBorder="1" applyProtection="1">
      <alignment vertical="center"/>
    </xf>
    <xf numFmtId="170" fontId="54" fillId="0" borderId="0" xfId="178" applyNumberFormat="1">
      <alignment vertical="center"/>
    </xf>
    <xf numFmtId="0" fontId="40" fillId="0" borderId="0" xfId="161" applyFont="1" applyAlignment="1">
      <alignment horizontal="left" vertical="center" wrapText="1"/>
    </xf>
    <xf numFmtId="0" fontId="16" fillId="0" borderId="0" xfId="162">
      <alignment vertical="center"/>
    </xf>
    <xf numFmtId="0" fontId="20" fillId="0" borderId="0" xfId="179">
      <alignment vertical="center"/>
    </xf>
    <xf numFmtId="0" fontId="19" fillId="0" borderId="0" xfId="180">
      <alignment vertical="center"/>
    </xf>
    <xf numFmtId="0" fontId="17" fillId="0" borderId="0" xfId="12" applyAlignment="1">
      <alignment vertical="center" wrapText="1"/>
    </xf>
    <xf numFmtId="0" fontId="3" fillId="0" borderId="0" xfId="0" applyFont="1" applyAlignment="1">
      <alignment horizontal="center"/>
    </xf>
    <xf numFmtId="0" fontId="0" fillId="0" borderId="0" xfId="0"/>
    <xf numFmtId="0" fontId="9" fillId="0" borderId="10" xfId="0" applyFont="1" applyBorder="1" applyAlignment="1">
      <alignment horizontal="center"/>
    </xf>
    <xf numFmtId="0" fontId="9" fillId="0" borderId="11" xfId="0" applyFont="1" applyBorder="1" applyAlignment="1">
      <alignment horizontal="center"/>
    </xf>
    <xf numFmtId="0" fontId="9" fillId="0" borderId="13" xfId="0" applyFont="1" applyBorder="1" applyAlignment="1">
      <alignment horizontal="center"/>
    </xf>
    <xf numFmtId="0" fontId="9" fillId="0" borderId="14" xfId="0" applyFont="1" applyBorder="1" applyAlignment="1">
      <alignment horizontal="center"/>
    </xf>
    <xf numFmtId="0" fontId="0" fillId="9" borderId="0" xfId="0" applyFill="1" applyAlignment="1">
      <alignment horizontal="left"/>
    </xf>
    <xf numFmtId="0" fontId="0" fillId="32" borderId="14" xfId="0" applyFill="1" applyBorder="1" applyAlignment="1">
      <alignment horizontal="left"/>
    </xf>
    <xf numFmtId="0" fontId="59" fillId="0" borderId="0" xfId="15" applyFont="1" applyAlignment="1">
      <alignment horizontal="center" vertical="center" wrapText="1"/>
    </xf>
  </cellXfs>
  <cellStyles count="182">
    <cellStyle name="1. Calculation" xfId="26" xr:uid="{092D34C6-E0BB-478C-BA95-245456564210}"/>
    <cellStyle name="20% - Accent4" xfId="116" builtinId="42"/>
    <cellStyle name="3. Input Data" xfId="95" xr:uid="{54CA78A4-0E8D-4249-89BD-CEA3E5D03957}"/>
    <cellStyle name="3a. Calculated Input" xfId="22" xr:uid="{AA3687D7-B5A8-48FE-99AF-111666D973F6}"/>
    <cellStyle name="40% - Accent6" xfId="30" builtinId="51"/>
    <cellStyle name="60% - Accent3" xfId="115" builtinId="40"/>
    <cellStyle name="Blank input" xfId="40" xr:uid="{0A9CD657-B38B-4D9E-9CE8-B45209CCF3B4}"/>
    <cellStyle name="Calculation oet2017" xfId="19" xr:uid="{4AC31B62-6DB2-432C-BBB6-4B1913947AC8}"/>
    <cellStyle name="Check fail" xfId="78" xr:uid="{51ECE9F2-92D7-4569-A8EE-00EA582A64D7}"/>
    <cellStyle name="Check fail 2" xfId="176" xr:uid="{B7AC1A43-EB40-4375-A8B4-4E159E0B0A26}"/>
    <cellStyle name="Check pass" xfId="18" xr:uid="{C7EDACE0-95B7-459D-9399-CECBEAD98965}"/>
    <cellStyle name="Check pass 2" xfId="175" xr:uid="{286D5B25-F284-4B78-83C0-2964F5056806}"/>
    <cellStyle name="Checksum" xfId="49" xr:uid="{38F427AE-F65F-4B1D-9CF2-680442CB5149}"/>
    <cellStyle name="Checksum 2" xfId="25" xr:uid="{F9AAE625-F7D4-4BE4-8B8D-ADBD75F12771}"/>
    <cellStyle name="Checksum 2 2" xfId="56" xr:uid="{B663E17D-7F97-405B-B0EB-77183DA56368}"/>
    <cellStyle name="Comma" xfId="6" builtinId="3"/>
    <cellStyle name="Comma 117" xfId="28" xr:uid="{584D9974-D39C-4B3C-8B91-25022212A3A7}"/>
    <cellStyle name="Comma 117 2" xfId="135" xr:uid="{E4AE013B-39B0-4E6A-9947-03190A8AD739}"/>
    <cellStyle name="Comma 2" xfId="16" xr:uid="{A0D7CA7F-EDD4-4C54-8709-D2A7B39AF85B}"/>
    <cellStyle name="Comma 2 2" xfId="69" xr:uid="{2DCD7ADC-D7B9-48D7-8400-2FC6B228DE8E}"/>
    <cellStyle name="Comma 2 2 2" xfId="112" xr:uid="{04AC5AF5-7EDE-4C29-B6F5-6CF258BB5412}"/>
    <cellStyle name="Comma 2 2 3" xfId="105" xr:uid="{3F1A2DD0-8EF5-4795-9C7D-523090800BE5}"/>
    <cellStyle name="Comma 2 2 4" xfId="94" xr:uid="{40146AF6-CB92-40E1-A183-43977E5EDED8}"/>
    <cellStyle name="Comma 2 2 5" xfId="138" xr:uid="{F3B31566-FA14-47A8-9965-0FD3E1C92562}"/>
    <cellStyle name="Comma 2 3" xfId="57" xr:uid="{FFB27375-72BC-4798-A1BF-B8DE259169F5}"/>
    <cellStyle name="Comma 2 3 2" xfId="111" xr:uid="{BEE29E96-4B06-491C-B618-02ECA6C64AD2}"/>
    <cellStyle name="Comma 2 3 2 2" xfId="143" xr:uid="{D660ADE7-40C5-43B7-B507-8B9B138ADFF6}"/>
    <cellStyle name="Comma 2 3 3" xfId="127" xr:uid="{D2DFA61A-356D-4E8A-AE07-C3A9737553E0}"/>
    <cellStyle name="Comma 2 3 3 2" xfId="153" xr:uid="{5C029EBD-9B7B-4753-B231-2A74E12A5081}"/>
    <cellStyle name="Comma 2 3 4" xfId="136" xr:uid="{0A60851D-AC83-407E-BE03-C7B32B9D78B5}"/>
    <cellStyle name="Comma 2 4" xfId="104" xr:uid="{C1AC676E-7D0B-4DC7-AE32-424AA7E568B7}"/>
    <cellStyle name="Comma 2 4 2" xfId="125" xr:uid="{FB457C4C-4FBA-4500-AF8A-6267A4BD0E1A}"/>
    <cellStyle name="Comma 2 4 2 2" xfId="151" xr:uid="{A0C581F2-A397-46E6-B5D7-A8C47BDF7291}"/>
    <cellStyle name="Comma 2 4 3" xfId="141" xr:uid="{BB2C6766-AF61-45FB-BDC9-90BF88396015}"/>
    <cellStyle name="Comma 2 5" xfId="89" xr:uid="{31669F46-C11E-4C0D-82E5-777A30275128}"/>
    <cellStyle name="Comma 2 5 2" xfId="140" xr:uid="{198F7378-B30E-426E-8735-5828EB66FF25}"/>
    <cellStyle name="Comma 2 6" xfId="123" xr:uid="{17C7CD15-4CC4-4169-93B9-C41EF8F18EF9}"/>
    <cellStyle name="Comma 2 6 2" xfId="149" xr:uid="{CA2DB665-3CCE-424A-81A2-93BBD910D50E}"/>
    <cellStyle name="Comma 2 7" xfId="134" xr:uid="{D608CE94-6EFD-4D81-B377-5C1E4883DCB8}"/>
    <cellStyle name="Comma 3" xfId="70" xr:uid="{210B0752-58E5-48FF-AC04-58AF1C9350B7}"/>
    <cellStyle name="Comma 3 2" xfId="113" xr:uid="{6A138FE6-47F4-406B-BCBC-8328C7CC1C15}"/>
    <cellStyle name="Comma 3 2 2" xfId="144" xr:uid="{E0BFEE66-CC6B-46EE-AEF9-9BC1A3C2B57F}"/>
    <cellStyle name="Comma 3 3" xfId="128" xr:uid="{3CBE9131-166C-4AB7-B8BC-20CBACE0DF5F}"/>
    <cellStyle name="Comma 3 3 2" xfId="154" xr:uid="{A87B7ED2-3A69-4CAA-8C6F-F26C638DF623}"/>
    <cellStyle name="Comma 3 4" xfId="139" xr:uid="{D2AD1AEC-DD9D-4742-8529-D04BD0029637}"/>
    <cellStyle name="Comma 4" xfId="68" xr:uid="{EB847E0A-1F12-47E4-A847-DEE2113B9BF5}"/>
    <cellStyle name="Comma 4 2" xfId="106" xr:uid="{86B43456-ECE0-462F-B81D-321ADE0B1D08}"/>
    <cellStyle name="Comma 4 2 2" xfId="142" xr:uid="{157CC43C-9135-4899-A34C-D468293B6CF3}"/>
    <cellStyle name="Comma 4 3" xfId="126" xr:uid="{383616A7-031F-4089-88F7-A18DAF7F4B23}"/>
    <cellStyle name="Comma 4 3 2" xfId="152" xr:uid="{8CCC9ACD-306B-4281-A1C2-359434442415}"/>
    <cellStyle name="Comma 4 4" xfId="137" xr:uid="{8D5019BC-F1CC-4608-A5F5-3C9659693E8B}"/>
    <cellStyle name="Comma 5" xfId="124" xr:uid="{AB529675-A4E8-41D3-8DF3-51DE0B82BDB3}"/>
    <cellStyle name="Comma 5 2" xfId="150" xr:uid="{DBC15C37-B11E-4513-8641-30BD2626760F}"/>
    <cellStyle name="Comma 6" xfId="130" xr:uid="{8986A845-6EC5-40A7-A7E3-166ADA1FBF19}"/>
    <cellStyle name="Comma 6 2" xfId="155" xr:uid="{664D21F9-ACE8-4128-84E5-8920F53E7CA5}"/>
    <cellStyle name="Comma 7" xfId="120" xr:uid="{72475993-0EBA-4834-9E14-4BA2E53FFE5A}"/>
    <cellStyle name="Comma 7 2" xfId="147" xr:uid="{A42B08D4-1012-4C04-AF50-82A6A6F8FAE7}"/>
    <cellStyle name="Comma 8" xfId="119" xr:uid="{85D51D9E-4D30-440E-B46D-5E9E262CFEEF}"/>
    <cellStyle name="Comma 8 2" xfId="146" xr:uid="{4FBBC0EB-3DA8-45A2-8021-65A25E632CD6}"/>
    <cellStyle name="Comma 9" xfId="133" xr:uid="{4436F501-58AC-4457-A9F9-804E1E9D8097}"/>
    <cellStyle name="Confidential" xfId="76" xr:uid="{E5914D9D-07EF-4A9B-B403-3537ECE4C29D}"/>
    <cellStyle name="Confidential 2" xfId="109" xr:uid="{16C8E8DD-4FFA-4DD5-A4AA-05F6AC72329A}"/>
    <cellStyle name="Confidential 3" xfId="102" xr:uid="{EF6AB70E-06C2-416F-B3BB-3522CEF981C9}"/>
    <cellStyle name="Confidential 4" xfId="169" xr:uid="{4564F8C0-622C-43C5-A9A1-5203E8E604DD}"/>
    <cellStyle name="Currency" xfId="114" builtinId="4"/>
    <cellStyle name="Currency 2" xfId="131" xr:uid="{5B277744-DDCE-4416-8C4B-8032E726345C}"/>
    <cellStyle name="Currency 2 2" xfId="156" xr:uid="{F5912276-EC60-4882-8222-64FE44CD1C42}"/>
    <cellStyle name="Currency 3" xfId="121" xr:uid="{F729087C-EDCE-429D-B860-B061AD26161B}"/>
    <cellStyle name="Currency 3 2" xfId="148" xr:uid="{31AE213F-F4C5-4CF1-BE26-94B0B86F48BE}"/>
    <cellStyle name="Currency 4" xfId="145" xr:uid="{9631BC16-89EB-4DFE-A956-23559B0C48FB}"/>
    <cellStyle name="Data label" xfId="37" xr:uid="{31C47CB8-F02A-44B5-A306-066298B46F73}"/>
    <cellStyle name="Explanatory Text" xfId="29" builtinId="53"/>
    <cellStyle name="External link" xfId="36" xr:uid="{BE852963-AEC9-448F-B333-7547DB175810}"/>
    <cellStyle name="Feed external" xfId="77" xr:uid="{D0F10EA5-4474-4840-B7A3-F479992DF0E3}"/>
    <cellStyle name="Feed external 2" xfId="168" xr:uid="{9E4415F3-E6AD-4498-82F8-101536A01E86}"/>
    <cellStyle name="Feed internal" xfId="9" xr:uid="{A954D941-2387-4480-BF14-C859679B4DF3}"/>
    <cellStyle name="Feed internal 2" xfId="167" xr:uid="{7E97DFD1-08F5-48F7-B843-D48DE30B7D18}"/>
    <cellStyle name="H1" xfId="11" xr:uid="{B18D534C-FFA8-4113-A4E1-78C0925B9C8A}"/>
    <cellStyle name="H1 2" xfId="99" xr:uid="{925103A0-DE03-4333-8290-291466FF3310}"/>
    <cellStyle name="H1 2 2" xfId="162" xr:uid="{9C7901E6-1702-410E-B3D1-F01EB4A3A57E}"/>
    <cellStyle name="H1 3" xfId="157" xr:uid="{8FF17FF9-1CAF-4D2E-8E24-633585C183A8}"/>
    <cellStyle name="H2" xfId="17" xr:uid="{54D57EAA-9E22-41C3-9C2D-7C6F893E6A6D}"/>
    <cellStyle name="H2 2" xfId="88" xr:uid="{3ADC6694-5E05-40BD-8766-220D78CFD2FA}"/>
    <cellStyle name="H2 2 2" xfId="179" xr:uid="{8E26DBE3-C231-44E7-94D0-EADFFFA51387}"/>
    <cellStyle name="H2 3" xfId="158" xr:uid="{EE811BBC-0546-449D-A4EB-201A01E8632E}"/>
    <cellStyle name="H3" xfId="13" xr:uid="{B9908E93-15D7-424E-9055-2A37B9F6AA1B}"/>
    <cellStyle name="H3 2" xfId="63" xr:uid="{CCC7F7FE-E9BE-46CD-81B9-8668113A82EC}"/>
    <cellStyle name="H3 2 2" xfId="91" xr:uid="{91305DCF-E28E-452D-A0A5-8C1BAAC813D6}"/>
    <cellStyle name="H3 2 3" xfId="164" xr:uid="{D25D21B0-BF37-4F44-92A3-B795CFB57A89}"/>
    <cellStyle name="H3 3" xfId="159" xr:uid="{E6A5A962-4AB6-4F96-B753-6A80004E8F2B}"/>
    <cellStyle name="H4" xfId="15" xr:uid="{5DA7AAFA-3F3D-465B-957B-93F9BBD01908}"/>
    <cellStyle name="H4 2" xfId="65" xr:uid="{83C79499-FBDF-4CF2-8A75-2374B2CE2499}"/>
    <cellStyle name="H4 2 2" xfId="97" xr:uid="{FD83F230-A9BF-48AD-9728-378630545E44}"/>
    <cellStyle name="H4 2 3" xfId="180" xr:uid="{515FEE26-82F5-4DCC-9819-D0E7CA789EC2}"/>
    <cellStyle name="H4 3" xfId="160" xr:uid="{DE235BCB-A371-4D4B-A2BB-225B6EF2C0B0}"/>
    <cellStyle name="Heading 1 2" xfId="20" xr:uid="{3E042568-A753-4800-AAF4-B77853514488}"/>
    <cellStyle name="Heading 1 2 2" xfId="32" xr:uid="{B2E6DBE7-7DCB-45BA-AEBC-C4037D7074B9}"/>
    <cellStyle name="Heading 2 2" xfId="92" xr:uid="{51CF4AF3-5FF3-4277-BC69-B0107B1B6A1E}"/>
    <cellStyle name="Highlight" xfId="58" xr:uid="{2CF8CBB9-7424-4141-B7A9-7CD8CFF5A58A}"/>
    <cellStyle name="Highlight 2" xfId="72" xr:uid="{03515265-A16E-4A1F-B248-23FF24E6F505}"/>
    <cellStyle name="Hyperlink" xfId="118" builtinId="8"/>
    <cellStyle name="Input assumption or parameter" xfId="8" xr:uid="{EE1F1019-3041-46B1-ADD7-3AFE13490F21}"/>
    <cellStyle name="Input assumption or parameter 2" xfId="166" xr:uid="{9DA294BF-CE6F-4210-8CE6-48B9B247080C}"/>
    <cellStyle name="Input data" xfId="7" xr:uid="{E478B73A-8028-4722-B6CF-3657F758F01B}"/>
    <cellStyle name="Input data 2" xfId="39" xr:uid="{60C2E6B0-4D0C-41B3-81D0-D145EDFC6E48}"/>
    <cellStyle name="Input data 2 2" xfId="87" xr:uid="{966E6F39-6F36-4788-B1F7-FA2AF8FF61E5}"/>
    <cellStyle name="Input data 2 3" xfId="165" xr:uid="{9EA15CC3-07F8-4077-B416-96C14863B57C}"/>
    <cellStyle name="Input label link" xfId="38" xr:uid="{7F7274C6-B986-4A83-8221-9F3F4CB513DD}"/>
    <cellStyle name="Input parameter" xfId="4" xr:uid="{5D37DE05-1224-49A3-A698-9517F8DAEF5F}"/>
    <cellStyle name="Input parameter 2" xfId="84" xr:uid="{72630FFE-30E2-4402-B56A-8CCF891B52DF}"/>
    <cellStyle name="Intentionally blank" xfId="80" xr:uid="{FAB8F4E9-C935-4890-B843-1A837B6C8D19}"/>
    <cellStyle name="Intentionally blank 2" xfId="172" xr:uid="{95BEE2F0-0902-4CDC-BF46-04EDDF16A5EE}"/>
    <cellStyle name="Label" xfId="51" xr:uid="{0EE54369-0574-4EEB-897F-9B7DB3A83043}"/>
    <cellStyle name="List" xfId="46" xr:uid="{3A1ECE34-47F9-4121-93DA-A30B195F6937}"/>
    <cellStyle name="List total" xfId="47" xr:uid="{308C51FC-E33B-4BA8-A8BD-5723FBD0781F}"/>
    <cellStyle name="Model calc" xfId="41" xr:uid="{5CEB69EE-F14D-4706-A0D6-8552DB2DB214}"/>
    <cellStyle name="Model calc total" xfId="42" xr:uid="{8C6AB4F1-23B5-4BDD-819B-BFBC554D549B}"/>
    <cellStyle name="Model logic" xfId="79" xr:uid="{702D74AB-07BE-46C5-AF99-808CA9E83981}"/>
    <cellStyle name="Model logic 2" xfId="171" xr:uid="{D7D5CD84-784F-412B-800A-0DD82CE54CB8}"/>
    <cellStyle name="Model output" xfId="45" xr:uid="{759ABB66-48E7-48E4-8DB3-CBD5A19C78BF}"/>
    <cellStyle name="Model variable" xfId="33" xr:uid="{A7484F60-2871-4DE6-B714-53D2BF424651}"/>
    <cellStyle name="Name" xfId="73" xr:uid="{DA32F0FC-6627-44F8-90E2-BF8B82540A10}"/>
    <cellStyle name="Name 2" xfId="85" xr:uid="{07A17920-ED95-45DB-BCE6-DD2A4F30EA3B}"/>
    <cellStyle name="Named range" xfId="81" xr:uid="{F9FCC911-6319-4273-9413-7DFD882A31F7}"/>
    <cellStyle name="Named range 2" xfId="177" xr:uid="{F08685B0-642F-415A-838F-9064A196846C}"/>
    <cellStyle name="Normal" xfId="0" builtinId="0"/>
    <cellStyle name="Normal 2" xfId="1" xr:uid="{33916C31-3083-4BDE-85C5-5633FE5F895D}"/>
    <cellStyle name="Normal 2 2" xfId="59" xr:uid="{31D3CA43-AF85-4D2B-BAAF-9DFE545845AD}"/>
    <cellStyle name="Normal 2 2 2" xfId="93" xr:uid="{5BBAADFA-EC77-46F3-A9C3-2FFFC3B64ED3}"/>
    <cellStyle name="Normal 2 29" xfId="96" xr:uid="{28B64EDD-757B-4884-89B5-5A8662ED5576}"/>
    <cellStyle name="Normal 2 3" xfId="31" xr:uid="{A742EF29-D7D9-4FF5-83D4-43A9D43A6014}"/>
    <cellStyle name="Normal 2 39" xfId="66" xr:uid="{EC00C210-5E16-4E88-B8B6-9228BA5B3C53}"/>
    <cellStyle name="Normal 2 7 2" xfId="129" xr:uid="{46EE3313-D1E1-438D-B283-99360416B2D5}"/>
    <cellStyle name="Normal 3" xfId="12" xr:uid="{3631BAF9-4684-421D-82E5-2EDB034A58E0}"/>
    <cellStyle name="Normal 39 5" xfId="10" xr:uid="{5CD4BFF4-E5AA-407F-84E9-32E0A03B008B}"/>
    <cellStyle name="Normal 4" xfId="101" xr:uid="{E1657A32-6713-4A84-A2A1-33852C19ACEB}"/>
    <cellStyle name="Normal 4 2" xfId="107" xr:uid="{1EED67A3-43FA-4B29-A4C0-EAC9241CC758}"/>
    <cellStyle name="Normal 5" xfId="117" xr:uid="{F7BD49C1-E4BE-4282-96FE-CB870EC3DE99}"/>
    <cellStyle name="Normal 5 2" xfId="122" xr:uid="{F7F48A79-69E4-49D0-946E-74C6740104DB}"/>
    <cellStyle name="Normal 51" xfId="161" xr:uid="{9F780204-2E28-444B-8B81-9C3605EDD248}"/>
    <cellStyle name="Normal 98" xfId="27" xr:uid="{09B9EEC2-12E6-4310-BD65-BD8AE87AB036}"/>
    <cellStyle name="Normal 98 2" xfId="67" xr:uid="{DBD91F61-11C0-43AA-9B0F-9F629BE3CCEF}"/>
    <cellStyle name="Note 2" xfId="53" xr:uid="{74CC830E-B65C-4927-AE3B-ADD5E958DECF}"/>
    <cellStyle name="Note 2 10" xfId="24" xr:uid="{3394692D-FD81-4ED3-8E11-1DFED8B3E37C}"/>
    <cellStyle name="Note 2 2" xfId="64" xr:uid="{A144E99D-5FDA-449A-9E6B-7B150908FD65}"/>
    <cellStyle name="Note 2 3" xfId="98" xr:uid="{2F8DB28C-1829-44BF-880E-E0B9469E6FED}"/>
    <cellStyle name="Note or source" xfId="21" xr:uid="{3A783A28-05EE-46DF-8B18-01559B7F5D88}"/>
    <cellStyle name="Note or source 2" xfId="163" xr:uid="{BE1189E4-17EB-4360-B393-88F964F80C34}"/>
    <cellStyle name="NoteOrSource" xfId="48" xr:uid="{DDD60EBD-2ABD-4B1E-8ED1-42C66DEDCAC1}"/>
    <cellStyle name="NoteOrSource 2" xfId="86" xr:uid="{9ED0F632-E85C-42AE-8239-06DC1251A9D9}"/>
    <cellStyle name="Number" xfId="100" xr:uid="{9EDB5F13-5149-4883-8A3D-F6F4CA1A89A6}"/>
    <cellStyle name="NumberLabel" xfId="61" xr:uid="{5E97E245-5F64-4094-9718-227614E2F1DB}"/>
    <cellStyle name="Numbers" xfId="62" xr:uid="{70B0793D-5949-46BA-BDBC-45E84DCD17F7}"/>
    <cellStyle name="Ofcom input" xfId="35" xr:uid="{DBB0D801-60C2-4966-8777-142C33C4CF85}"/>
    <cellStyle name="Ofcom input 2" xfId="34" xr:uid="{A51B856D-2692-41AB-84F2-F7589611DCA0}"/>
    <cellStyle name="Ofcom Note" xfId="23" xr:uid="{73AB52E9-0150-4445-914A-C5EAFBE457FC}"/>
    <cellStyle name="Ofcom Output" xfId="3" xr:uid="{BD47C700-EFDC-42B4-9076-E36935B4CDF4}"/>
    <cellStyle name="Ofcom Output 2" xfId="90" xr:uid="{06F201BC-CE53-4173-A01F-339B500E4A41}"/>
    <cellStyle name="Ofcom Output 2 2" xfId="132" xr:uid="{DCED5A81-8550-4D32-8BC3-02432A0550A4}"/>
    <cellStyle name="OfcomConfidential" xfId="50" xr:uid="{DC63BDDC-5FDA-48CF-9297-C72C2EA6906C}"/>
    <cellStyle name="Output oet2017" xfId="82" xr:uid="{77AA1770-1A99-4A1A-9683-4BAD70142A7B}"/>
    <cellStyle name="Output oet2017 2" xfId="173" xr:uid="{5C3A9F86-E34A-4D61-9159-36B9774E170B}"/>
    <cellStyle name="Per cent" xfId="5" builtinId="5"/>
    <cellStyle name="Per cent 2" xfId="71" xr:uid="{4E1F2BD5-419E-4CA0-8B66-C1B7AD7904DC}"/>
    <cellStyle name="Percent 2" xfId="14" xr:uid="{22478E02-9DB7-4AF5-9D17-74FE1C876F13}"/>
    <cellStyle name="Percent 2 2" xfId="52" xr:uid="{1A0750F4-42B2-4C81-9B0D-CA1AB6FCF477}"/>
    <cellStyle name="Percent 3" xfId="108" xr:uid="{40C5A6A5-7339-408C-AA09-5641C4FE0123}"/>
    <cellStyle name="Percentage" xfId="55" xr:uid="{D50E06FA-9CA8-4F2F-8900-7E1A6DB53310}"/>
    <cellStyle name="Percentage 2" xfId="54" xr:uid="{422DF8F2-A5F4-4DE3-8122-1EAD6D3E1742}"/>
    <cellStyle name="QA highlight" xfId="75" xr:uid="{45CB7326-9DAD-42B8-8FC1-9F8395C0A72C}"/>
    <cellStyle name="QA highlight 2" xfId="174" xr:uid="{7B35775D-FE41-4684-8238-4FBE92479A54}"/>
    <cellStyle name="Randomized" xfId="83" xr:uid="{B32F6BF0-DF52-4C0F-83DF-7A3203FC7E80}"/>
    <cellStyle name="Randomized 2" xfId="110" xr:uid="{B1E710BA-15F1-4AF1-A154-0F02130E6ABF}"/>
    <cellStyle name="Randomized 2 2" xfId="170" xr:uid="{32937FF1-FAAC-4AF8-8073-DF43923112D0}"/>
    <cellStyle name="Randomized 3" xfId="103" xr:uid="{A48465BA-8E4B-4A2F-A90C-489481971818}"/>
    <cellStyle name="Randomized 4" xfId="181" xr:uid="{C40E1738-FC65-4C1C-AFA7-EE31D2EA587D}"/>
    <cellStyle name="Range name" xfId="178" xr:uid="{076099E9-055E-4291-99A6-C04842DC139F}"/>
    <cellStyle name="Source" xfId="60" xr:uid="{61B448F5-B7FB-4480-8D2D-ED2B5A56E169}"/>
    <cellStyle name="Summary calc" xfId="43" xr:uid="{0CF356C5-D996-4770-9E65-EDEAF6DB027A}"/>
    <cellStyle name="Summary calc total" xfId="44" xr:uid="{8392360C-2DBA-48CA-A0BE-5834C794C7A9}"/>
    <cellStyle name="Unhighlight" xfId="2" xr:uid="{A730C49F-D650-450B-B123-D14D46D3C440}"/>
    <cellStyle name="Unhighlight 2" xfId="74" xr:uid="{57A66C16-AC16-454E-AA17-86F4AD8584DF}"/>
  </cellStyles>
  <dxfs count="3">
    <dxf>
      <font>
        <color rgb="FF9C0006"/>
      </font>
      <fill>
        <patternFill>
          <bgColor rgb="FFFFC7CE"/>
        </patternFill>
      </fill>
    </dxf>
    <dxf>
      <font>
        <b/>
        <i val="0"/>
        <color rgb="FFFFFFFF"/>
      </font>
      <fill>
        <patternFill>
          <bgColor rgb="FFFF0000"/>
        </patternFill>
      </fill>
    </dxf>
    <dxf>
      <font>
        <b/>
        <i val="0"/>
        <color rgb="FFFFFFFF"/>
      </font>
      <fill>
        <patternFill>
          <bgColor rgb="FFFF0000"/>
        </patternFill>
      </fill>
    </dxf>
  </dxfs>
  <tableStyles count="0" defaultTableStyle="TableStyleMedium2" defaultPivotStyle="PivotStyleLight16"/>
  <colors>
    <mruColors>
      <color rgb="FF36C280"/>
      <color rgb="FF5000F2"/>
      <color rgb="FFFF8A00"/>
      <color rgb="FFFF38D1"/>
      <color rgb="FFD4D4D4"/>
      <color rgb="FFC400ED"/>
      <color rgb="FFFFF057"/>
      <color rgb="FF00DE64"/>
      <color rgb="FF00C459"/>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ndard"/>
        <c:varyColors val="0"/>
        <c:ser>
          <c:idx val="3"/>
          <c:order val="5"/>
          <c:tx>
            <c:v>2026-31 recovery</c:v>
          </c:tx>
          <c:spPr>
            <a:solidFill>
              <a:srgbClr val="36C280"/>
            </a:solidFill>
            <a:ln w="25400">
              <a:noFill/>
            </a:ln>
            <a:effectLst/>
          </c:spPr>
          <c:val>
            <c:numRef>
              <c:f>'Total costs and revenues'!$D$161:$M$161</c:f>
              <c:numCache>
                <c:formatCode>_-* #,##0_-;\-* #,##0_-;_-* "-"??_-;_-@_-</c:formatCode>
                <c:ptCount val="10"/>
                <c:pt idx="0">
                  <c:v>596643619.53891969</c:v>
                </c:pt>
                <c:pt idx="1">
                  <c:v>1160942770.1861074</c:v>
                </c:pt>
                <c:pt idx="2">
                  <c:v>1693728154.8732281</c:v>
                </c:pt>
                <c:pt idx="3">
                  <c:v>2194743323.275434</c:v>
                </c:pt>
                <c:pt idx="4">
                  <c:v>2668686735.9535952</c:v>
                </c:pt>
                <c:pt idx="5">
                  <c:v>3128556902.204546</c:v>
                </c:pt>
                <c:pt idx="6">
                  <c:v>3587607949.6054945</c:v>
                </c:pt>
                <c:pt idx="7">
                  <c:v>4009712694.61445</c:v>
                </c:pt>
                <c:pt idx="8">
                  <c:v>4392938664.1138926</c:v>
                </c:pt>
                <c:pt idx="9">
                  <c:v>4744371583.6619759</c:v>
                </c:pt>
              </c:numCache>
            </c:numRef>
          </c:val>
          <c:extLst>
            <c:ext xmlns:c16="http://schemas.microsoft.com/office/drawing/2014/chart" uri="{C3380CC4-5D6E-409C-BE32-E72D297353CC}">
              <c16:uniqueId val="{00000008-1D41-4100-AB87-02B25A6DFFD2}"/>
            </c:ext>
          </c:extLst>
        </c:ser>
        <c:ser>
          <c:idx val="6"/>
          <c:order val="6"/>
          <c:tx>
            <c:v>2021-26 recovery</c:v>
          </c:tx>
          <c:spPr>
            <a:solidFill>
              <a:srgbClr val="5000F2"/>
            </a:solidFill>
            <a:ln>
              <a:solidFill>
                <a:srgbClr val="5000F2"/>
              </a:solidFill>
            </a:ln>
            <a:effectLst/>
          </c:spPr>
          <c:val>
            <c:numRef>
              <c:f>'Total costs and revenues'!$D$161:$H$161</c:f>
              <c:numCache>
                <c:formatCode>_-* #,##0_-;\-* #,##0_-;_-* "-"??_-;_-@_-</c:formatCode>
                <c:ptCount val="5"/>
                <c:pt idx="0">
                  <c:v>596643619.53891969</c:v>
                </c:pt>
                <c:pt idx="1">
                  <c:v>1160942770.1861074</c:v>
                </c:pt>
                <c:pt idx="2">
                  <c:v>1693728154.8732281</c:v>
                </c:pt>
                <c:pt idx="3">
                  <c:v>2194743323.275434</c:v>
                </c:pt>
                <c:pt idx="4">
                  <c:v>2668686735.9535952</c:v>
                </c:pt>
              </c:numCache>
            </c:numRef>
          </c:val>
          <c:extLst>
            <c:ext xmlns:c16="http://schemas.microsoft.com/office/drawing/2014/chart" uri="{C3380CC4-5D6E-409C-BE32-E72D297353CC}">
              <c16:uniqueId val="{00000009-1D41-4100-AB87-02B25A6DFFD2}"/>
            </c:ext>
          </c:extLst>
        </c:ser>
        <c:dLbls>
          <c:showLegendKey val="0"/>
          <c:showVal val="0"/>
          <c:showCatName val="0"/>
          <c:showSerName val="0"/>
          <c:showPercent val="0"/>
          <c:showBubbleSize val="0"/>
        </c:dLbls>
        <c:axId val="925668176"/>
        <c:axId val="925670096"/>
      </c:areaChart>
      <c:lineChart>
        <c:grouping val="standard"/>
        <c:varyColors val="0"/>
        <c:ser>
          <c:idx val="0"/>
          <c:order val="0"/>
          <c:tx>
            <c:v>Cost (central)</c:v>
          </c:tx>
          <c:spPr>
            <a:ln w="28575" cap="rnd">
              <a:solidFill>
                <a:srgbClr val="FF8A00"/>
              </a:solidFill>
              <a:prstDash val="sysDash"/>
              <a:round/>
            </a:ln>
            <a:effectLst/>
          </c:spPr>
          <c:marker>
            <c:symbol val="none"/>
          </c:marker>
          <c:cat>
            <c:strRef>
              <c:f>'Total costs and revenues 2026'!$C$348:$V$348</c:f>
              <c:strCache>
                <c:ptCount val="20"/>
                <c:pt idx="0">
                  <c:v>2021/22</c:v>
                </c:pt>
                <c:pt idx="1">
                  <c:v>2022/23</c:v>
                </c:pt>
                <c:pt idx="2">
                  <c:v>2023/24</c:v>
                </c:pt>
                <c:pt idx="3">
                  <c:v>2024/25</c:v>
                </c:pt>
                <c:pt idx="4">
                  <c:v>2025/26</c:v>
                </c:pt>
                <c:pt idx="5">
                  <c:v>2026/27</c:v>
                </c:pt>
                <c:pt idx="6">
                  <c:v>2027/28</c:v>
                </c:pt>
                <c:pt idx="7">
                  <c:v>2028/29</c:v>
                </c:pt>
                <c:pt idx="8">
                  <c:v>2029/30</c:v>
                </c:pt>
                <c:pt idx="9">
                  <c:v>2030/31</c:v>
                </c:pt>
                <c:pt idx="10">
                  <c:v>2031/32</c:v>
                </c:pt>
                <c:pt idx="11">
                  <c:v>2032/33</c:v>
                </c:pt>
                <c:pt idx="12">
                  <c:v>2033/34</c:v>
                </c:pt>
                <c:pt idx="13">
                  <c:v>2034/35</c:v>
                </c:pt>
                <c:pt idx="14">
                  <c:v>2035/36</c:v>
                </c:pt>
                <c:pt idx="15">
                  <c:v>2036/37</c:v>
                </c:pt>
                <c:pt idx="16">
                  <c:v>2037/38</c:v>
                </c:pt>
                <c:pt idx="17">
                  <c:v>2038/39</c:v>
                </c:pt>
                <c:pt idx="18">
                  <c:v>2039/40</c:v>
                </c:pt>
                <c:pt idx="19">
                  <c:v>2040/41</c:v>
                </c:pt>
              </c:strCache>
            </c:strRef>
          </c:cat>
          <c:val>
            <c:numRef>
              <c:f>'Total costs and revenues'!$D$169:$W$169</c:f>
              <c:numCache>
                <c:formatCode>_-* #,##0_-;\-* #,##0_-;_-* "-"??_-;_-@_-</c:formatCode>
                <c:ptCount val="20"/>
                <c:pt idx="0">
                  <c:v>6304052583.7110138</c:v>
                </c:pt>
                <c:pt idx="1">
                  <c:v>6304052583.7110138</c:v>
                </c:pt>
                <c:pt idx="2">
                  <c:v>6304052583.7110138</c:v>
                </c:pt>
                <c:pt idx="3">
                  <c:v>6304052583.7110138</c:v>
                </c:pt>
                <c:pt idx="4">
                  <c:v>6304052583.7110138</c:v>
                </c:pt>
                <c:pt idx="5">
                  <c:v>6304052583.7110138</c:v>
                </c:pt>
                <c:pt idx="6">
                  <c:v>6304052583.7110138</c:v>
                </c:pt>
                <c:pt idx="7">
                  <c:v>6304052583.7110138</c:v>
                </c:pt>
                <c:pt idx="8">
                  <c:v>6304052583.7110138</c:v>
                </c:pt>
                <c:pt idx="9">
                  <c:v>6304052583.7110138</c:v>
                </c:pt>
                <c:pt idx="10">
                  <c:v>6304052583.7110138</c:v>
                </c:pt>
                <c:pt idx="11">
                  <c:v>6304052583.7110138</c:v>
                </c:pt>
                <c:pt idx="12">
                  <c:v>6304052583.7110138</c:v>
                </c:pt>
                <c:pt idx="13">
                  <c:v>6304052583.7110138</c:v>
                </c:pt>
                <c:pt idx="14">
                  <c:v>6304052583.7110138</c:v>
                </c:pt>
                <c:pt idx="15">
                  <c:v>6304052583.7110138</c:v>
                </c:pt>
                <c:pt idx="16">
                  <c:v>6304052583.7110138</c:v>
                </c:pt>
                <c:pt idx="17">
                  <c:v>6304052583.7110138</c:v>
                </c:pt>
                <c:pt idx="18">
                  <c:v>6304052583.7110138</c:v>
                </c:pt>
                <c:pt idx="19">
                  <c:v>6304052583.7110138</c:v>
                </c:pt>
              </c:numCache>
            </c:numRef>
          </c:val>
          <c:smooth val="0"/>
          <c:extLst>
            <c:ext xmlns:c16="http://schemas.microsoft.com/office/drawing/2014/chart" uri="{C3380CC4-5D6E-409C-BE32-E72D297353CC}">
              <c16:uniqueId val="{00000001-1D41-4100-AB87-02B25A6DFFD2}"/>
            </c:ext>
          </c:extLst>
        </c:ser>
        <c:ser>
          <c:idx val="1"/>
          <c:order val="1"/>
          <c:tx>
            <c:v>Cost (high)</c:v>
          </c:tx>
          <c:spPr>
            <a:ln w="28575" cap="rnd">
              <a:solidFill>
                <a:srgbClr val="FF8A00"/>
              </a:solidFill>
              <a:round/>
            </a:ln>
            <a:effectLst/>
          </c:spPr>
          <c:marker>
            <c:symbol val="none"/>
          </c:marker>
          <c:cat>
            <c:strRef>
              <c:f>'Total costs and revenues 2026'!$C$348:$V$348</c:f>
              <c:strCache>
                <c:ptCount val="20"/>
                <c:pt idx="0">
                  <c:v>2021/22</c:v>
                </c:pt>
                <c:pt idx="1">
                  <c:v>2022/23</c:v>
                </c:pt>
                <c:pt idx="2">
                  <c:v>2023/24</c:v>
                </c:pt>
                <c:pt idx="3">
                  <c:v>2024/25</c:v>
                </c:pt>
                <c:pt idx="4">
                  <c:v>2025/26</c:v>
                </c:pt>
                <c:pt idx="5">
                  <c:v>2026/27</c:v>
                </c:pt>
                <c:pt idx="6">
                  <c:v>2027/28</c:v>
                </c:pt>
                <c:pt idx="7">
                  <c:v>2028/29</c:v>
                </c:pt>
                <c:pt idx="8">
                  <c:v>2029/30</c:v>
                </c:pt>
                <c:pt idx="9">
                  <c:v>2030/31</c:v>
                </c:pt>
                <c:pt idx="10">
                  <c:v>2031/32</c:v>
                </c:pt>
                <c:pt idx="11">
                  <c:v>2032/33</c:v>
                </c:pt>
                <c:pt idx="12">
                  <c:v>2033/34</c:v>
                </c:pt>
                <c:pt idx="13">
                  <c:v>2034/35</c:v>
                </c:pt>
                <c:pt idx="14">
                  <c:v>2035/36</c:v>
                </c:pt>
                <c:pt idx="15">
                  <c:v>2036/37</c:v>
                </c:pt>
                <c:pt idx="16">
                  <c:v>2037/38</c:v>
                </c:pt>
                <c:pt idx="17">
                  <c:v>2038/39</c:v>
                </c:pt>
                <c:pt idx="18">
                  <c:v>2039/40</c:v>
                </c:pt>
                <c:pt idx="19">
                  <c:v>2040/41</c:v>
                </c:pt>
              </c:strCache>
            </c:strRef>
          </c:cat>
          <c:val>
            <c:numRef>
              <c:f>'Total costs and revenues'!$D$170:$W$170</c:f>
              <c:numCache>
                <c:formatCode>_-* #,##0_-;\-* #,##0_-;_-* "-"??_-;_-@_-</c:formatCode>
                <c:ptCount val="20"/>
                <c:pt idx="0">
                  <c:v>6875808845.0112944</c:v>
                </c:pt>
                <c:pt idx="1">
                  <c:v>6875808845.0112944</c:v>
                </c:pt>
                <c:pt idx="2">
                  <c:v>6875808845.0112944</c:v>
                </c:pt>
                <c:pt idx="3">
                  <c:v>6875808845.0112944</c:v>
                </c:pt>
                <c:pt idx="4">
                  <c:v>6875808845.0112944</c:v>
                </c:pt>
                <c:pt idx="5">
                  <c:v>6875808845.0112944</c:v>
                </c:pt>
                <c:pt idx="6">
                  <c:v>6875808845.0112944</c:v>
                </c:pt>
                <c:pt idx="7">
                  <c:v>6875808845.0112944</c:v>
                </c:pt>
                <c:pt idx="8">
                  <c:v>6875808845.0112944</c:v>
                </c:pt>
                <c:pt idx="9">
                  <c:v>6875808845.0112944</c:v>
                </c:pt>
                <c:pt idx="10">
                  <c:v>6875808845.0112944</c:v>
                </c:pt>
                <c:pt idx="11">
                  <c:v>6875808845.0112944</c:v>
                </c:pt>
                <c:pt idx="12">
                  <c:v>6875808845.0112944</c:v>
                </c:pt>
                <c:pt idx="13">
                  <c:v>6875808845.0112944</c:v>
                </c:pt>
                <c:pt idx="14">
                  <c:v>6875808845.0112944</c:v>
                </c:pt>
                <c:pt idx="15">
                  <c:v>6875808845.0112944</c:v>
                </c:pt>
                <c:pt idx="16">
                  <c:v>6875808845.0112944</c:v>
                </c:pt>
                <c:pt idx="17">
                  <c:v>6875808845.0112944</c:v>
                </c:pt>
                <c:pt idx="18">
                  <c:v>6875808845.0112944</c:v>
                </c:pt>
                <c:pt idx="19">
                  <c:v>6875808845.0112944</c:v>
                </c:pt>
              </c:numCache>
            </c:numRef>
          </c:val>
          <c:smooth val="0"/>
          <c:extLst>
            <c:ext xmlns:c16="http://schemas.microsoft.com/office/drawing/2014/chart" uri="{C3380CC4-5D6E-409C-BE32-E72D297353CC}">
              <c16:uniqueId val="{00000002-1D41-4100-AB87-02B25A6DFFD2}"/>
            </c:ext>
          </c:extLst>
        </c:ser>
        <c:ser>
          <c:idx val="2"/>
          <c:order val="2"/>
          <c:tx>
            <c:v>Cost (low)</c:v>
          </c:tx>
          <c:spPr>
            <a:ln w="28575" cap="rnd">
              <a:solidFill>
                <a:srgbClr val="FF8A00"/>
              </a:solidFill>
              <a:round/>
            </a:ln>
            <a:effectLst/>
          </c:spPr>
          <c:marker>
            <c:symbol val="none"/>
          </c:marker>
          <c:cat>
            <c:strRef>
              <c:f>'Total costs and revenues 2026'!$C$348:$V$348</c:f>
              <c:strCache>
                <c:ptCount val="20"/>
                <c:pt idx="0">
                  <c:v>2021/22</c:v>
                </c:pt>
                <c:pt idx="1">
                  <c:v>2022/23</c:v>
                </c:pt>
                <c:pt idx="2">
                  <c:v>2023/24</c:v>
                </c:pt>
                <c:pt idx="3">
                  <c:v>2024/25</c:v>
                </c:pt>
                <c:pt idx="4">
                  <c:v>2025/26</c:v>
                </c:pt>
                <c:pt idx="5">
                  <c:v>2026/27</c:v>
                </c:pt>
                <c:pt idx="6">
                  <c:v>2027/28</c:v>
                </c:pt>
                <c:pt idx="7">
                  <c:v>2028/29</c:v>
                </c:pt>
                <c:pt idx="8">
                  <c:v>2029/30</c:v>
                </c:pt>
                <c:pt idx="9">
                  <c:v>2030/31</c:v>
                </c:pt>
                <c:pt idx="10">
                  <c:v>2031/32</c:v>
                </c:pt>
                <c:pt idx="11">
                  <c:v>2032/33</c:v>
                </c:pt>
                <c:pt idx="12">
                  <c:v>2033/34</c:v>
                </c:pt>
                <c:pt idx="13">
                  <c:v>2034/35</c:v>
                </c:pt>
                <c:pt idx="14">
                  <c:v>2035/36</c:v>
                </c:pt>
                <c:pt idx="15">
                  <c:v>2036/37</c:v>
                </c:pt>
                <c:pt idx="16">
                  <c:v>2037/38</c:v>
                </c:pt>
                <c:pt idx="17">
                  <c:v>2038/39</c:v>
                </c:pt>
                <c:pt idx="18">
                  <c:v>2039/40</c:v>
                </c:pt>
                <c:pt idx="19">
                  <c:v>2040/41</c:v>
                </c:pt>
              </c:strCache>
            </c:strRef>
          </c:cat>
          <c:val>
            <c:numRef>
              <c:f>'Total costs and revenues'!$D$171:$W$171</c:f>
              <c:numCache>
                <c:formatCode>_-* #,##0_-;\-* #,##0_-;_-* "-"??_-;_-@_-</c:formatCode>
                <c:ptCount val="20"/>
                <c:pt idx="0">
                  <c:v>5843627939.8935614</c:v>
                </c:pt>
                <c:pt idx="1">
                  <c:v>5843627939.8935614</c:v>
                </c:pt>
                <c:pt idx="2">
                  <c:v>5843627939.8935614</c:v>
                </c:pt>
                <c:pt idx="3">
                  <c:v>5843627939.8935614</c:v>
                </c:pt>
                <c:pt idx="4">
                  <c:v>5843627939.8935614</c:v>
                </c:pt>
                <c:pt idx="5">
                  <c:v>5843627939.8935614</c:v>
                </c:pt>
                <c:pt idx="6">
                  <c:v>5843627939.8935614</c:v>
                </c:pt>
                <c:pt idx="7">
                  <c:v>5843627939.8935614</c:v>
                </c:pt>
                <c:pt idx="8">
                  <c:v>5843627939.8935614</c:v>
                </c:pt>
                <c:pt idx="9">
                  <c:v>5843627939.8935614</c:v>
                </c:pt>
                <c:pt idx="10">
                  <c:v>5843627939.8935614</c:v>
                </c:pt>
                <c:pt idx="11">
                  <c:v>5843627939.8935614</c:v>
                </c:pt>
                <c:pt idx="12">
                  <c:v>5843627939.8935614</c:v>
                </c:pt>
                <c:pt idx="13">
                  <c:v>5843627939.8935614</c:v>
                </c:pt>
                <c:pt idx="14">
                  <c:v>5843627939.8935614</c:v>
                </c:pt>
                <c:pt idx="15">
                  <c:v>5843627939.8935614</c:v>
                </c:pt>
                <c:pt idx="16">
                  <c:v>5843627939.8935614</c:v>
                </c:pt>
                <c:pt idx="17">
                  <c:v>5843627939.8935614</c:v>
                </c:pt>
                <c:pt idx="18">
                  <c:v>5843627939.8935614</c:v>
                </c:pt>
                <c:pt idx="19">
                  <c:v>5843627939.8935614</c:v>
                </c:pt>
              </c:numCache>
            </c:numRef>
          </c:val>
          <c:smooth val="0"/>
          <c:extLst>
            <c:ext xmlns:c16="http://schemas.microsoft.com/office/drawing/2014/chart" uri="{C3380CC4-5D6E-409C-BE32-E72D297353CC}">
              <c16:uniqueId val="{00000003-1D41-4100-AB87-02B25A6DFFD2}"/>
            </c:ext>
          </c:extLst>
        </c:ser>
        <c:ser>
          <c:idx val="4"/>
          <c:order val="3"/>
          <c:tx>
            <c:v>Revenue (high)</c:v>
          </c:tx>
          <c:spPr>
            <a:ln w="28575" cap="rnd">
              <a:solidFill>
                <a:srgbClr val="5000F2"/>
              </a:solidFill>
              <a:round/>
            </a:ln>
            <a:effectLst/>
          </c:spPr>
          <c:marker>
            <c:symbol val="none"/>
          </c:marker>
          <c:val>
            <c:numRef>
              <c:f>'Total costs and revenues'!$D$162:$W$162</c:f>
              <c:numCache>
                <c:formatCode>_-* #,##0_-;\-* #,##0_-;_-* "-"??_-;_-@_-</c:formatCode>
                <c:ptCount val="20"/>
                <c:pt idx="0">
                  <c:v>597457833.33891976</c:v>
                </c:pt>
                <c:pt idx="1">
                  <c:v>1163724271.53122</c:v>
                </c:pt>
                <c:pt idx="2">
                  <c:v>1699666513.4839394</c:v>
                </c:pt>
                <c:pt idx="3">
                  <c:v>2205001144.293592</c:v>
                </c:pt>
                <c:pt idx="4">
                  <c:v>2684728219.5566611</c:v>
                </c:pt>
                <c:pt idx="5">
                  <c:v>3157463595.6407452</c:v>
                </c:pt>
                <c:pt idx="6">
                  <c:v>3628735414.245554</c:v>
                </c:pt>
                <c:pt idx="7">
                  <c:v>4062174290.8873873</c:v>
                </c:pt>
                <c:pt idx="8">
                  <c:v>4454225993.121274</c:v>
                </c:pt>
                <c:pt idx="9">
                  <c:v>4815242883.4550056</c:v>
                </c:pt>
                <c:pt idx="10">
                  <c:v>5127924794.6171627</c:v>
                </c:pt>
                <c:pt idx="11">
                  <c:v>5398877414.117053</c:v>
                </c:pt>
                <c:pt idx="12">
                  <c:v>5643687630.4751005</c:v>
                </c:pt>
                <c:pt idx="13">
                  <c:v>5877854192.9679136</c:v>
                </c:pt>
                <c:pt idx="14">
                  <c:v>6100151592.3592253</c:v>
                </c:pt>
                <c:pt idx="15">
                  <c:v>6308750811.8203602</c:v>
                </c:pt>
                <c:pt idx="16">
                  <c:v>6503667340.3738461</c:v>
                </c:pt>
                <c:pt idx="17">
                  <c:v>6684748738.7546988</c:v>
                </c:pt>
                <c:pt idx="18">
                  <c:v>6852158517.396553</c:v>
                </c:pt>
                <c:pt idx="19">
                  <c:v>7007223062.7816715</c:v>
                </c:pt>
              </c:numCache>
            </c:numRef>
          </c:val>
          <c:smooth val="0"/>
          <c:extLst>
            <c:ext xmlns:c16="http://schemas.microsoft.com/office/drawing/2014/chart" uri="{C3380CC4-5D6E-409C-BE32-E72D297353CC}">
              <c16:uniqueId val="{00000004-1D41-4100-AB87-02B25A6DFFD2}"/>
            </c:ext>
          </c:extLst>
        </c:ser>
        <c:ser>
          <c:idx val="5"/>
          <c:order val="4"/>
          <c:tx>
            <c:v>Revenue (low)</c:v>
          </c:tx>
          <c:spPr>
            <a:ln w="28575" cap="rnd">
              <a:solidFill>
                <a:srgbClr val="5000F2"/>
              </a:solidFill>
              <a:round/>
            </a:ln>
            <a:effectLst/>
          </c:spPr>
          <c:marker>
            <c:symbol val="none"/>
          </c:marker>
          <c:val>
            <c:numRef>
              <c:f>'Total costs and revenues'!$D$163:$W$163</c:f>
              <c:numCache>
                <c:formatCode>_-* #,##0_-;\-* #,##0_-;_-* "-"??_-;_-@_-</c:formatCode>
                <c:ptCount val="20"/>
                <c:pt idx="0">
                  <c:v>595829405.73891973</c:v>
                </c:pt>
                <c:pt idx="1">
                  <c:v>1158161268.8409951</c:v>
                </c:pt>
                <c:pt idx="2">
                  <c:v>1687789796.262517</c:v>
                </c:pt>
                <c:pt idx="3">
                  <c:v>2184485502.2572761</c:v>
                </c:pt>
                <c:pt idx="4">
                  <c:v>2652645252.3505297</c:v>
                </c:pt>
                <c:pt idx="5">
                  <c:v>3099650208.7683468</c:v>
                </c:pt>
                <c:pt idx="6">
                  <c:v>3546480484.965435</c:v>
                </c:pt>
                <c:pt idx="7">
                  <c:v>3957251098.3415127</c:v>
                </c:pt>
                <c:pt idx="8">
                  <c:v>4331651335.1065121</c:v>
                </c:pt>
                <c:pt idx="9">
                  <c:v>4673500283.8689461</c:v>
                </c:pt>
                <c:pt idx="10">
                  <c:v>4966849468.3882179</c:v>
                </c:pt>
                <c:pt idx="11">
                  <c:v>5218653558.279788</c:v>
                </c:pt>
                <c:pt idx="12">
                  <c:v>5444744632.4576445</c:v>
                </c:pt>
                <c:pt idx="13">
                  <c:v>5660896601.7559729</c:v>
                </c:pt>
                <c:pt idx="14">
                  <c:v>5866023404.9662666</c:v>
                </c:pt>
                <c:pt idx="15">
                  <c:v>6058436277.0878448</c:v>
                </c:pt>
                <c:pt idx="16">
                  <c:v>6238185882.0927849</c:v>
                </c:pt>
                <c:pt idx="17">
                  <c:v>6405138415.0270443</c:v>
                </c:pt>
                <c:pt idx="18">
                  <c:v>6559453786.396801</c:v>
                </c:pt>
                <c:pt idx="19">
                  <c:v>6702382643.8559713</c:v>
                </c:pt>
              </c:numCache>
            </c:numRef>
          </c:val>
          <c:smooth val="0"/>
          <c:extLst>
            <c:ext xmlns:c16="http://schemas.microsoft.com/office/drawing/2014/chart" uri="{C3380CC4-5D6E-409C-BE32-E72D297353CC}">
              <c16:uniqueId val="{00000005-1D41-4100-AB87-02B25A6DFFD2}"/>
            </c:ext>
          </c:extLst>
        </c:ser>
        <c:dLbls>
          <c:showLegendKey val="0"/>
          <c:showVal val="0"/>
          <c:showCatName val="0"/>
          <c:showSerName val="0"/>
          <c:showPercent val="0"/>
          <c:showBubbleSize val="0"/>
        </c:dLbls>
        <c:marker val="1"/>
        <c:smooth val="0"/>
        <c:axId val="925668176"/>
        <c:axId val="925670096"/>
      </c:lineChart>
      <c:catAx>
        <c:axId val="9256681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670096"/>
        <c:crosses val="autoZero"/>
        <c:auto val="1"/>
        <c:lblAlgn val="ctr"/>
        <c:lblOffset val="100"/>
        <c:noMultiLvlLbl val="0"/>
      </c:catAx>
      <c:valAx>
        <c:axId val="925670096"/>
        <c:scaling>
          <c:orientation val="minMax"/>
          <c:max val="9000000000"/>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668176"/>
        <c:crosses val="autoZero"/>
        <c:crossBetween val="between"/>
        <c:majorUnit val="1000000000"/>
        <c:minorUnit val="200000000"/>
        <c:dispUnits>
          <c:builtInUnit val="billions"/>
          <c:dispUnitsLbl>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ndard"/>
        <c:varyColors val="0"/>
        <c:ser>
          <c:idx val="3"/>
          <c:order val="3"/>
          <c:tx>
            <c:v>5-year recovery </c:v>
          </c:tx>
          <c:spPr>
            <a:solidFill>
              <a:srgbClr val="5000F2"/>
            </a:solidFill>
            <a:ln>
              <a:noFill/>
            </a:ln>
            <a:effectLst/>
          </c:spPr>
          <c:val>
            <c:numRef>
              <c:f>'Total costs and revenues 2026'!$C$353:$G$353</c:f>
              <c:numCache>
                <c:formatCode>_-* #,##0_-;\-* #,##0_-;_-* "-"??_-;_-@_-</c:formatCode>
                <c:ptCount val="5"/>
                <c:pt idx="0">
                  <c:v>580937388.5829699</c:v>
                </c:pt>
                <c:pt idx="1">
                  <c:v>1187043780.2484651</c:v>
                </c:pt>
                <c:pt idx="2">
                  <c:v>1757057533.3403513</c:v>
                </c:pt>
                <c:pt idx="3">
                  <c:v>2281648573.1210775</c:v>
                </c:pt>
                <c:pt idx="4">
                  <c:v>2779999955.3538976</c:v>
                </c:pt>
              </c:numCache>
            </c:numRef>
          </c:val>
          <c:extLst>
            <c:ext xmlns:c16="http://schemas.microsoft.com/office/drawing/2014/chart" uri="{C3380CC4-5D6E-409C-BE32-E72D297353CC}">
              <c16:uniqueId val="{00000003-8A43-4A1B-89D0-94A68D52744F}"/>
            </c:ext>
          </c:extLst>
        </c:ser>
        <c:dLbls>
          <c:showLegendKey val="0"/>
          <c:showVal val="0"/>
          <c:showCatName val="0"/>
          <c:showSerName val="0"/>
          <c:showPercent val="0"/>
          <c:showBubbleSize val="0"/>
        </c:dLbls>
        <c:axId val="925668176"/>
        <c:axId val="925670096"/>
      </c:areaChart>
      <c:lineChart>
        <c:grouping val="standard"/>
        <c:varyColors val="0"/>
        <c:ser>
          <c:idx val="0"/>
          <c:order val="0"/>
          <c:tx>
            <c:v>Cost (central)</c:v>
          </c:tx>
          <c:spPr>
            <a:ln w="28575" cap="rnd">
              <a:solidFill>
                <a:srgbClr val="FF8A00"/>
              </a:solidFill>
              <a:prstDash val="sysDash"/>
              <a:round/>
            </a:ln>
            <a:effectLst/>
          </c:spPr>
          <c:marker>
            <c:symbol val="none"/>
          </c:marker>
          <c:cat>
            <c:strRef>
              <c:f>'Total costs and revenues 2026'!$C$348:$V$348</c:f>
              <c:strCache>
                <c:ptCount val="20"/>
                <c:pt idx="0">
                  <c:v>2021/22</c:v>
                </c:pt>
                <c:pt idx="1">
                  <c:v>2022/23</c:v>
                </c:pt>
                <c:pt idx="2">
                  <c:v>2023/24</c:v>
                </c:pt>
                <c:pt idx="3">
                  <c:v>2024/25</c:v>
                </c:pt>
                <c:pt idx="4">
                  <c:v>2025/26</c:v>
                </c:pt>
                <c:pt idx="5">
                  <c:v>2026/27</c:v>
                </c:pt>
                <c:pt idx="6">
                  <c:v>2027/28</c:v>
                </c:pt>
                <c:pt idx="7">
                  <c:v>2028/29</c:v>
                </c:pt>
                <c:pt idx="8">
                  <c:v>2029/30</c:v>
                </c:pt>
                <c:pt idx="9">
                  <c:v>2030/31</c:v>
                </c:pt>
                <c:pt idx="10">
                  <c:v>2031/32</c:v>
                </c:pt>
                <c:pt idx="11">
                  <c:v>2032/33</c:v>
                </c:pt>
                <c:pt idx="12">
                  <c:v>2033/34</c:v>
                </c:pt>
                <c:pt idx="13">
                  <c:v>2034/35</c:v>
                </c:pt>
                <c:pt idx="14">
                  <c:v>2035/36</c:v>
                </c:pt>
                <c:pt idx="15">
                  <c:v>2036/37</c:v>
                </c:pt>
                <c:pt idx="16">
                  <c:v>2037/38</c:v>
                </c:pt>
                <c:pt idx="17">
                  <c:v>2038/39</c:v>
                </c:pt>
                <c:pt idx="18">
                  <c:v>2039/40</c:v>
                </c:pt>
                <c:pt idx="19">
                  <c:v>2040/41</c:v>
                </c:pt>
              </c:strCache>
            </c:strRef>
          </c:cat>
          <c:val>
            <c:numRef>
              <c:f>'Total costs and revenues 2026'!$C$357:$V$357</c:f>
              <c:numCache>
                <c:formatCode>_-* #,##0_-;\-* #,##0_-;_-* "-"??_-;_-@_-</c:formatCode>
                <c:ptCount val="20"/>
                <c:pt idx="0">
                  <c:v>6300712135.0552063</c:v>
                </c:pt>
                <c:pt idx="1">
                  <c:v>6300712135.0552063</c:v>
                </c:pt>
                <c:pt idx="2">
                  <c:v>6300712135.0552063</c:v>
                </c:pt>
                <c:pt idx="3">
                  <c:v>6300712135.0552063</c:v>
                </c:pt>
                <c:pt idx="4">
                  <c:v>6300712135.0552063</c:v>
                </c:pt>
                <c:pt idx="5">
                  <c:v>6300712135.0552063</c:v>
                </c:pt>
                <c:pt idx="6">
                  <c:v>6300712135.0552063</c:v>
                </c:pt>
                <c:pt idx="7">
                  <c:v>6300712135.0552063</c:v>
                </c:pt>
                <c:pt idx="8">
                  <c:v>6300712135.0552063</c:v>
                </c:pt>
                <c:pt idx="9">
                  <c:v>6300712135.0552063</c:v>
                </c:pt>
                <c:pt idx="10">
                  <c:v>6300712135.0552063</c:v>
                </c:pt>
                <c:pt idx="11">
                  <c:v>6300712135.0552063</c:v>
                </c:pt>
                <c:pt idx="12">
                  <c:v>6300712135.0552063</c:v>
                </c:pt>
                <c:pt idx="13">
                  <c:v>6300712135.0552063</c:v>
                </c:pt>
                <c:pt idx="14">
                  <c:v>6300712135.0552063</c:v>
                </c:pt>
                <c:pt idx="15">
                  <c:v>6300712135.0552063</c:v>
                </c:pt>
                <c:pt idx="16">
                  <c:v>6300712135.0552063</c:v>
                </c:pt>
                <c:pt idx="17">
                  <c:v>6300712135.0552063</c:v>
                </c:pt>
                <c:pt idx="18">
                  <c:v>6300712135.0552063</c:v>
                </c:pt>
                <c:pt idx="19">
                  <c:v>6300712135.0552063</c:v>
                </c:pt>
              </c:numCache>
            </c:numRef>
          </c:val>
          <c:smooth val="0"/>
          <c:extLst>
            <c:ext xmlns:c16="http://schemas.microsoft.com/office/drawing/2014/chart" uri="{C3380CC4-5D6E-409C-BE32-E72D297353CC}">
              <c16:uniqueId val="{00000000-8A43-4A1B-89D0-94A68D52744F}"/>
            </c:ext>
          </c:extLst>
        </c:ser>
        <c:ser>
          <c:idx val="1"/>
          <c:order val="1"/>
          <c:tx>
            <c:v>Cost (high)</c:v>
          </c:tx>
          <c:spPr>
            <a:ln w="28575" cap="rnd">
              <a:solidFill>
                <a:schemeClr val="accent2"/>
              </a:solidFill>
              <a:round/>
            </a:ln>
            <a:effectLst/>
          </c:spPr>
          <c:marker>
            <c:symbol val="none"/>
          </c:marker>
          <c:cat>
            <c:strRef>
              <c:f>'Total costs and revenues 2026'!$C$348:$V$348</c:f>
              <c:strCache>
                <c:ptCount val="20"/>
                <c:pt idx="0">
                  <c:v>2021/22</c:v>
                </c:pt>
                <c:pt idx="1">
                  <c:v>2022/23</c:v>
                </c:pt>
                <c:pt idx="2">
                  <c:v>2023/24</c:v>
                </c:pt>
                <c:pt idx="3">
                  <c:v>2024/25</c:v>
                </c:pt>
                <c:pt idx="4">
                  <c:v>2025/26</c:v>
                </c:pt>
                <c:pt idx="5">
                  <c:v>2026/27</c:v>
                </c:pt>
                <c:pt idx="6">
                  <c:v>2027/28</c:v>
                </c:pt>
                <c:pt idx="7">
                  <c:v>2028/29</c:v>
                </c:pt>
                <c:pt idx="8">
                  <c:v>2029/30</c:v>
                </c:pt>
                <c:pt idx="9">
                  <c:v>2030/31</c:v>
                </c:pt>
                <c:pt idx="10">
                  <c:v>2031/32</c:v>
                </c:pt>
                <c:pt idx="11">
                  <c:v>2032/33</c:v>
                </c:pt>
                <c:pt idx="12">
                  <c:v>2033/34</c:v>
                </c:pt>
                <c:pt idx="13">
                  <c:v>2034/35</c:v>
                </c:pt>
                <c:pt idx="14">
                  <c:v>2035/36</c:v>
                </c:pt>
                <c:pt idx="15">
                  <c:v>2036/37</c:v>
                </c:pt>
                <c:pt idx="16">
                  <c:v>2037/38</c:v>
                </c:pt>
                <c:pt idx="17">
                  <c:v>2038/39</c:v>
                </c:pt>
                <c:pt idx="18">
                  <c:v>2039/40</c:v>
                </c:pt>
                <c:pt idx="19">
                  <c:v>2040/41</c:v>
                </c:pt>
              </c:strCache>
            </c:strRef>
          </c:cat>
          <c:val>
            <c:numRef>
              <c:f>'Total costs and revenues 2026'!$C$358:$V$358</c:f>
              <c:numCache>
                <c:formatCode>_-* #,##0_-;\-* #,##0_-;_-* "-"??_-;_-@_-</c:formatCode>
                <c:ptCount val="20"/>
                <c:pt idx="0">
                  <c:v>6772305578.3247585</c:v>
                </c:pt>
                <c:pt idx="1">
                  <c:v>6772305578.3247585</c:v>
                </c:pt>
                <c:pt idx="2">
                  <c:v>6772305578.3247585</c:v>
                </c:pt>
                <c:pt idx="3">
                  <c:v>6772305578.3247585</c:v>
                </c:pt>
                <c:pt idx="4">
                  <c:v>6772305578.3247585</c:v>
                </c:pt>
                <c:pt idx="5">
                  <c:v>6772305578.3247585</c:v>
                </c:pt>
                <c:pt idx="6">
                  <c:v>6772305578.3247585</c:v>
                </c:pt>
                <c:pt idx="7">
                  <c:v>6772305578.3247585</c:v>
                </c:pt>
                <c:pt idx="8">
                  <c:v>6772305578.3247585</c:v>
                </c:pt>
                <c:pt idx="9">
                  <c:v>6772305578.3247585</c:v>
                </c:pt>
                <c:pt idx="10">
                  <c:v>6772305578.3247585</c:v>
                </c:pt>
                <c:pt idx="11">
                  <c:v>6772305578.3247585</c:v>
                </c:pt>
                <c:pt idx="12">
                  <c:v>6772305578.3247585</c:v>
                </c:pt>
                <c:pt idx="13">
                  <c:v>6772305578.3247585</c:v>
                </c:pt>
                <c:pt idx="14">
                  <c:v>6772305578.3247585</c:v>
                </c:pt>
                <c:pt idx="15">
                  <c:v>6772305578.3247585</c:v>
                </c:pt>
                <c:pt idx="16">
                  <c:v>6772305578.3247585</c:v>
                </c:pt>
                <c:pt idx="17">
                  <c:v>6772305578.3247585</c:v>
                </c:pt>
                <c:pt idx="18">
                  <c:v>6772305578.3247585</c:v>
                </c:pt>
                <c:pt idx="19">
                  <c:v>6772305578.3247585</c:v>
                </c:pt>
              </c:numCache>
            </c:numRef>
          </c:val>
          <c:smooth val="0"/>
          <c:extLst>
            <c:ext xmlns:c16="http://schemas.microsoft.com/office/drawing/2014/chart" uri="{C3380CC4-5D6E-409C-BE32-E72D297353CC}">
              <c16:uniqueId val="{00000001-8A43-4A1B-89D0-94A68D52744F}"/>
            </c:ext>
          </c:extLst>
        </c:ser>
        <c:ser>
          <c:idx val="2"/>
          <c:order val="2"/>
          <c:tx>
            <c:v>Cost (low)</c:v>
          </c:tx>
          <c:spPr>
            <a:ln w="28575" cap="rnd">
              <a:solidFill>
                <a:srgbClr val="FF8A00"/>
              </a:solidFill>
              <a:round/>
            </a:ln>
            <a:effectLst/>
          </c:spPr>
          <c:marker>
            <c:symbol val="none"/>
          </c:marker>
          <c:cat>
            <c:strRef>
              <c:f>'Total costs and revenues 2026'!$C$348:$V$348</c:f>
              <c:strCache>
                <c:ptCount val="20"/>
                <c:pt idx="0">
                  <c:v>2021/22</c:v>
                </c:pt>
                <c:pt idx="1">
                  <c:v>2022/23</c:v>
                </c:pt>
                <c:pt idx="2">
                  <c:v>2023/24</c:v>
                </c:pt>
                <c:pt idx="3">
                  <c:v>2024/25</c:v>
                </c:pt>
                <c:pt idx="4">
                  <c:v>2025/26</c:v>
                </c:pt>
                <c:pt idx="5">
                  <c:v>2026/27</c:v>
                </c:pt>
                <c:pt idx="6">
                  <c:v>2027/28</c:v>
                </c:pt>
                <c:pt idx="7">
                  <c:v>2028/29</c:v>
                </c:pt>
                <c:pt idx="8">
                  <c:v>2029/30</c:v>
                </c:pt>
                <c:pt idx="9">
                  <c:v>2030/31</c:v>
                </c:pt>
                <c:pt idx="10">
                  <c:v>2031/32</c:v>
                </c:pt>
                <c:pt idx="11">
                  <c:v>2032/33</c:v>
                </c:pt>
                <c:pt idx="12">
                  <c:v>2033/34</c:v>
                </c:pt>
                <c:pt idx="13">
                  <c:v>2034/35</c:v>
                </c:pt>
                <c:pt idx="14">
                  <c:v>2035/36</c:v>
                </c:pt>
                <c:pt idx="15">
                  <c:v>2036/37</c:v>
                </c:pt>
                <c:pt idx="16">
                  <c:v>2037/38</c:v>
                </c:pt>
                <c:pt idx="17">
                  <c:v>2038/39</c:v>
                </c:pt>
                <c:pt idx="18">
                  <c:v>2039/40</c:v>
                </c:pt>
                <c:pt idx="19">
                  <c:v>2040/41</c:v>
                </c:pt>
              </c:strCache>
            </c:strRef>
          </c:cat>
          <c:val>
            <c:numRef>
              <c:f>'Total costs and revenues 2026'!$C$359:$V$359</c:f>
              <c:numCache>
                <c:formatCode>_-* #,##0_-;\-* #,##0_-;_-* "-"??_-;_-@_-</c:formatCode>
                <c:ptCount val="20"/>
                <c:pt idx="0">
                  <c:v>5892523100.0652246</c:v>
                </c:pt>
                <c:pt idx="1">
                  <c:v>5892523100.0652246</c:v>
                </c:pt>
                <c:pt idx="2">
                  <c:v>5892523100.0652246</c:v>
                </c:pt>
                <c:pt idx="3">
                  <c:v>5892523100.0652246</c:v>
                </c:pt>
                <c:pt idx="4">
                  <c:v>5892523100.0652246</c:v>
                </c:pt>
                <c:pt idx="5">
                  <c:v>5892523100.0652246</c:v>
                </c:pt>
                <c:pt idx="6">
                  <c:v>5892523100.0652246</c:v>
                </c:pt>
                <c:pt idx="7">
                  <c:v>5892523100.0652246</c:v>
                </c:pt>
                <c:pt idx="8">
                  <c:v>5892523100.0652246</c:v>
                </c:pt>
                <c:pt idx="9">
                  <c:v>5892523100.0652246</c:v>
                </c:pt>
                <c:pt idx="10">
                  <c:v>5892523100.0652246</c:v>
                </c:pt>
                <c:pt idx="11">
                  <c:v>5892523100.0652246</c:v>
                </c:pt>
                <c:pt idx="12">
                  <c:v>5892523100.0652246</c:v>
                </c:pt>
                <c:pt idx="13">
                  <c:v>5892523100.0652246</c:v>
                </c:pt>
                <c:pt idx="14">
                  <c:v>5892523100.0652246</c:v>
                </c:pt>
                <c:pt idx="15">
                  <c:v>5892523100.0652246</c:v>
                </c:pt>
                <c:pt idx="16">
                  <c:v>5892523100.0652246</c:v>
                </c:pt>
                <c:pt idx="17">
                  <c:v>5892523100.0652246</c:v>
                </c:pt>
                <c:pt idx="18">
                  <c:v>5892523100.0652246</c:v>
                </c:pt>
                <c:pt idx="19">
                  <c:v>5892523100.0652246</c:v>
                </c:pt>
              </c:numCache>
            </c:numRef>
          </c:val>
          <c:smooth val="0"/>
          <c:extLst>
            <c:ext xmlns:c16="http://schemas.microsoft.com/office/drawing/2014/chart" uri="{C3380CC4-5D6E-409C-BE32-E72D297353CC}">
              <c16:uniqueId val="{00000002-8A43-4A1B-89D0-94A68D52744F}"/>
            </c:ext>
          </c:extLst>
        </c:ser>
        <c:ser>
          <c:idx val="4"/>
          <c:order val="4"/>
          <c:tx>
            <c:v>Revenue (high)</c:v>
          </c:tx>
          <c:spPr>
            <a:ln w="28575" cap="rnd">
              <a:solidFill>
                <a:srgbClr val="5000F2"/>
              </a:solidFill>
              <a:round/>
            </a:ln>
            <a:effectLst/>
          </c:spPr>
          <c:marker>
            <c:symbol val="none"/>
          </c:marker>
          <c:val>
            <c:numRef>
              <c:f>'Total costs and revenues 2026'!$C$354:$V$354</c:f>
              <c:numCache>
                <c:formatCode>_-* #,##0_-;\-* #,##0_-;_-* "-"??_-;_-@_-</c:formatCode>
                <c:ptCount val="20"/>
                <c:pt idx="0">
                  <c:v>583750612.3337512</c:v>
                </c:pt>
                <c:pt idx="1">
                  <c:v>1194835933.1813726</c:v>
                </c:pt>
                <c:pt idx="2">
                  <c:v>1771444204.3030868</c:v>
                </c:pt>
                <c:pt idx="3">
                  <c:v>2304056070.9074883</c:v>
                </c:pt>
                <c:pt idx="4">
                  <c:v>2812902579.2936049</c:v>
                </c:pt>
                <c:pt idx="5">
                  <c:v>3285637955.3776889</c:v>
                </c:pt>
                <c:pt idx="6">
                  <c:v>3756909773.9824977</c:v>
                </c:pt>
                <c:pt idx="7">
                  <c:v>4190348650.624331</c:v>
                </c:pt>
                <c:pt idx="8">
                  <c:v>4582400352.8582172</c:v>
                </c:pt>
                <c:pt idx="9">
                  <c:v>4943417243.1919489</c:v>
                </c:pt>
                <c:pt idx="10">
                  <c:v>5256099154.3541059</c:v>
                </c:pt>
                <c:pt idx="11">
                  <c:v>5527051773.8539963</c:v>
                </c:pt>
                <c:pt idx="12">
                  <c:v>5771861990.2120438</c:v>
                </c:pt>
                <c:pt idx="13">
                  <c:v>6006028552.7048569</c:v>
                </c:pt>
                <c:pt idx="14">
                  <c:v>6228325952.0961685</c:v>
                </c:pt>
                <c:pt idx="15">
                  <c:v>6436925171.5573034</c:v>
                </c:pt>
                <c:pt idx="16">
                  <c:v>6631841700.1107883</c:v>
                </c:pt>
                <c:pt idx="17">
                  <c:v>6812923098.491641</c:v>
                </c:pt>
                <c:pt idx="18">
                  <c:v>6980332877.1334953</c:v>
                </c:pt>
                <c:pt idx="19">
                  <c:v>7135397422.5186138</c:v>
                </c:pt>
              </c:numCache>
            </c:numRef>
          </c:val>
          <c:smooth val="0"/>
          <c:extLst>
            <c:ext xmlns:c16="http://schemas.microsoft.com/office/drawing/2014/chart" uri="{C3380CC4-5D6E-409C-BE32-E72D297353CC}">
              <c16:uniqueId val="{00000004-8A43-4A1B-89D0-94A68D52744F}"/>
            </c:ext>
          </c:extLst>
        </c:ser>
        <c:ser>
          <c:idx val="5"/>
          <c:order val="5"/>
          <c:tx>
            <c:v>Revenue (low)</c:v>
          </c:tx>
          <c:spPr>
            <a:ln w="28575" cap="rnd">
              <a:solidFill>
                <a:srgbClr val="5000F2"/>
              </a:solidFill>
              <a:round/>
            </a:ln>
            <a:effectLst/>
          </c:spPr>
          <c:marker>
            <c:symbol val="none"/>
          </c:marker>
          <c:val>
            <c:numRef>
              <c:f>'Total costs and revenues 2026'!$C$355:$V$355</c:f>
              <c:numCache>
                <c:formatCode>_-* #,##0_-;\-* #,##0_-;_-* "-"??_-;_-@_-</c:formatCode>
                <c:ptCount val="20"/>
                <c:pt idx="0">
                  <c:v>578124164.83218849</c:v>
                </c:pt>
                <c:pt idx="1">
                  <c:v>1179251627.3155575</c:v>
                </c:pt>
                <c:pt idx="2">
                  <c:v>1742670862.3776162</c:v>
                </c:pt>
                <c:pt idx="3">
                  <c:v>2259241075.3346667</c:v>
                </c:pt>
                <c:pt idx="4">
                  <c:v>2747097331.4141903</c:v>
                </c:pt>
                <c:pt idx="5">
                  <c:v>3194102287.8320074</c:v>
                </c:pt>
                <c:pt idx="6">
                  <c:v>3640932564.0290956</c:v>
                </c:pt>
                <c:pt idx="7">
                  <c:v>4051703177.4051733</c:v>
                </c:pt>
                <c:pt idx="8">
                  <c:v>4426103414.1701727</c:v>
                </c:pt>
                <c:pt idx="9">
                  <c:v>4767952362.9326067</c:v>
                </c:pt>
                <c:pt idx="10">
                  <c:v>5061301547.4518785</c:v>
                </c:pt>
                <c:pt idx="11">
                  <c:v>5313105637.3434486</c:v>
                </c:pt>
                <c:pt idx="12">
                  <c:v>5539196711.5213051</c:v>
                </c:pt>
                <c:pt idx="13">
                  <c:v>5755348680.8196335</c:v>
                </c:pt>
                <c:pt idx="14">
                  <c:v>5960475484.0299273</c:v>
                </c:pt>
                <c:pt idx="15">
                  <c:v>6152888356.1515055</c:v>
                </c:pt>
                <c:pt idx="16">
                  <c:v>6332637961.1564455</c:v>
                </c:pt>
                <c:pt idx="17">
                  <c:v>6499590494.0907049</c:v>
                </c:pt>
                <c:pt idx="18">
                  <c:v>6653905865.4604616</c:v>
                </c:pt>
                <c:pt idx="19">
                  <c:v>6796834722.919632</c:v>
                </c:pt>
              </c:numCache>
            </c:numRef>
          </c:val>
          <c:smooth val="0"/>
          <c:extLst>
            <c:ext xmlns:c16="http://schemas.microsoft.com/office/drawing/2014/chart" uri="{C3380CC4-5D6E-409C-BE32-E72D297353CC}">
              <c16:uniqueId val="{00000005-8A43-4A1B-89D0-94A68D52744F}"/>
            </c:ext>
          </c:extLst>
        </c:ser>
        <c:dLbls>
          <c:showLegendKey val="0"/>
          <c:showVal val="0"/>
          <c:showCatName val="0"/>
          <c:showSerName val="0"/>
          <c:showPercent val="0"/>
          <c:showBubbleSize val="0"/>
        </c:dLbls>
        <c:marker val="1"/>
        <c:smooth val="0"/>
        <c:axId val="925668176"/>
        <c:axId val="925670096"/>
      </c:lineChart>
      <c:catAx>
        <c:axId val="9256681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670096"/>
        <c:crosses val="autoZero"/>
        <c:auto val="1"/>
        <c:lblAlgn val="ctr"/>
        <c:lblOffset val="100"/>
        <c:noMultiLvlLbl val="0"/>
      </c:catAx>
      <c:valAx>
        <c:axId val="925670096"/>
        <c:scaling>
          <c:orientation val="minMax"/>
          <c:max val="9000000000"/>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668176"/>
        <c:crosses val="autoZero"/>
        <c:crossBetween val="between"/>
        <c:majorUnit val="1000000000"/>
        <c:minorUnit val="200000000"/>
        <c:dispUnits>
          <c:builtInUnit val="billions"/>
          <c:dispUnitsLbl>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'Total costs and revenues 2026'!$B$112</c:f>
              <c:strCache>
                <c:ptCount val="1"/>
                <c:pt idx="0">
                  <c:v>FTTP commercial volumes</c:v>
                </c:pt>
              </c:strCache>
            </c:strRef>
          </c:tx>
          <c:spPr>
            <a:ln w="28575" cap="rnd">
              <a:solidFill>
                <a:srgbClr val="5000F2"/>
              </a:solidFill>
              <a:round/>
            </a:ln>
            <a:effectLst/>
          </c:spPr>
          <c:marker>
            <c:symbol val="none"/>
          </c:marker>
          <c:cat>
            <c:strRef>
              <c:f>'Total costs and revenues 2026'!$C$127:$V$127</c:f>
              <c:strCache>
                <c:ptCount val="20"/>
                <c:pt idx="0">
                  <c:v>2021/22</c:v>
                </c:pt>
                <c:pt idx="1">
                  <c:v>2022/23</c:v>
                </c:pt>
                <c:pt idx="2">
                  <c:v>2023/24</c:v>
                </c:pt>
                <c:pt idx="3">
                  <c:v>2024/25</c:v>
                </c:pt>
                <c:pt idx="4">
                  <c:v>2025/26</c:v>
                </c:pt>
                <c:pt idx="5">
                  <c:v>2026/27</c:v>
                </c:pt>
                <c:pt idx="6">
                  <c:v>2027/28</c:v>
                </c:pt>
                <c:pt idx="7">
                  <c:v>2028/29</c:v>
                </c:pt>
                <c:pt idx="8">
                  <c:v>2029/30</c:v>
                </c:pt>
                <c:pt idx="9">
                  <c:v>2030/31</c:v>
                </c:pt>
                <c:pt idx="10">
                  <c:v>2031/32</c:v>
                </c:pt>
                <c:pt idx="11">
                  <c:v>2032/33</c:v>
                </c:pt>
                <c:pt idx="12">
                  <c:v>2033/34</c:v>
                </c:pt>
                <c:pt idx="13">
                  <c:v>2034/35</c:v>
                </c:pt>
                <c:pt idx="14">
                  <c:v>2035/36</c:v>
                </c:pt>
                <c:pt idx="15">
                  <c:v>2036/37</c:v>
                </c:pt>
                <c:pt idx="16">
                  <c:v>2037/38</c:v>
                </c:pt>
                <c:pt idx="17">
                  <c:v>2038/39</c:v>
                </c:pt>
                <c:pt idx="18">
                  <c:v>2039/40</c:v>
                </c:pt>
                <c:pt idx="19">
                  <c:v>2040/41</c:v>
                </c:pt>
              </c:strCache>
            </c:strRef>
          </c:cat>
          <c:val>
            <c:numRef>
              <c:f>'Total costs and revenues 2026'!$C$112:$V$112</c:f>
              <c:numCache>
                <c:formatCode>_-* #,##0_-;\-* #,##0_-;_-* "-"??_-;_-@_-</c:formatCode>
                <c:ptCount val="20"/>
                <c:pt idx="0">
                  <c:v>63962</c:v>
                </c:pt>
                <c:pt idx="1">
                  <c:v>152619</c:v>
                </c:pt>
                <c:pt idx="2">
                  <c:v>264050</c:v>
                </c:pt>
                <c:pt idx="3">
                  <c:v>368344</c:v>
                </c:pt>
                <c:pt idx="4">
                  <c:v>626185</c:v>
                </c:pt>
                <c:pt idx="5">
                  <c:v>869883</c:v>
                </c:pt>
                <c:pt idx="6">
                  <c:v>1182884</c:v>
                </c:pt>
                <c:pt idx="7">
                  <c:v>1446082</c:v>
                </c:pt>
                <c:pt idx="8">
                  <c:v>1718771</c:v>
                </c:pt>
                <c:pt idx="9">
                  <c:v>1974397</c:v>
                </c:pt>
                <c:pt idx="10">
                  <c:v>2148689</c:v>
                </c:pt>
                <c:pt idx="11">
                  <c:v>2296346</c:v>
                </c:pt>
                <c:pt idx="12">
                  <c:v>2422196</c:v>
                </c:pt>
                <c:pt idx="13">
                  <c:v>2515181</c:v>
                </c:pt>
                <c:pt idx="14">
                  <c:v>2586733</c:v>
                </c:pt>
                <c:pt idx="15">
                  <c:v>2631095</c:v>
                </c:pt>
                <c:pt idx="16">
                  <c:v>2660153</c:v>
                </c:pt>
                <c:pt idx="17">
                  <c:v>2673855</c:v>
                </c:pt>
                <c:pt idx="18">
                  <c:v>2673855</c:v>
                </c:pt>
                <c:pt idx="19">
                  <c:v>2673855</c:v>
                </c:pt>
              </c:numCache>
            </c:numRef>
          </c:val>
          <c:smooth val="0"/>
          <c:extLst>
            <c:ext xmlns:c16="http://schemas.microsoft.com/office/drawing/2014/chart" uri="{C3380CC4-5D6E-409C-BE32-E72D297353CC}">
              <c16:uniqueId val="{00000000-CFCC-4EA4-9037-042C69C098FC}"/>
            </c:ext>
          </c:extLst>
        </c:ser>
        <c:ser>
          <c:idx val="1"/>
          <c:order val="1"/>
          <c:tx>
            <c:strRef>
              <c:f>'Total costs and revenues 2026'!$B$113</c:f>
              <c:strCache>
                <c:ptCount val="1"/>
                <c:pt idx="0">
                  <c:v>Copper total volumes</c:v>
                </c:pt>
              </c:strCache>
            </c:strRef>
          </c:tx>
          <c:spPr>
            <a:ln w="28575" cap="rnd">
              <a:solidFill>
                <a:srgbClr val="36C280"/>
              </a:solidFill>
              <a:round/>
            </a:ln>
            <a:effectLst/>
          </c:spPr>
          <c:marker>
            <c:symbol val="none"/>
          </c:marker>
          <c:cat>
            <c:strRef>
              <c:f>'Total costs and revenues 2026'!$C$127:$V$127</c:f>
              <c:strCache>
                <c:ptCount val="20"/>
                <c:pt idx="0">
                  <c:v>2021/22</c:v>
                </c:pt>
                <c:pt idx="1">
                  <c:v>2022/23</c:v>
                </c:pt>
                <c:pt idx="2">
                  <c:v>2023/24</c:v>
                </c:pt>
                <c:pt idx="3">
                  <c:v>2024/25</c:v>
                </c:pt>
                <c:pt idx="4">
                  <c:v>2025/26</c:v>
                </c:pt>
                <c:pt idx="5">
                  <c:v>2026/27</c:v>
                </c:pt>
                <c:pt idx="6">
                  <c:v>2027/28</c:v>
                </c:pt>
                <c:pt idx="7">
                  <c:v>2028/29</c:v>
                </c:pt>
                <c:pt idx="8">
                  <c:v>2029/30</c:v>
                </c:pt>
                <c:pt idx="9">
                  <c:v>2030/31</c:v>
                </c:pt>
                <c:pt idx="10">
                  <c:v>2031/32</c:v>
                </c:pt>
                <c:pt idx="11">
                  <c:v>2032/33</c:v>
                </c:pt>
                <c:pt idx="12">
                  <c:v>2033/34</c:v>
                </c:pt>
                <c:pt idx="13">
                  <c:v>2034/35</c:v>
                </c:pt>
                <c:pt idx="14">
                  <c:v>2035/36</c:v>
                </c:pt>
                <c:pt idx="15">
                  <c:v>2036/37</c:v>
                </c:pt>
                <c:pt idx="16">
                  <c:v>2037/38</c:v>
                </c:pt>
                <c:pt idx="17">
                  <c:v>2038/39</c:v>
                </c:pt>
                <c:pt idx="18">
                  <c:v>2039/40</c:v>
                </c:pt>
                <c:pt idx="19">
                  <c:v>2040/41</c:v>
                </c:pt>
              </c:strCache>
            </c:strRef>
          </c:cat>
          <c:val>
            <c:numRef>
              <c:f>'Total costs and revenues 2026'!$C$113:$V$113</c:f>
              <c:numCache>
                <c:formatCode>_-* #,##0_-;\-* #,##0_-;_-* "-"??_-;_-@_-</c:formatCode>
                <c:ptCount val="20"/>
                <c:pt idx="0">
                  <c:v>4481286.7119855089</c:v>
                </c:pt>
                <c:pt idx="1">
                  <c:v>4208486.1202214025</c:v>
                </c:pt>
                <c:pt idx="2">
                  <c:v>3738776.8279626556</c:v>
                </c:pt>
                <c:pt idx="3">
                  <c:v>3467721.8484063833</c:v>
                </c:pt>
                <c:pt idx="4">
                  <c:v>2880567.9331319034</c:v>
                </c:pt>
                <c:pt idx="5">
                  <c:v>2403567.9247276555</c:v>
                </c:pt>
                <c:pt idx="6">
                  <c:v>2130968.9056820534</c:v>
                </c:pt>
                <c:pt idx="7">
                  <c:v>1734332.9654457518</c:v>
                </c:pt>
                <c:pt idx="8">
                  <c:v>1313527.3767920588</c:v>
                </c:pt>
                <c:pt idx="9">
                  <c:v>918680.63014986145</c:v>
                </c:pt>
                <c:pt idx="10">
                  <c:v>546331.5207746441</c:v>
                </c:pt>
                <c:pt idx="11">
                  <c:v>198657.13064183827</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1-CFCC-4EA4-9037-042C69C098FC}"/>
            </c:ext>
          </c:extLst>
        </c:ser>
        <c:dLbls>
          <c:showLegendKey val="0"/>
          <c:showVal val="0"/>
          <c:showCatName val="0"/>
          <c:showSerName val="0"/>
          <c:showPercent val="0"/>
          <c:showBubbleSize val="0"/>
        </c:dLbls>
        <c:smooth val="0"/>
        <c:axId val="1940422720"/>
        <c:axId val="1940429920"/>
      </c:lineChart>
      <c:catAx>
        <c:axId val="1940422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40429920"/>
        <c:crosses val="autoZero"/>
        <c:auto val="1"/>
        <c:lblAlgn val="ctr"/>
        <c:lblOffset val="100"/>
        <c:noMultiLvlLbl val="0"/>
      </c:catAx>
      <c:valAx>
        <c:axId val="1940429920"/>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404227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ndard"/>
        <c:varyColors val="0"/>
        <c:ser>
          <c:idx val="3"/>
          <c:order val="3"/>
          <c:tx>
            <c:v>5-year recovery </c:v>
          </c:tx>
          <c:spPr>
            <a:solidFill>
              <a:srgbClr val="5000F2"/>
            </a:solidFill>
            <a:ln w="25400">
              <a:noFill/>
            </a:ln>
            <a:effectLst/>
          </c:spPr>
          <c:val>
            <c:numRef>
              <c:f>'Total costs and revenues 2021'!$C$339:$G$339</c:f>
              <c:numCache>
                <c:formatCode>_-* #,##0_-;\-* #,##0_-;_-* "-"??_-;_-@_-</c:formatCode>
                <c:ptCount val="5"/>
                <c:pt idx="0">
                  <c:v>596643619.53891969</c:v>
                </c:pt>
                <c:pt idx="1">
                  <c:v>1160942770.1861074</c:v>
                </c:pt>
                <c:pt idx="2">
                  <c:v>1693728154.8732281</c:v>
                </c:pt>
                <c:pt idx="3">
                  <c:v>2194743323.275434</c:v>
                </c:pt>
                <c:pt idx="4">
                  <c:v>2668686735.9535952</c:v>
                </c:pt>
              </c:numCache>
            </c:numRef>
          </c:val>
          <c:extLst>
            <c:ext xmlns:c16="http://schemas.microsoft.com/office/drawing/2014/chart" uri="{C3380CC4-5D6E-409C-BE32-E72D297353CC}">
              <c16:uniqueId val="{00000000-4B0D-4F2D-8A37-5A6DA4F561A3}"/>
            </c:ext>
          </c:extLst>
        </c:ser>
        <c:dLbls>
          <c:showLegendKey val="0"/>
          <c:showVal val="0"/>
          <c:showCatName val="0"/>
          <c:showSerName val="0"/>
          <c:showPercent val="0"/>
          <c:showBubbleSize val="0"/>
        </c:dLbls>
        <c:axId val="925668176"/>
        <c:axId val="925670096"/>
      </c:areaChart>
      <c:lineChart>
        <c:grouping val="standard"/>
        <c:varyColors val="0"/>
        <c:ser>
          <c:idx val="0"/>
          <c:order val="0"/>
          <c:tx>
            <c:v>Cost (central)</c:v>
          </c:tx>
          <c:spPr>
            <a:ln w="28575" cap="rnd">
              <a:solidFill>
                <a:srgbClr val="FF8A00"/>
              </a:solidFill>
              <a:prstDash val="sysDash"/>
              <a:round/>
            </a:ln>
            <a:effectLst/>
          </c:spPr>
          <c:marker>
            <c:symbol val="none"/>
          </c:marker>
          <c:cat>
            <c:strRef>
              <c:f>'Total costs and revenues 2026'!$C$348:$V$348</c:f>
              <c:strCache>
                <c:ptCount val="20"/>
                <c:pt idx="0">
                  <c:v>2021/22</c:v>
                </c:pt>
                <c:pt idx="1">
                  <c:v>2022/23</c:v>
                </c:pt>
                <c:pt idx="2">
                  <c:v>2023/24</c:v>
                </c:pt>
                <c:pt idx="3">
                  <c:v>2024/25</c:v>
                </c:pt>
                <c:pt idx="4">
                  <c:v>2025/26</c:v>
                </c:pt>
                <c:pt idx="5">
                  <c:v>2026/27</c:v>
                </c:pt>
                <c:pt idx="6">
                  <c:v>2027/28</c:v>
                </c:pt>
                <c:pt idx="7">
                  <c:v>2028/29</c:v>
                </c:pt>
                <c:pt idx="8">
                  <c:v>2029/30</c:v>
                </c:pt>
                <c:pt idx="9">
                  <c:v>2030/31</c:v>
                </c:pt>
                <c:pt idx="10">
                  <c:v>2031/32</c:v>
                </c:pt>
                <c:pt idx="11">
                  <c:v>2032/33</c:v>
                </c:pt>
                <c:pt idx="12">
                  <c:v>2033/34</c:v>
                </c:pt>
                <c:pt idx="13">
                  <c:v>2034/35</c:v>
                </c:pt>
                <c:pt idx="14">
                  <c:v>2035/36</c:v>
                </c:pt>
                <c:pt idx="15">
                  <c:v>2036/37</c:v>
                </c:pt>
                <c:pt idx="16">
                  <c:v>2037/38</c:v>
                </c:pt>
                <c:pt idx="17">
                  <c:v>2038/39</c:v>
                </c:pt>
                <c:pt idx="18">
                  <c:v>2039/40</c:v>
                </c:pt>
                <c:pt idx="19">
                  <c:v>2040/41</c:v>
                </c:pt>
              </c:strCache>
            </c:strRef>
          </c:cat>
          <c:val>
            <c:numRef>
              <c:f>'Total costs and revenues 2021'!$C$343:$V$343</c:f>
              <c:numCache>
                <c:formatCode>_-* #,##0_-;\-* #,##0_-;_-* "-"??_-;_-@_-</c:formatCode>
                <c:ptCount val="20"/>
                <c:pt idx="0">
                  <c:v>7304645602.0525322</c:v>
                </c:pt>
                <c:pt idx="1">
                  <c:v>7304645602.0525322</c:v>
                </c:pt>
                <c:pt idx="2">
                  <c:v>7304645602.0525322</c:v>
                </c:pt>
                <c:pt idx="3">
                  <c:v>7304645602.0525322</c:v>
                </c:pt>
                <c:pt idx="4">
                  <c:v>7304645602.0525322</c:v>
                </c:pt>
                <c:pt idx="5">
                  <c:v>7304645602.0525322</c:v>
                </c:pt>
                <c:pt idx="6">
                  <c:v>7304645602.0525322</c:v>
                </c:pt>
                <c:pt idx="7">
                  <c:v>7304645602.0525322</c:v>
                </c:pt>
                <c:pt idx="8">
                  <c:v>7304645602.0525322</c:v>
                </c:pt>
                <c:pt idx="9">
                  <c:v>7304645602.0525322</c:v>
                </c:pt>
                <c:pt idx="10">
                  <c:v>7304645602.0525322</c:v>
                </c:pt>
                <c:pt idx="11">
                  <c:v>7304645602.0525322</c:v>
                </c:pt>
                <c:pt idx="12">
                  <c:v>7304645602.0525322</c:v>
                </c:pt>
                <c:pt idx="13">
                  <c:v>7304645602.0525322</c:v>
                </c:pt>
                <c:pt idx="14">
                  <c:v>7304645602.0525322</c:v>
                </c:pt>
                <c:pt idx="15">
                  <c:v>7304645602.0525322</c:v>
                </c:pt>
                <c:pt idx="16">
                  <c:v>7304645602.0525322</c:v>
                </c:pt>
                <c:pt idx="17">
                  <c:v>7304645602.0525322</c:v>
                </c:pt>
                <c:pt idx="18">
                  <c:v>7304645602.0525322</c:v>
                </c:pt>
                <c:pt idx="19">
                  <c:v>7304645602.0525322</c:v>
                </c:pt>
              </c:numCache>
            </c:numRef>
          </c:val>
          <c:smooth val="0"/>
          <c:extLst>
            <c:ext xmlns:c16="http://schemas.microsoft.com/office/drawing/2014/chart" uri="{C3380CC4-5D6E-409C-BE32-E72D297353CC}">
              <c16:uniqueId val="{00000001-4B0D-4F2D-8A37-5A6DA4F561A3}"/>
            </c:ext>
          </c:extLst>
        </c:ser>
        <c:ser>
          <c:idx val="1"/>
          <c:order val="1"/>
          <c:tx>
            <c:v>Cost (high)</c:v>
          </c:tx>
          <c:spPr>
            <a:ln w="28575" cap="rnd">
              <a:solidFill>
                <a:schemeClr val="accent2"/>
              </a:solidFill>
              <a:round/>
            </a:ln>
            <a:effectLst/>
          </c:spPr>
          <c:marker>
            <c:symbol val="none"/>
          </c:marker>
          <c:cat>
            <c:strRef>
              <c:f>'Total costs and revenues 2026'!$C$348:$V$348</c:f>
              <c:strCache>
                <c:ptCount val="20"/>
                <c:pt idx="0">
                  <c:v>2021/22</c:v>
                </c:pt>
                <c:pt idx="1">
                  <c:v>2022/23</c:v>
                </c:pt>
                <c:pt idx="2">
                  <c:v>2023/24</c:v>
                </c:pt>
                <c:pt idx="3">
                  <c:v>2024/25</c:v>
                </c:pt>
                <c:pt idx="4">
                  <c:v>2025/26</c:v>
                </c:pt>
                <c:pt idx="5">
                  <c:v>2026/27</c:v>
                </c:pt>
                <c:pt idx="6">
                  <c:v>2027/28</c:v>
                </c:pt>
                <c:pt idx="7">
                  <c:v>2028/29</c:v>
                </c:pt>
                <c:pt idx="8">
                  <c:v>2029/30</c:v>
                </c:pt>
                <c:pt idx="9">
                  <c:v>2030/31</c:v>
                </c:pt>
                <c:pt idx="10">
                  <c:v>2031/32</c:v>
                </c:pt>
                <c:pt idx="11">
                  <c:v>2032/33</c:v>
                </c:pt>
                <c:pt idx="12">
                  <c:v>2033/34</c:v>
                </c:pt>
                <c:pt idx="13">
                  <c:v>2034/35</c:v>
                </c:pt>
                <c:pt idx="14">
                  <c:v>2035/36</c:v>
                </c:pt>
                <c:pt idx="15">
                  <c:v>2036/37</c:v>
                </c:pt>
                <c:pt idx="16">
                  <c:v>2037/38</c:v>
                </c:pt>
                <c:pt idx="17">
                  <c:v>2038/39</c:v>
                </c:pt>
                <c:pt idx="18">
                  <c:v>2039/40</c:v>
                </c:pt>
                <c:pt idx="19">
                  <c:v>2040/41</c:v>
                </c:pt>
              </c:strCache>
            </c:strRef>
          </c:cat>
          <c:val>
            <c:numRef>
              <c:f>'Total costs and revenues 2021'!$C$344:$V$344</c:f>
              <c:numCache>
                <c:formatCode>_-* #,##0_-;\-* #,##0_-;_-* "-"??_-;_-@_-</c:formatCode>
                <c:ptCount val="20"/>
                <c:pt idx="0">
                  <c:v>8086053665.7788754</c:v>
                </c:pt>
                <c:pt idx="1">
                  <c:v>8086053665.7788754</c:v>
                </c:pt>
                <c:pt idx="2">
                  <c:v>8086053665.7788754</c:v>
                </c:pt>
                <c:pt idx="3">
                  <c:v>8086053665.7788754</c:v>
                </c:pt>
                <c:pt idx="4">
                  <c:v>8086053665.7788754</c:v>
                </c:pt>
                <c:pt idx="5">
                  <c:v>8086053665.7788754</c:v>
                </c:pt>
                <c:pt idx="6">
                  <c:v>8086053665.7788754</c:v>
                </c:pt>
                <c:pt idx="7">
                  <c:v>8086053665.7788754</c:v>
                </c:pt>
                <c:pt idx="8">
                  <c:v>8086053665.7788754</c:v>
                </c:pt>
                <c:pt idx="9">
                  <c:v>8086053665.7788754</c:v>
                </c:pt>
                <c:pt idx="10">
                  <c:v>8086053665.7788754</c:v>
                </c:pt>
                <c:pt idx="11">
                  <c:v>8086053665.7788754</c:v>
                </c:pt>
                <c:pt idx="12">
                  <c:v>8086053665.7788754</c:v>
                </c:pt>
                <c:pt idx="13">
                  <c:v>8086053665.7788754</c:v>
                </c:pt>
                <c:pt idx="14">
                  <c:v>8086053665.7788754</c:v>
                </c:pt>
                <c:pt idx="15">
                  <c:v>8086053665.7788754</c:v>
                </c:pt>
                <c:pt idx="16">
                  <c:v>8086053665.7788754</c:v>
                </c:pt>
                <c:pt idx="17">
                  <c:v>8086053665.7788754</c:v>
                </c:pt>
                <c:pt idx="18">
                  <c:v>8086053665.7788754</c:v>
                </c:pt>
                <c:pt idx="19">
                  <c:v>8086053665.7788754</c:v>
                </c:pt>
              </c:numCache>
            </c:numRef>
          </c:val>
          <c:smooth val="0"/>
          <c:extLst>
            <c:ext xmlns:c16="http://schemas.microsoft.com/office/drawing/2014/chart" uri="{C3380CC4-5D6E-409C-BE32-E72D297353CC}">
              <c16:uniqueId val="{00000002-4B0D-4F2D-8A37-5A6DA4F561A3}"/>
            </c:ext>
          </c:extLst>
        </c:ser>
        <c:ser>
          <c:idx val="2"/>
          <c:order val="2"/>
          <c:tx>
            <c:v>Cost (low)</c:v>
          </c:tx>
          <c:spPr>
            <a:ln w="28575" cap="rnd">
              <a:solidFill>
                <a:srgbClr val="FF8A00"/>
              </a:solidFill>
              <a:round/>
            </a:ln>
            <a:effectLst/>
          </c:spPr>
          <c:marker>
            <c:symbol val="none"/>
          </c:marker>
          <c:cat>
            <c:strRef>
              <c:f>'Total costs and revenues 2026'!$C$348:$V$348</c:f>
              <c:strCache>
                <c:ptCount val="20"/>
                <c:pt idx="0">
                  <c:v>2021/22</c:v>
                </c:pt>
                <c:pt idx="1">
                  <c:v>2022/23</c:v>
                </c:pt>
                <c:pt idx="2">
                  <c:v>2023/24</c:v>
                </c:pt>
                <c:pt idx="3">
                  <c:v>2024/25</c:v>
                </c:pt>
                <c:pt idx="4">
                  <c:v>2025/26</c:v>
                </c:pt>
                <c:pt idx="5">
                  <c:v>2026/27</c:v>
                </c:pt>
                <c:pt idx="6">
                  <c:v>2027/28</c:v>
                </c:pt>
                <c:pt idx="7">
                  <c:v>2028/29</c:v>
                </c:pt>
                <c:pt idx="8">
                  <c:v>2029/30</c:v>
                </c:pt>
                <c:pt idx="9">
                  <c:v>2030/31</c:v>
                </c:pt>
                <c:pt idx="10">
                  <c:v>2031/32</c:v>
                </c:pt>
                <c:pt idx="11">
                  <c:v>2032/33</c:v>
                </c:pt>
                <c:pt idx="12">
                  <c:v>2033/34</c:v>
                </c:pt>
                <c:pt idx="13">
                  <c:v>2034/35</c:v>
                </c:pt>
                <c:pt idx="14">
                  <c:v>2035/36</c:v>
                </c:pt>
                <c:pt idx="15">
                  <c:v>2036/37</c:v>
                </c:pt>
                <c:pt idx="16">
                  <c:v>2037/38</c:v>
                </c:pt>
                <c:pt idx="17">
                  <c:v>2038/39</c:v>
                </c:pt>
                <c:pt idx="18">
                  <c:v>2039/40</c:v>
                </c:pt>
                <c:pt idx="19">
                  <c:v>2040/41</c:v>
                </c:pt>
              </c:strCache>
            </c:strRef>
          </c:cat>
          <c:val>
            <c:numRef>
              <c:f>'Total costs and revenues 2021'!$C$345:$V$345</c:f>
              <c:numCache>
                <c:formatCode>_-* #,##0_-;\-* #,##0_-;_-* "-"??_-;_-@_-</c:formatCode>
                <c:ptCount val="20"/>
                <c:pt idx="0">
                  <c:v>6709235810.6907473</c:v>
                </c:pt>
                <c:pt idx="1">
                  <c:v>6709235810.6907473</c:v>
                </c:pt>
                <c:pt idx="2">
                  <c:v>6709235810.6907473</c:v>
                </c:pt>
                <c:pt idx="3">
                  <c:v>6709235810.6907473</c:v>
                </c:pt>
                <c:pt idx="4">
                  <c:v>6709235810.6907473</c:v>
                </c:pt>
                <c:pt idx="5">
                  <c:v>6709235810.6907473</c:v>
                </c:pt>
                <c:pt idx="6">
                  <c:v>6709235810.6907473</c:v>
                </c:pt>
                <c:pt idx="7">
                  <c:v>6709235810.6907473</c:v>
                </c:pt>
                <c:pt idx="8">
                  <c:v>6709235810.6907473</c:v>
                </c:pt>
                <c:pt idx="9">
                  <c:v>6709235810.6907473</c:v>
                </c:pt>
                <c:pt idx="10">
                  <c:v>6709235810.6907473</c:v>
                </c:pt>
                <c:pt idx="11">
                  <c:v>6709235810.6907473</c:v>
                </c:pt>
                <c:pt idx="12">
                  <c:v>6709235810.6907473</c:v>
                </c:pt>
                <c:pt idx="13">
                  <c:v>6709235810.6907473</c:v>
                </c:pt>
                <c:pt idx="14">
                  <c:v>6709235810.6907473</c:v>
                </c:pt>
                <c:pt idx="15">
                  <c:v>6709235810.6907473</c:v>
                </c:pt>
                <c:pt idx="16">
                  <c:v>6709235810.6907473</c:v>
                </c:pt>
                <c:pt idx="17">
                  <c:v>6709235810.6907473</c:v>
                </c:pt>
                <c:pt idx="18">
                  <c:v>6709235810.6907473</c:v>
                </c:pt>
                <c:pt idx="19">
                  <c:v>6709235810.6907473</c:v>
                </c:pt>
              </c:numCache>
            </c:numRef>
          </c:val>
          <c:smooth val="0"/>
          <c:extLst>
            <c:ext xmlns:c16="http://schemas.microsoft.com/office/drawing/2014/chart" uri="{C3380CC4-5D6E-409C-BE32-E72D297353CC}">
              <c16:uniqueId val="{00000003-4B0D-4F2D-8A37-5A6DA4F561A3}"/>
            </c:ext>
          </c:extLst>
        </c:ser>
        <c:ser>
          <c:idx val="4"/>
          <c:order val="4"/>
          <c:tx>
            <c:v>Revenue (high)</c:v>
          </c:tx>
          <c:spPr>
            <a:ln w="28575" cap="rnd">
              <a:solidFill>
                <a:srgbClr val="5000F2"/>
              </a:solidFill>
              <a:round/>
            </a:ln>
            <a:effectLst/>
          </c:spPr>
          <c:marker>
            <c:symbol val="none"/>
          </c:marker>
          <c:val>
            <c:numRef>
              <c:f>'Total costs and revenues 2021'!$C$340:$V$340</c:f>
              <c:numCache>
                <c:formatCode>_-* #,##0_-;\-* #,##0_-;_-* "-"??_-;_-@_-</c:formatCode>
                <c:ptCount val="20"/>
                <c:pt idx="4">
                  <c:v>2684728219.5566611</c:v>
                </c:pt>
                <c:pt idx="5">
                  <c:v>3149587902.4801745</c:v>
                </c:pt>
                <c:pt idx="6">
                  <c:v>3603946405.724052</c:v>
                </c:pt>
                <c:pt idx="7">
                  <c:v>4043806863.2260346</c:v>
                </c:pt>
                <c:pt idx="8">
                  <c:v>4467713134.5249071</c:v>
                </c:pt>
                <c:pt idx="9">
                  <c:v>4871503637.7600393</c:v>
                </c:pt>
                <c:pt idx="10">
                  <c:v>5237594516.7216282</c:v>
                </c:pt>
                <c:pt idx="11">
                  <c:v>5571719435.4794655</c:v>
                </c:pt>
                <c:pt idx="12">
                  <c:v>5871851910.0227566</c:v>
                </c:pt>
                <c:pt idx="13">
                  <c:v>6138067205.7342558</c:v>
                </c:pt>
                <c:pt idx="14">
                  <c:v>6388210657.4832191</c:v>
                </c:pt>
                <c:pt idx="15">
                  <c:v>6615476345.2015772</c:v>
                </c:pt>
                <c:pt idx="16">
                  <c:v>6827917414.8471336</c:v>
                </c:pt>
                <c:pt idx="17">
                  <c:v>7024731485.3218708</c:v>
                </c:pt>
                <c:pt idx="18">
                  <c:v>7207269681.2076883</c:v>
                </c:pt>
                <c:pt idx="19">
                  <c:v>7376568550.6405249</c:v>
                </c:pt>
              </c:numCache>
            </c:numRef>
          </c:val>
          <c:smooth val="0"/>
          <c:extLst>
            <c:ext xmlns:c16="http://schemas.microsoft.com/office/drawing/2014/chart" uri="{C3380CC4-5D6E-409C-BE32-E72D297353CC}">
              <c16:uniqueId val="{00000004-4B0D-4F2D-8A37-5A6DA4F561A3}"/>
            </c:ext>
          </c:extLst>
        </c:ser>
        <c:ser>
          <c:idx val="5"/>
          <c:order val="5"/>
          <c:tx>
            <c:v>Revenue (low)</c:v>
          </c:tx>
          <c:spPr>
            <a:ln w="28575" cap="rnd">
              <a:solidFill>
                <a:srgbClr val="5000F2"/>
              </a:solidFill>
              <a:round/>
            </a:ln>
            <a:effectLst/>
          </c:spPr>
          <c:marker>
            <c:symbol val="none"/>
          </c:marker>
          <c:val>
            <c:numRef>
              <c:f>'Total costs and revenues 2021'!$C$341:$V$341</c:f>
              <c:numCache>
                <c:formatCode>_-* #,##0_-;\-* #,##0_-;_-* "-"??_-;_-@_-</c:formatCode>
                <c:ptCount val="20"/>
                <c:pt idx="4">
                  <c:v>2652645252.3505297</c:v>
                </c:pt>
                <c:pt idx="5">
                  <c:v>3102084394.3496737</c:v>
                </c:pt>
                <c:pt idx="6">
                  <c:v>3536949019.5838633</c:v>
                </c:pt>
                <c:pt idx="7">
                  <c:v>3953874430.2232628</c:v>
                </c:pt>
                <c:pt idx="8">
                  <c:v>4351855216.8428679</c:v>
                </c:pt>
                <c:pt idx="9">
                  <c:v>4727412736.9814396</c:v>
                </c:pt>
                <c:pt idx="10">
                  <c:v>5064119308.5637207</c:v>
                </c:pt>
                <c:pt idx="11">
                  <c:v>5368283593.6400356</c:v>
                </c:pt>
                <c:pt idx="12">
                  <c:v>5638528665.8474617</c:v>
                </c:pt>
                <c:pt idx="13">
                  <c:v>5875616342.9084425</c:v>
                </c:pt>
                <c:pt idx="14">
                  <c:v>6097918934.5609961</c:v>
                </c:pt>
                <c:pt idx="15">
                  <c:v>6298830063.5137796</c:v>
                </c:pt>
                <c:pt idx="16">
                  <c:v>6486598277.8312283</c:v>
                </c:pt>
                <c:pt idx="17">
                  <c:v>6660524727.4079056</c:v>
                </c:pt>
                <c:pt idx="18">
                  <c:v>6821831364.0190849</c:v>
                </c:pt>
                <c:pt idx="19">
                  <c:v>6971434909.4494743</c:v>
                </c:pt>
              </c:numCache>
            </c:numRef>
          </c:val>
          <c:smooth val="0"/>
          <c:extLst>
            <c:ext xmlns:c16="http://schemas.microsoft.com/office/drawing/2014/chart" uri="{C3380CC4-5D6E-409C-BE32-E72D297353CC}">
              <c16:uniqueId val="{00000005-4B0D-4F2D-8A37-5A6DA4F561A3}"/>
            </c:ext>
          </c:extLst>
        </c:ser>
        <c:dLbls>
          <c:showLegendKey val="0"/>
          <c:showVal val="0"/>
          <c:showCatName val="0"/>
          <c:showSerName val="0"/>
          <c:showPercent val="0"/>
          <c:showBubbleSize val="0"/>
        </c:dLbls>
        <c:marker val="1"/>
        <c:smooth val="0"/>
        <c:axId val="925668176"/>
        <c:axId val="925670096"/>
      </c:lineChart>
      <c:catAx>
        <c:axId val="9256681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670096"/>
        <c:crosses val="autoZero"/>
        <c:auto val="1"/>
        <c:lblAlgn val="ctr"/>
        <c:lblOffset val="100"/>
        <c:noMultiLvlLbl val="0"/>
      </c:catAx>
      <c:valAx>
        <c:axId val="925670096"/>
        <c:scaling>
          <c:orientation val="minMax"/>
          <c:max val="9000000000"/>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668176"/>
        <c:crosses val="autoZero"/>
        <c:crossBetween val="between"/>
        <c:majorUnit val="1000000000"/>
        <c:minorUnit val="200000000"/>
        <c:dispUnits>
          <c:builtInUnit val="billions"/>
          <c:dispUnitsLbl>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923925</xdr:colOff>
      <xdr:row>0</xdr:row>
      <xdr:rowOff>1493761</xdr:rowOff>
    </xdr:to>
    <xdr:pic>
      <xdr:nvPicPr>
        <xdr:cNvPr id="2" name="Picture 1">
          <a:extLst>
            <a:ext uri="{FF2B5EF4-FFF2-40B4-BE49-F238E27FC236}">
              <a16:creationId xmlns:a16="http://schemas.microsoft.com/office/drawing/2014/main" id="{4FD1A459-7CAD-4B2B-BBEA-F7B4E8AC62C9}"/>
            </a:ext>
          </a:extLst>
        </xdr:cNvPr>
        <xdr:cNvPicPr>
          <a:picLocks noChangeAspect="1"/>
        </xdr:cNvPicPr>
      </xdr:nvPicPr>
      <xdr:blipFill>
        <a:blip xmlns:r="http://schemas.openxmlformats.org/officeDocument/2006/relationships" r:embed="rId1"/>
        <a:stretch>
          <a:fillRect/>
        </a:stretch>
      </xdr:blipFill>
      <xdr:spPr>
        <a:xfrm>
          <a:off x="0" y="1"/>
          <a:ext cx="2962275" cy="14889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2922586</xdr:colOff>
      <xdr:row>6</xdr:row>
      <xdr:rowOff>47491</xdr:rowOff>
    </xdr:to>
    <xdr:pic>
      <xdr:nvPicPr>
        <xdr:cNvPr id="2" name="Picture 1">
          <a:extLst>
            <a:ext uri="{FF2B5EF4-FFF2-40B4-BE49-F238E27FC236}">
              <a16:creationId xmlns:a16="http://schemas.microsoft.com/office/drawing/2014/main" id="{0621E05B-8C1A-482C-B23C-45752B0DB836}"/>
            </a:ext>
          </a:extLst>
        </xdr:cNvPr>
        <xdr:cNvPicPr>
          <a:picLocks noChangeAspect="1"/>
        </xdr:cNvPicPr>
      </xdr:nvPicPr>
      <xdr:blipFill>
        <a:blip xmlns:r="http://schemas.openxmlformats.org/officeDocument/2006/relationships" r:embed="rId1"/>
        <a:stretch>
          <a:fillRect/>
        </a:stretch>
      </xdr:blipFill>
      <xdr:spPr>
        <a:xfrm>
          <a:off x="0" y="0"/>
          <a:ext cx="2360611" cy="99046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9</xdr:col>
      <xdr:colOff>320739</xdr:colOff>
      <xdr:row>10</xdr:row>
      <xdr:rowOff>140932</xdr:rowOff>
    </xdr:from>
    <xdr:to>
      <xdr:col>14</xdr:col>
      <xdr:colOff>743533</xdr:colOff>
      <xdr:row>28</xdr:row>
      <xdr:rowOff>184668</xdr:rowOff>
    </xdr:to>
    <xdr:graphicFrame macro="">
      <xdr:nvGraphicFramePr>
        <xdr:cNvPr id="2" name="Chart 1">
          <a:extLst>
            <a:ext uri="{FF2B5EF4-FFF2-40B4-BE49-F238E27FC236}">
              <a16:creationId xmlns:a16="http://schemas.microsoft.com/office/drawing/2014/main" id="{D19C1E49-8F4D-45B2-A393-2B616D4C5C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10</xdr:col>
      <xdr:colOff>52383</xdr:colOff>
      <xdr:row>11</xdr:row>
      <xdr:rowOff>68713</xdr:rowOff>
    </xdr:from>
    <xdr:to>
      <xdr:col>14</xdr:col>
      <xdr:colOff>38100</xdr:colOff>
      <xdr:row>26</xdr:row>
      <xdr:rowOff>59871</xdr:rowOff>
    </xdr:to>
    <xdr:graphicFrame macro="">
      <xdr:nvGraphicFramePr>
        <xdr:cNvPr id="3" name="Chart 2">
          <a:extLst>
            <a:ext uri="{FF2B5EF4-FFF2-40B4-BE49-F238E27FC236}">
              <a16:creationId xmlns:a16="http://schemas.microsoft.com/office/drawing/2014/main" id="{4FF9E2EA-705C-3BA9-F7C8-A00D1F2962D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22</xdr:col>
      <xdr:colOff>163478</xdr:colOff>
      <xdr:row>95</xdr:row>
      <xdr:rowOff>97482</xdr:rowOff>
    </xdr:from>
    <xdr:to>
      <xdr:col>31</xdr:col>
      <xdr:colOff>124406</xdr:colOff>
      <xdr:row>117</xdr:row>
      <xdr:rowOff>-1</xdr:rowOff>
    </xdr:to>
    <xdr:graphicFrame macro="">
      <xdr:nvGraphicFramePr>
        <xdr:cNvPr id="2" name="Chart 1">
          <a:extLst>
            <a:ext uri="{FF2B5EF4-FFF2-40B4-BE49-F238E27FC236}">
              <a16:creationId xmlns:a16="http://schemas.microsoft.com/office/drawing/2014/main" id="{6F92E7B0-AFA5-2AE9-74E8-0A02B8217DC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10</xdr:col>
      <xdr:colOff>0</xdr:colOff>
      <xdr:row>10</xdr:row>
      <xdr:rowOff>0</xdr:rowOff>
    </xdr:from>
    <xdr:to>
      <xdr:col>13</xdr:col>
      <xdr:colOff>1260026</xdr:colOff>
      <xdr:row>24</xdr:row>
      <xdr:rowOff>153764</xdr:rowOff>
    </xdr:to>
    <xdr:graphicFrame macro="">
      <xdr:nvGraphicFramePr>
        <xdr:cNvPr id="5" name="Chart 4">
          <a:extLst>
            <a:ext uri="{FF2B5EF4-FFF2-40B4-BE49-F238E27FC236}">
              <a16:creationId xmlns:a16="http://schemas.microsoft.com/office/drawing/2014/main" id="{48D573A7-616E-455C-9753-1C39154FC6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fcom.org.uk/__data/assets/excel_doc/0020/102188/Supporting-calculations-Gross-costs-to-industry.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ofcomuk.sharepoint.com/sites/tac/work/Bottom-up%20fibre%20modelling/BU%20full%20fibre%20model/Control%20Module/Summer%20A3%20consultation/Fibre%20shortfall.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ofcomuk.sharepoint.com/sites/tar2026/work/Economics/Price%20remedies/RAB%20Model/Statement/RAB%20Model%20-%202026/Area%203%20RAB%20model%202021.xlsx" TargetMode="External"/><Relationship Id="rId1" Type="http://schemas.openxmlformats.org/officeDocument/2006/relationships/externalLinkPath" Target="https://ofcomuk.sharepoint.com/sites/tar2026/work/Economics/Price%20remedies/RAB%20Model/Statement/RAB%20Model%20-%202026/Area%203%20RAB%20model%202021.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ttps://ofcomuk.sharepoint.com/sites/tar2026/del/Statement%20Drafting/z%20-%20Models%20and%20Schedules/Models%20for%20publication/NON-CONFIDENTIAL-TAR-2026-Statement-Cost-forecast-model.xlsb" TargetMode="External"/><Relationship Id="rId1" Type="http://schemas.openxmlformats.org/officeDocument/2006/relationships/externalLinkPath" Target="https://ofcomuk.sharepoint.com/sites/tar2026/del/Statement%20Drafting/z%20-%20Models%20and%20Schedules/Models%20for%20publication/NON-CONFIDENTIAL-TAR-2026-Statement-Cost-forecast-model.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Control panel"/>
      <sheetName val="Industry NPC"/>
      <sheetName val="Industry cost summary"/>
      <sheetName val="MP cost summary"/>
      <sheetName val="Inputs -----&gt;"/>
      <sheetName val="Salary . staff rates"/>
      <sheetName val="Training assumptions"/>
      <sheetName val="Development days"/>
      <sheetName val="Outputs for MPs ----&gt;&gt;&gt;&gt;"/>
      <sheetName val="Notice period reform"/>
      <sheetName val="Auto-Switch CPS variant"/>
      <sheetName val="Auto-Switch LP variant"/>
      <sheetName val="GPL"/>
      <sheetName val="End-to-end management"/>
      <sheetName val="Outputs for CPS ----&gt;"/>
      <sheetName val="Auto-Switch CPS costs"/>
      <sheetName val="E-2-E Mgmt with Auto-Switch"/>
      <sheetName val="GPL CPS costs"/>
      <sheetName val="Othe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puts"/>
      <sheetName val="RAB calc - 200k tranches"/>
      <sheetName val="RAB calc - cumulative"/>
      <sheetName val="Sheet2"/>
      <sheetName val="K factors for SMP conditions"/>
      <sheetName val="comparison with indexation"/>
      <sheetName val="Fibre shortfall"/>
    </sheetNames>
    <sheetDataSet>
      <sheetData sheetId="0"/>
      <sheetData sheetId="1"/>
      <sheetData sheetId="2"/>
      <sheetData sheetId="3"/>
      <sheetData sheetId="4"/>
      <sheetData sheetId="5"/>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ocument tables"/>
      <sheetName val="Total costs and revenues"/>
      <sheetName val="Copper inputs --&gt;"/>
      <sheetName val="Copper Weighted Price"/>
      <sheetName val="Top Down inputs"/>
    </sheetNames>
    <sheetDataSet>
      <sheetData sheetId="0"/>
      <sheetData sheetId="1"/>
      <sheetData sheetId="2"/>
      <sheetData sheetId="3">
        <row r="2">
          <cell r="AM2">
            <v>207.909785226331</v>
          </cell>
        </row>
        <row r="6">
          <cell r="Y6">
            <v>145.96478423890989</v>
          </cell>
          <cell r="Z6">
            <v>150.01959269642037</v>
          </cell>
          <cell r="AA6">
            <v>153.24184736380914</v>
          </cell>
          <cell r="AB6">
            <v>156.64848913121017</v>
          </cell>
          <cell r="AC6">
            <v>159.91578144967411</v>
          </cell>
          <cell r="AD6">
            <v>160.15820842044917</v>
          </cell>
          <cell r="AE6">
            <v>160.15136319077803</v>
          </cell>
          <cell r="AF6">
            <v>160.00439358609992</v>
          </cell>
          <cell r="AG6">
            <v>159.59666985607862</v>
          </cell>
          <cell r="AH6">
            <v>158.73214719162647</v>
          </cell>
        </row>
        <row r="7">
          <cell r="Y7">
            <v>145.96478423890989</v>
          </cell>
          <cell r="Z7">
            <v>150.01959269642037</v>
          </cell>
          <cell r="AA7">
            <v>153.24184736380914</v>
          </cell>
          <cell r="AB7">
            <v>156.64848913121017</v>
          </cell>
          <cell r="AC7">
            <v>159.91578144967411</v>
          </cell>
          <cell r="AD7">
            <v>163.36137258885816</v>
          </cell>
          <cell r="AE7">
            <v>166.62147826368545</v>
          </cell>
          <cell r="AF7">
            <v>169.79794250871794</v>
          </cell>
          <cell r="AG7">
            <v>172.75256808112212</v>
          </cell>
          <cell r="AH7">
            <v>175.25311656499161</v>
          </cell>
        </row>
        <row r="29">
          <cell r="Y29">
            <v>8216780.1699065296</v>
          </cell>
          <cell r="Z29">
            <v>7832834.4963622466</v>
          </cell>
          <cell r="AA29">
            <v>7447035.1107443366</v>
          </cell>
          <cell r="AB29">
            <v>6984820.6996061625</v>
          </cell>
          <cell r="AC29">
            <v>6442873.1686797086</v>
          </cell>
          <cell r="AD29">
            <v>5887071.3019443322</v>
          </cell>
          <cell r="AE29">
            <v>5312777.6039058957</v>
          </cell>
          <cell r="AF29">
            <v>4696800.1107768668</v>
          </cell>
          <cell r="AG29">
            <v>4045973.7954985043</v>
          </cell>
          <cell r="AH29">
            <v>3364298.1312035136</v>
          </cell>
          <cell r="AI29">
            <v>2527786.9147202354</v>
          </cell>
          <cell r="AJ29">
            <v>1808405.940029504</v>
          </cell>
          <cell r="AK29">
            <v>1073148.789961711</v>
          </cell>
          <cell r="AL29">
            <v>397401.32582072308</v>
          </cell>
          <cell r="AM29">
            <v>294084.36911281518</v>
          </cell>
        </row>
        <row r="104">
          <cell r="E104">
            <v>1078429969.5025821</v>
          </cell>
          <cell r="F104">
            <v>1044834416.7395003</v>
          </cell>
          <cell r="G104">
            <v>1001192969.8354865</v>
          </cell>
          <cell r="H104">
            <v>973203819.58625782</v>
          </cell>
          <cell r="I104">
            <v>984438794.90291929</v>
          </cell>
          <cell r="J104">
            <v>919600037.93768883</v>
          </cell>
          <cell r="K104">
            <v>852290891.40910995</v>
          </cell>
          <cell r="L104">
            <v>780207220.19416237</v>
          </cell>
          <cell r="M104">
            <v>703053772.67127776</v>
          </cell>
          <cell r="N104">
            <v>619894819.21495342</v>
          </cell>
          <cell r="O104">
            <v>522476556.03646064</v>
          </cell>
          <cell r="P104">
            <v>422997322.26790774</v>
          </cell>
          <cell r="Q104">
            <v>307185942.25265878</v>
          </cell>
          <cell r="R104">
            <v>272790222.96538109</v>
          </cell>
          <cell r="S104">
            <v>258815495.46719062</v>
          </cell>
        </row>
        <row r="135">
          <cell r="E135">
            <v>1125421722.5538096</v>
          </cell>
          <cell r="F135">
            <v>1096935401.1589985</v>
          </cell>
          <cell r="G135">
            <v>1058353583.7189925</v>
          </cell>
          <cell r="H135">
            <v>1035221698.6203597</v>
          </cell>
          <cell r="I135">
            <v>1050600383.5873573</v>
          </cell>
          <cell r="J135">
            <v>995720096.67054272</v>
          </cell>
          <cell r="K135">
            <v>937765459.02720559</v>
          </cell>
          <cell r="L135">
            <v>874578992.70413804</v>
          </cell>
          <cell r="M135">
            <v>805519103.97713411</v>
          </cell>
          <cell r="N135">
            <v>729203093.02233827</v>
          </cell>
          <cell r="O135">
            <v>639148408.28197777</v>
          </cell>
          <cell r="P135">
            <v>542051316.46730089</v>
          </cell>
          <cell r="Q135">
            <v>423361474.75146627</v>
          </cell>
          <cell r="R135">
            <v>387927063.17678273</v>
          </cell>
          <cell r="S135">
            <v>372211895.84568763</v>
          </cell>
        </row>
        <row r="166">
          <cell r="E166">
            <v>1028092091.5066999</v>
          </cell>
          <cell r="F166">
            <v>988742396.21732581</v>
          </cell>
          <cell r="G166">
            <v>939718205.76370406</v>
          </cell>
          <cell r="H166">
            <v>907246310.10532498</v>
          </cell>
          <cell r="I166">
            <v>914934594.89758682</v>
          </cell>
          <cell r="J166">
            <v>841869959.42709649</v>
          </cell>
          <cell r="K166">
            <v>767359731.35674238</v>
          </cell>
          <cell r="L166">
            <v>689026121.73175836</v>
          </cell>
          <cell r="M166">
            <v>606983447.5295434</v>
          </cell>
          <cell r="N166">
            <v>520824463.67033553</v>
          </cell>
          <cell r="O166">
            <v>420450629.38041472</v>
          </cell>
          <cell r="P166">
            <v>324012179.23262745</v>
          </cell>
          <cell r="Q166">
            <v>217478815.40799853</v>
          </cell>
          <cell r="R166">
            <v>185807441.65329248</v>
          </cell>
          <cell r="S166">
            <v>174118009.16138005</v>
          </cell>
        </row>
      </sheetData>
      <sheetData sheetId="4">
        <row r="56">
          <cell r="D56">
            <v>1.5942729226603669E-2</v>
          </cell>
          <cell r="E56">
            <v>1.7723776612699194E-2</v>
          </cell>
          <cell r="F56">
            <v>1.9481889923258722E-2</v>
          </cell>
          <cell r="G56">
            <v>2.0000000000000018E-2</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ents"/>
      <sheetName val="Terms &amp; Conditions "/>
      <sheetName val="Style Guidelines"/>
      <sheetName val="Model map"/>
      <sheetName val="Control panel"/>
      <sheetName val="Names mapping&gt;&gt;"/>
      <sheetName val="Lists"/>
      <sheetName val="Modelling starting values&gt;&gt;"/>
      <sheetName val="ModelStartValues_Comp"/>
      <sheetName val="ModelStartValues_Serv"/>
      <sheetName val="Volume forecasts&gt;&gt;"/>
      <sheetName val="Base - High - Low volume inputs"/>
      <sheetName val="FC.ServVolumes"/>
      <sheetName val="FC.ServVolumes Areas Markets"/>
      <sheetName val="MEAmapping"/>
      <sheetName val="FC.ServMEAVolumes"/>
      <sheetName val="Component volumes&gt;&gt;"/>
      <sheetName val="UsageFactors"/>
      <sheetName val="FC.CompVolumes"/>
      <sheetName val="Other inputs&gt;&gt;"/>
      <sheetName val="AssetLives"/>
      <sheetName val="InputPriceChanges"/>
      <sheetName val="AVEs"/>
      <sheetName val="CVEs"/>
      <sheetName val="Efficiency"/>
      <sheetName val="Inflation"/>
      <sheetName val="WACC"/>
      <sheetName val="Forecasts, by component&gt;&gt;"/>
      <sheetName val="FC.Comp.GRC"/>
      <sheetName val="FC.Comp.Capex"/>
      <sheetName val="FC.Comp.OCMdep"/>
      <sheetName val="FC.Comp.NCA"/>
      <sheetName val="FC.Comp.NRC"/>
      <sheetName val="FC.Comp.HGL"/>
      <sheetName val="FC.Comp.Pay"/>
      <sheetName val="FC.Comp.NonPay"/>
      <sheetName val="FC.Comp.Total"/>
      <sheetName val="Summary after Comp Fcast&gt;"/>
      <sheetName val="UnitCost (ex Cumulo&amp;RAV Fcasts)"/>
      <sheetName val="UnitCost (ROCE, ex RAV Fcast)"/>
      <sheetName val="Forecast by Service&gt;"/>
      <sheetName val="Serv Cumulo Fcast"/>
      <sheetName val="Serv BCMR Prov SLG Fcast"/>
      <sheetName val="Serv RAV Fcast"/>
      <sheetName val="Service Adjustments"/>
      <sheetName val="Unit_Adj_Opex_Costs_Service"/>
      <sheetName val="UnitCosts_Service"/>
      <sheetName val="Product volumes exclusion"/>
      <sheetName val="TotalCosts_Service"/>
      <sheetName val="Starting prices&gt;&gt;"/>
      <sheetName val="StartPrices"/>
      <sheetName val="X calculation&gt;&gt;"/>
      <sheetName val="BasketDesign"/>
      <sheetName val="Basket Ethernet LLA &gt;&gt;"/>
      <sheetName val="Basket-Ethernet LLA-Rev"/>
      <sheetName val="Basket-Ethernet LLA-Cost"/>
      <sheetName val="Basket Ethernet LLA_VHB only &gt;&gt;"/>
      <sheetName val="Basket-Ethernet LLA-Rev VHB"/>
      <sheetName val="Basket-Ethernet LLA-Cost VHB"/>
      <sheetName val="Basket Ethernet LLA &lt;= 1Gbps &gt;&gt;"/>
      <sheetName val="Basket-Ethernet LLA-Rev&lt;=1Gbps"/>
      <sheetName val="Basket-Ethernet LLA-Cost&lt;=1Gbps"/>
      <sheetName val="Basket Ethernet IEC &gt;&gt;"/>
      <sheetName val="Basket-Ethernet IEC-Rev"/>
      <sheetName val="Basket-Ethernet IEC-Cost"/>
      <sheetName val="Basket Optical LLA &gt;&gt;"/>
      <sheetName val="Basket-Optical LLA-Rev"/>
      <sheetName val="Basket-Optical LLA-Cost"/>
      <sheetName val="Basket Optical IEC &gt;&gt;"/>
      <sheetName val="Basket-Optical IEC-Rev"/>
      <sheetName val="Basket-Optical IEC-Cost"/>
      <sheetName val="Basket FTTC All Rentals &gt;&gt;"/>
      <sheetName val="Basket-FTTC All-Rev"/>
      <sheetName val="Basket-FTTC All-Cost"/>
      <sheetName val="Basket FTTC Rent All Discount&gt;&gt;"/>
      <sheetName val="Basket-FTTC All Discount-Rev"/>
      <sheetName val="Basket-FTTC All Discount-Cost"/>
      <sheetName val="Basket Unreg Copper Headline &gt;&gt;"/>
      <sheetName val="Basket-UnregCopper-Rev"/>
      <sheetName val="Basket-UnregCopper-Cost"/>
      <sheetName val="Basket SOGEA Rentals &gt;&gt;"/>
      <sheetName val="Basket-SOGEA All-Rev"/>
      <sheetName val="Basket-SOGEA All-Cost"/>
      <sheetName val="Basket SOGEA Rentals Discount&gt;&gt;"/>
      <sheetName val="Basket-SOGEA All Discount-Rev"/>
      <sheetName val="Basket-SOGEA All Discount-Cost"/>
      <sheetName val="Basket G Fast Rentals &gt;&gt;"/>
      <sheetName val="Basket-G Fast-Rev"/>
      <sheetName val="Basket-G Fast-Cost"/>
      <sheetName val="Basket GFast Rent Discount &gt;&gt;"/>
      <sheetName val="Basket-GFast Discount-Rev"/>
      <sheetName val="Basket-G Fast Discount-Cost"/>
      <sheetName val="Basket Unreg Copper Conns &gt;&gt;"/>
      <sheetName val="Basket-UnregCopperConns-Rev"/>
      <sheetName val="Basket-UnregCopperConns-Cost"/>
      <sheetName val="Basket UnregCopperC Discount &gt;&gt;"/>
      <sheetName val="Basket-UnregCopperC Disc-Rev"/>
      <sheetName val="Basket-UnregCopperC Disc-Cost"/>
      <sheetName val="Basket nonFTTP VULA Rentals &gt;&gt;"/>
      <sheetName val="Basket-nonFTTPVULA-Rev"/>
      <sheetName val="Basket-nonFTTPVULA-Cost"/>
      <sheetName val="Basket VULA Rentals Discount &gt;&gt;"/>
      <sheetName val="Basket-nonFTTPVULA Discount-Rev"/>
      <sheetName val="Basket-nonFTTVULA Discount-Cost"/>
      <sheetName val="Basket All WLA WFAEL ex FTTP &gt;&gt;"/>
      <sheetName val="Basket-AllWLAWFAEL-Rev"/>
      <sheetName val="Basket-AllWLAWFAEL-Cost"/>
      <sheetName val="Basket AllWLAWFAEL exFTTP Dis&gt;&gt;"/>
      <sheetName val="Basket-AllWLAWFAEL Disc-Rev"/>
      <sheetName val="Basket-AllWLAWFAEL Disc-Cost"/>
      <sheetName val="Basket nonFTTPVULA Conn &gt;&gt;"/>
      <sheetName val="Basket-nonFTTPVULA Conn-Rev"/>
      <sheetName val="Basket-nonFTTPVULA Conn-Cost"/>
      <sheetName val="Basket VULA Conn Discount&gt;"/>
      <sheetName val="Basket-nonFTTPVULA Con-Rev Disc"/>
      <sheetName val="Basket-nonFTTPVULA Con-Cost Dis"/>
      <sheetName val="Basket Unreg Copper Discount &gt;&gt;"/>
      <sheetName val="Basket-Unreg Copper Disc-Rev"/>
      <sheetName val="Basket-Unreg Copper Disc-Cost"/>
      <sheetName val="Basket PSTN &gt;&gt;"/>
      <sheetName val="Basket-PSTN-Rev"/>
      <sheetName val="Basket-PSTN-Cost"/>
      <sheetName val="Xcalculation"/>
      <sheetName val="Outputs for Area 3 RAB"/>
      <sheetName val="NON-CONFIDENTIAL-TAR-2026-State"/>
    </sheetNames>
    <definedNames>
      <definedName name="FC.TotalCosts_Service" refersTo="='TotalCosts_Service'!$CH$9:$CN$608"/>
    </definedNames>
    <sheetDataSet>
      <sheetData sheetId="0" refreshError="1"/>
      <sheetData sheetId="1" refreshError="1"/>
      <sheetData sheetId="2" refreshError="1"/>
      <sheetData sheetId="3" refreshError="1"/>
      <sheetData sheetId="4">
        <row r="7">
          <cell r="I7" t="str">
            <v>National - base costs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ow r="10">
          <cell r="G10">
            <v>0.04</v>
          </cell>
          <cell r="H10">
            <v>0.05</v>
          </cell>
          <cell r="I10">
            <v>0.02</v>
          </cell>
        </row>
      </sheetData>
      <sheetData sheetId="25" refreshError="1"/>
      <sheetData sheetId="26">
        <row r="11">
          <cell r="C11">
            <v>7.9000000000000001E-2</v>
          </cell>
          <cell r="D11">
            <v>8.8999999999999996E-2</v>
          </cell>
          <cell r="E11">
            <v>6.9000000000000006E-2</v>
          </cell>
        </row>
        <row r="13">
          <cell r="C13">
            <v>7.4999999999999997E-2</v>
          </cell>
          <cell r="D13">
            <v>8.4999999999999992E-2</v>
          </cell>
          <cell r="E13">
            <v>6.5000000000000002E-2</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ow r="8">
          <cell r="CH8" t="str">
            <v>2024/25</v>
          </cell>
          <cell r="CI8" t="str">
            <v>2025/26</v>
          </cell>
          <cell r="CJ8" t="str">
            <v>2026/27</v>
          </cell>
          <cell r="CK8" t="str">
            <v>2027/28</v>
          </cell>
          <cell r="CL8" t="str">
            <v>2028/29</v>
          </cell>
          <cell r="CM8" t="str">
            <v>2029/30</v>
          </cell>
          <cell r="CN8" t="str">
            <v>2030/31</v>
          </cell>
        </row>
        <row r="9">
          <cell r="B9" t="str">
            <v>WE130</v>
          </cell>
          <cell r="CH9">
            <v>28.058901686654323</v>
          </cell>
          <cell r="CI9">
            <v>24.534927964738319</v>
          </cell>
          <cell r="CJ9">
            <v>16.481634712946892</v>
          </cell>
          <cell r="CK9">
            <v>6.165254752376585</v>
          </cell>
          <cell r="CL9">
            <v>4.6488025871885235</v>
          </cell>
          <cell r="CM9">
            <v>4.2093224486435394</v>
          </cell>
          <cell r="CN9">
            <v>4.2198380948053629</v>
          </cell>
        </row>
        <row r="10">
          <cell r="B10" t="str">
            <v>WE347</v>
          </cell>
          <cell r="CH10">
            <v>346.28638530304198</v>
          </cell>
          <cell r="CI10">
            <v>307.70913845146572</v>
          </cell>
          <cell r="CJ10">
            <v>215.66473513503908</v>
          </cell>
          <cell r="CK10">
            <v>77.839477020947115</v>
          </cell>
          <cell r="CL10">
            <v>58.008641090477809</v>
          </cell>
          <cell r="CM10">
            <v>52.879154145130386</v>
          </cell>
          <cell r="CN10">
            <v>52.871155033234537</v>
          </cell>
        </row>
        <row r="11">
          <cell r="B11" t="str">
            <v>WI127</v>
          </cell>
          <cell r="CH11">
            <v>1.6977185052459673</v>
          </cell>
          <cell r="CI11">
            <v>1.3349979884981902</v>
          </cell>
          <cell r="CJ11">
            <v>0.84501435938501412</v>
          </cell>
          <cell r="CK11">
            <v>0.30057435182471182</v>
          </cell>
          <cell r="CL11">
            <v>0.22118958031762836</v>
          </cell>
          <cell r="CM11">
            <v>0.19541211257535884</v>
          </cell>
          <cell r="CN11">
            <v>0.19077720503424361</v>
          </cell>
        </row>
        <row r="12">
          <cell r="B12" t="str">
            <v>WI346</v>
          </cell>
          <cell r="CH12">
            <v>4.5657224330524892E-3</v>
          </cell>
          <cell r="CI12">
            <v>3.5819386117401592E-3</v>
          </cell>
          <cell r="CJ12">
            <v>2.3351675915049279E-3</v>
          </cell>
          <cell r="CK12">
            <v>8.3570463173024824E-4</v>
          </cell>
          <cell r="CL12">
            <v>6.1249906705243269E-4</v>
          </cell>
          <cell r="CM12">
            <v>5.4272736084507258E-4</v>
          </cell>
          <cell r="CN12">
            <v>5.3072015088217073E-4</v>
          </cell>
        </row>
        <row r="13">
          <cell r="B13" t="str">
            <v>WN127</v>
          </cell>
          <cell r="CH13">
            <v>0.49400498958327377</v>
          </cell>
          <cell r="CI13">
            <v>0.21942396728686947</v>
          </cell>
          <cell r="CJ13">
            <v>0.1558743875075525</v>
          </cell>
          <cell r="CK13">
            <v>5.7582359741248493E-2</v>
          </cell>
          <cell r="CL13">
            <v>4.4644340883251962E-2</v>
          </cell>
          <cell r="CM13">
            <v>4.1494637768391081E-2</v>
          </cell>
          <cell r="CN13">
            <v>4.1771821078962684E-2</v>
          </cell>
        </row>
        <row r="14">
          <cell r="B14" t="str">
            <v>WN346</v>
          </cell>
          <cell r="CH14">
            <v>1.6967620292524942E-3</v>
          </cell>
          <cell r="CI14">
            <v>7.3617275250132839E-4</v>
          </cell>
          <cell r="CJ14">
            <v>5.1501118758918486E-4</v>
          </cell>
          <cell r="CK14">
            <v>1.9045502504447481E-4</v>
          </cell>
          <cell r="CL14">
            <v>1.455675539718038E-4</v>
          </cell>
          <cell r="CM14">
            <v>1.3322338954064084E-4</v>
          </cell>
          <cell r="CN14">
            <v>1.3296738562632986E-4</v>
          </cell>
        </row>
        <row r="15">
          <cell r="B15" t="str">
            <v>WX130</v>
          </cell>
          <cell r="CH15">
            <v>12.613141733548517</v>
          </cell>
          <cell r="CI15">
            <v>4.0964770233449537</v>
          </cell>
          <cell r="CJ15">
            <v>3.0675720652401615</v>
          </cell>
          <cell r="CK15">
            <v>1.193591408691272</v>
          </cell>
          <cell r="CL15">
            <v>0.93861297121697873</v>
          </cell>
          <cell r="CM15">
            <v>0.88494053315623766</v>
          </cell>
          <cell r="CN15">
            <v>0.90536134759272113</v>
          </cell>
        </row>
        <row r="16">
          <cell r="B16" t="str">
            <v>WX347</v>
          </cell>
          <cell r="CH16">
            <v>153.13037985124862</v>
          </cell>
          <cell r="CI16">
            <v>49.881421726046675</v>
          </cell>
          <cell r="CJ16">
            <v>38.323190668618423</v>
          </cell>
          <cell r="CK16">
            <v>14.30550657273205</v>
          </cell>
          <cell r="CL16">
            <v>11.14528390792734</v>
          </cell>
          <cell r="CM16">
            <v>10.328747888472297</v>
          </cell>
          <cell r="CN16">
            <v>10.576800318845455</v>
          </cell>
        </row>
        <row r="17">
          <cell r="B17" t="str">
            <v>WE129</v>
          </cell>
          <cell r="CH17">
            <v>4.8898502296618815</v>
          </cell>
          <cell r="CI17">
            <v>3.8137996239387149</v>
          </cell>
          <cell r="CJ17">
            <v>1.8667316116681685</v>
          </cell>
          <cell r="CK17">
            <v>0.61807859380758934</v>
          </cell>
          <cell r="CL17">
            <v>0.42182824235109817</v>
          </cell>
          <cell r="CM17">
            <v>0.33886658506175854</v>
          </cell>
          <cell r="CN17">
            <v>0.65021804616132484</v>
          </cell>
        </row>
        <row r="18">
          <cell r="B18" t="str">
            <v>WX129</v>
          </cell>
          <cell r="CH18">
            <v>1.6835804985543217</v>
          </cell>
          <cell r="CI18">
            <v>0.67408743000320781</v>
          </cell>
          <cell r="CJ18">
            <v>0.360694953313966</v>
          </cell>
          <cell r="CK18">
            <v>0.12313011897275948</v>
          </cell>
          <cell r="CL18">
            <v>8.7559094565265866E-2</v>
          </cell>
          <cell r="CM18">
            <v>7.275668031760936E-2</v>
          </cell>
          <cell r="CN18">
            <v>0.1462576818158498</v>
          </cell>
        </row>
        <row r="19">
          <cell r="B19" t="str">
            <v>WI123</v>
          </cell>
          <cell r="CH19">
            <v>6.2498601164373427E-3</v>
          </cell>
          <cell r="CI19">
            <v>0</v>
          </cell>
          <cell r="CJ19">
            <v>0</v>
          </cell>
          <cell r="CK19">
            <v>0</v>
          </cell>
          <cell r="CL19">
            <v>0</v>
          </cell>
          <cell r="CM19">
            <v>0</v>
          </cell>
          <cell r="CN19">
            <v>0</v>
          </cell>
        </row>
        <row r="20">
          <cell r="B20" t="str">
            <v>WN123</v>
          </cell>
          <cell r="CH20">
            <v>2.0324527493775983E-3</v>
          </cell>
          <cell r="CI20">
            <v>0</v>
          </cell>
          <cell r="CJ20">
            <v>0</v>
          </cell>
          <cell r="CK20">
            <v>0</v>
          </cell>
          <cell r="CL20">
            <v>0</v>
          </cell>
          <cell r="CM20">
            <v>0</v>
          </cell>
          <cell r="CN20">
            <v>0</v>
          </cell>
        </row>
        <row r="21">
          <cell r="B21" t="str">
            <v>WE310</v>
          </cell>
          <cell r="CH21">
            <v>134.21114965627353</v>
          </cell>
          <cell r="CI21">
            <v>98.772259696091027</v>
          </cell>
          <cell r="CJ21">
            <v>42.513416832354103</v>
          </cell>
          <cell r="CK21">
            <v>2.5190682590170792</v>
          </cell>
          <cell r="CL21">
            <v>0</v>
          </cell>
          <cell r="CM21">
            <v>0</v>
          </cell>
          <cell r="CN21">
            <v>0</v>
          </cell>
        </row>
        <row r="22">
          <cell r="B22" t="str">
            <v>WE311</v>
          </cell>
          <cell r="CH22">
            <v>59.918245227075474</v>
          </cell>
          <cell r="CI22">
            <v>54.650414236134104</v>
          </cell>
          <cell r="CJ22">
            <v>23.383972621266892</v>
          </cell>
          <cell r="CK22">
            <v>1.3875290184386997</v>
          </cell>
          <cell r="CL22">
            <v>0</v>
          </cell>
          <cell r="CM22">
            <v>0</v>
          </cell>
          <cell r="CN22">
            <v>0</v>
          </cell>
        </row>
        <row r="23">
          <cell r="B23" t="str">
            <v>WI300</v>
          </cell>
          <cell r="CH23">
            <v>48.516281618321472</v>
          </cell>
          <cell r="CI23">
            <v>53.238182791340421</v>
          </cell>
          <cell r="CJ23">
            <v>22.992601852060638</v>
          </cell>
          <cell r="CK23">
            <v>1.3787402692055424</v>
          </cell>
          <cell r="CL23">
            <v>0</v>
          </cell>
          <cell r="CM23">
            <v>0</v>
          </cell>
          <cell r="CN23">
            <v>0</v>
          </cell>
        </row>
        <row r="24">
          <cell r="B24" t="str">
            <v>WI301</v>
          </cell>
          <cell r="CH24">
            <v>17.571049312061099</v>
          </cell>
          <cell r="CI24">
            <v>20.472931572565493</v>
          </cell>
          <cell r="CJ24">
            <v>8.7554925712514891</v>
          </cell>
          <cell r="CK24">
            <v>0.52675282257398925</v>
          </cell>
          <cell r="CL24">
            <v>0</v>
          </cell>
          <cell r="CM24">
            <v>0</v>
          </cell>
          <cell r="CN24">
            <v>0</v>
          </cell>
        </row>
        <row r="25">
          <cell r="B25" t="str">
            <v>WN300</v>
          </cell>
          <cell r="CH25">
            <v>34.551318056597317</v>
          </cell>
          <cell r="CI25">
            <v>10.477194740343002</v>
          </cell>
          <cell r="CJ25">
            <v>4.861647159292187</v>
          </cell>
          <cell r="CK25">
            <v>0.30392447872254136</v>
          </cell>
          <cell r="CL25">
            <v>0</v>
          </cell>
          <cell r="CM25">
            <v>0</v>
          </cell>
          <cell r="CN25">
            <v>0</v>
          </cell>
        </row>
        <row r="26">
          <cell r="B26" t="str">
            <v>WN301</v>
          </cell>
          <cell r="CH26">
            <v>20.831862191613848</v>
          </cell>
          <cell r="CI26">
            <v>5.3115796633551593</v>
          </cell>
          <cell r="CJ26">
            <v>2.4416061035738128</v>
          </cell>
          <cell r="CK26">
            <v>0.15009273325945571</v>
          </cell>
          <cell r="CL26">
            <v>0</v>
          </cell>
          <cell r="CM26">
            <v>0</v>
          </cell>
          <cell r="CN26">
            <v>0</v>
          </cell>
        </row>
        <row r="27">
          <cell r="B27" t="str">
            <v>WX310</v>
          </cell>
          <cell r="CH27">
            <v>63.695063241337643</v>
          </cell>
          <cell r="CI27">
            <v>19.930206162307393</v>
          </cell>
          <cell r="CJ27">
            <v>9.1509492934773853</v>
          </cell>
          <cell r="CK27">
            <v>0.56996893750939592</v>
          </cell>
          <cell r="CL27">
            <v>0</v>
          </cell>
          <cell r="CM27">
            <v>0</v>
          </cell>
          <cell r="CN27">
            <v>0</v>
          </cell>
        </row>
        <row r="28">
          <cell r="B28" t="str">
            <v>WX311</v>
          </cell>
          <cell r="CH28">
            <v>34.581013668831801</v>
          </cell>
          <cell r="CI28">
            <v>11.569088727604141</v>
          </cell>
          <cell r="CJ28">
            <v>5.2566818016062715</v>
          </cell>
          <cell r="CK28">
            <v>0.3221806568537936</v>
          </cell>
          <cell r="CL28">
            <v>0</v>
          </cell>
          <cell r="CM28">
            <v>0</v>
          </cell>
          <cell r="CN28">
            <v>0</v>
          </cell>
        </row>
        <row r="29">
          <cell r="B29" t="str">
            <v>WE312</v>
          </cell>
          <cell r="CH29">
            <v>2.1834207945801736</v>
          </cell>
          <cell r="CI29">
            <v>1.7078469081865777</v>
          </cell>
          <cell r="CJ29">
            <v>0.61353819407201804</v>
          </cell>
          <cell r="CK29">
            <v>3.4853145582674702E-2</v>
          </cell>
          <cell r="CL29">
            <v>0</v>
          </cell>
          <cell r="CM29">
            <v>0</v>
          </cell>
          <cell r="CN29">
            <v>0</v>
          </cell>
        </row>
        <row r="30">
          <cell r="B30" t="str">
            <v>WI302</v>
          </cell>
          <cell r="CH30">
            <v>0.42142677539627038</v>
          </cell>
          <cell r="CI30">
            <v>0.34367299938435508</v>
          </cell>
          <cell r="CJ30">
            <v>0.12146583709862965</v>
          </cell>
          <cell r="CK30">
            <v>6.5050299419446853E-3</v>
          </cell>
          <cell r="CL30">
            <v>0</v>
          </cell>
          <cell r="CM30">
            <v>0</v>
          </cell>
          <cell r="CN30">
            <v>0</v>
          </cell>
        </row>
        <row r="31">
          <cell r="B31" t="str">
            <v>WN302</v>
          </cell>
          <cell r="CH31">
            <v>0.34615087184835691</v>
          </cell>
          <cell r="CI31">
            <v>6.1981841636039793E-2</v>
          </cell>
          <cell r="CJ31">
            <v>2.3775937785851665E-2</v>
          </cell>
          <cell r="CK31">
            <v>1.3192632545179432E-3</v>
          </cell>
          <cell r="CL31">
            <v>0</v>
          </cell>
          <cell r="CM31">
            <v>0</v>
          </cell>
          <cell r="CN31">
            <v>0</v>
          </cell>
        </row>
        <row r="32">
          <cell r="B32" t="str">
            <v>WX312</v>
          </cell>
          <cell r="CH32">
            <v>1.2404258750573296</v>
          </cell>
          <cell r="CI32">
            <v>0.31974325218969873</v>
          </cell>
          <cell r="CJ32">
            <v>0.12467775791268647</v>
          </cell>
          <cell r="CK32">
            <v>7.3332833752472997E-3</v>
          </cell>
          <cell r="CL32">
            <v>0</v>
          </cell>
          <cell r="CM32">
            <v>0</v>
          </cell>
          <cell r="CN32">
            <v>0</v>
          </cell>
        </row>
        <row r="33">
          <cell r="B33" t="str">
            <v>WX338</v>
          </cell>
          <cell r="CH33">
            <v>0.35393550991685341</v>
          </cell>
          <cell r="CI33">
            <v>0.10637099610773876</v>
          </cell>
          <cell r="CJ33">
            <v>4.1104601920202537E-2</v>
          </cell>
          <cell r="CK33">
            <v>2.4072785717685016E-3</v>
          </cell>
          <cell r="CL33">
            <v>0</v>
          </cell>
          <cell r="CM33">
            <v>0</v>
          </cell>
          <cell r="CN33">
            <v>0</v>
          </cell>
        </row>
        <row r="34">
          <cell r="B34" t="str">
            <v>WI336</v>
          </cell>
          <cell r="CH34">
            <v>0.13764689476953895</v>
          </cell>
          <cell r="CI34">
            <v>0.12938248278804543</v>
          </cell>
          <cell r="CJ34">
            <v>4.5734936371920644E-2</v>
          </cell>
          <cell r="CK34">
            <v>2.4507686434441628E-3</v>
          </cell>
          <cell r="CL34">
            <v>0</v>
          </cell>
          <cell r="CM34">
            <v>0</v>
          </cell>
          <cell r="CN34">
            <v>0</v>
          </cell>
        </row>
        <row r="35">
          <cell r="B35" t="str">
            <v>WE338</v>
          </cell>
          <cell r="CH35">
            <v>0.46997891390676899</v>
          </cell>
          <cell r="CI35">
            <v>0.43836820899465573</v>
          </cell>
          <cell r="CJ35">
            <v>0.15750336250655053</v>
          </cell>
          <cell r="CK35">
            <v>8.9402445624308761E-3</v>
          </cell>
          <cell r="CL35">
            <v>0</v>
          </cell>
          <cell r="CM35">
            <v>0</v>
          </cell>
          <cell r="CN35">
            <v>0</v>
          </cell>
        </row>
        <row r="36">
          <cell r="B36" t="str">
            <v>WN336</v>
          </cell>
          <cell r="CH36">
            <v>0.15860769492772869</v>
          </cell>
          <cell r="CI36">
            <v>3.2802313924195602E-2</v>
          </cell>
          <cell r="CJ36">
            <v>1.2463614947947977E-2</v>
          </cell>
          <cell r="CK36">
            <v>6.8810133574281559E-4</v>
          </cell>
          <cell r="CL36">
            <v>0</v>
          </cell>
          <cell r="CM36">
            <v>0</v>
          </cell>
          <cell r="CN36">
            <v>0</v>
          </cell>
        </row>
        <row r="37">
          <cell r="B37" t="str">
            <v>WE313</v>
          </cell>
          <cell r="CH37">
            <v>1.6555145408283407</v>
          </cell>
          <cell r="CI37">
            <v>1.1583825847140188</v>
          </cell>
          <cell r="CJ37">
            <v>0.41641195026593963</v>
          </cell>
          <cell r="CK37">
            <v>2.3612492667183186E-2</v>
          </cell>
          <cell r="CL37">
            <v>0</v>
          </cell>
          <cell r="CM37">
            <v>0</v>
          </cell>
          <cell r="CN37">
            <v>0</v>
          </cell>
        </row>
        <row r="38">
          <cell r="B38" t="str">
            <v>WE339</v>
          </cell>
          <cell r="CH38">
            <v>4.4341341859067844</v>
          </cell>
          <cell r="CI38">
            <v>3.1867708874674858</v>
          </cell>
          <cell r="CJ38">
            <v>1.1461699948395998</v>
          </cell>
          <cell r="CK38">
            <v>6.5169309485229643E-2</v>
          </cell>
          <cell r="CL38">
            <v>0</v>
          </cell>
          <cell r="CM38">
            <v>0</v>
          </cell>
          <cell r="CN38">
            <v>0</v>
          </cell>
        </row>
        <row r="39">
          <cell r="B39" t="str">
            <v>WI303</v>
          </cell>
          <cell r="CH39">
            <v>2.3449200465724118</v>
          </cell>
          <cell r="CI39">
            <v>1.9040424731446763</v>
          </cell>
          <cell r="CJ39">
            <v>0.67316465883208843</v>
          </cell>
          <cell r="CK39">
            <v>3.6086948725832242E-2</v>
          </cell>
          <cell r="CL39">
            <v>0</v>
          </cell>
          <cell r="CM39">
            <v>0</v>
          </cell>
          <cell r="CN39">
            <v>0</v>
          </cell>
        </row>
        <row r="40">
          <cell r="B40" t="str">
            <v>WI337</v>
          </cell>
          <cell r="CH40">
            <v>0.68389070068297819</v>
          </cell>
          <cell r="CI40">
            <v>0.70597550542093712</v>
          </cell>
          <cell r="CJ40">
            <v>0.24975599514475041</v>
          </cell>
          <cell r="CK40">
            <v>1.342070515112014E-2</v>
          </cell>
          <cell r="CL40">
            <v>0</v>
          </cell>
          <cell r="CM40">
            <v>0</v>
          </cell>
          <cell r="CN40">
            <v>0</v>
          </cell>
        </row>
        <row r="41">
          <cell r="B41" t="str">
            <v>WN303</v>
          </cell>
          <cell r="CH41">
            <v>1.6405280187242881</v>
          </cell>
          <cell r="CI41">
            <v>0.4121155051316378</v>
          </cell>
          <cell r="CJ41">
            <v>0.15666766512388933</v>
          </cell>
          <cell r="CK41">
            <v>8.6646537910369022E-3</v>
          </cell>
          <cell r="CL41">
            <v>0</v>
          </cell>
          <cell r="CM41">
            <v>0</v>
          </cell>
          <cell r="CN41">
            <v>0</v>
          </cell>
        </row>
        <row r="42">
          <cell r="B42" t="str">
            <v>WN337</v>
          </cell>
          <cell r="CH42">
            <v>0.86338148097032252</v>
          </cell>
          <cell r="CI42">
            <v>0.15231142257407368</v>
          </cell>
          <cell r="CJ42">
            <v>5.8447564544655675E-2</v>
          </cell>
          <cell r="CK42">
            <v>3.2472218133400405E-3</v>
          </cell>
          <cell r="CL42">
            <v>0</v>
          </cell>
          <cell r="CM42">
            <v>0</v>
          </cell>
          <cell r="CN42">
            <v>0</v>
          </cell>
        </row>
        <row r="43">
          <cell r="B43" t="str">
            <v>WX313</v>
          </cell>
          <cell r="CH43">
            <v>0.77393141368708851</v>
          </cell>
          <cell r="CI43">
            <v>0.25725141155040926</v>
          </cell>
          <cell r="CJ43">
            <v>9.9491626526109808E-2</v>
          </cell>
          <cell r="CK43">
            <v>5.8421368836219668E-3</v>
          </cell>
          <cell r="CL43">
            <v>0</v>
          </cell>
          <cell r="CM43">
            <v>0</v>
          </cell>
          <cell r="CN43">
            <v>0</v>
          </cell>
        </row>
        <row r="44">
          <cell r="B44" t="str">
            <v>WX339</v>
          </cell>
          <cell r="CH44">
            <v>1.9166266314547769</v>
          </cell>
          <cell r="CI44">
            <v>0.5632964639862581</v>
          </cell>
          <cell r="CJ44">
            <v>0.21988168856733567</v>
          </cell>
          <cell r="CK44">
            <v>1.2954881418440476E-2</v>
          </cell>
          <cell r="CL44">
            <v>0</v>
          </cell>
          <cell r="CM44">
            <v>0</v>
          </cell>
          <cell r="CN44">
            <v>0</v>
          </cell>
        </row>
        <row r="45">
          <cell r="B45" t="str">
            <v>WE314</v>
          </cell>
          <cell r="CH45">
            <v>6.3448462368145631</v>
          </cell>
          <cell r="CI45">
            <v>4.6430037619096725</v>
          </cell>
          <cell r="CJ45">
            <v>2.5394343659497078</v>
          </cell>
          <cell r="CK45">
            <v>1.719045756740339</v>
          </cell>
          <cell r="CL45">
            <v>0.76768928049569607</v>
          </cell>
          <cell r="CM45">
            <v>9.4964036334645646E-2</v>
          </cell>
          <cell r="CN45">
            <v>1.1790921480035889E-2</v>
          </cell>
        </row>
        <row r="46">
          <cell r="B46" t="str">
            <v>WE315</v>
          </cell>
          <cell r="CH46">
            <v>326.85948648561305</v>
          </cell>
          <cell r="CI46">
            <v>507.72535245677687</v>
          </cell>
          <cell r="CJ46">
            <v>605.49763385714346</v>
          </cell>
          <cell r="CK46">
            <v>656.05691322119151</v>
          </cell>
          <cell r="CL46">
            <v>708.3620079125119</v>
          </cell>
          <cell r="CM46">
            <v>761.95252442700712</v>
          </cell>
          <cell r="CN46">
            <v>815.7786120735235</v>
          </cell>
        </row>
        <row r="47">
          <cell r="B47" t="str">
            <v>WE325</v>
          </cell>
          <cell r="CH47">
            <v>5.4048389974167268</v>
          </cell>
          <cell r="CI47">
            <v>4.4368625946712381</v>
          </cell>
          <cell r="CJ47">
            <v>2.4120201276387041</v>
          </cell>
          <cell r="CK47">
            <v>1.6282171428619896</v>
          </cell>
          <cell r="CL47">
            <v>0.72541298152796974</v>
          </cell>
          <cell r="CM47">
            <v>8.9571249953741355E-2</v>
          </cell>
          <cell r="CN47">
            <v>1.1107194013820289E-2</v>
          </cell>
        </row>
        <row r="48">
          <cell r="B48" t="str">
            <v>WI304</v>
          </cell>
          <cell r="CH48">
            <v>7.7664693206373929</v>
          </cell>
          <cell r="CI48">
            <v>6.5143073516728194</v>
          </cell>
          <cell r="CJ48">
            <v>3.5564127301093507</v>
          </cell>
          <cell r="CK48">
            <v>2.4053144521192547</v>
          </cell>
          <cell r="CL48">
            <v>1.0731318283677449</v>
          </cell>
          <cell r="CM48">
            <v>0.13260950073758246</v>
          </cell>
          <cell r="CN48">
            <v>1.6447414590398342E-2</v>
          </cell>
        </row>
        <row r="49">
          <cell r="B49" t="str">
            <v>WI305</v>
          </cell>
          <cell r="CH49">
            <v>382.96085742578782</v>
          </cell>
          <cell r="CI49">
            <v>644.66842985545088</v>
          </cell>
          <cell r="CJ49">
            <v>760.30888316389621</v>
          </cell>
          <cell r="CK49">
            <v>819.69280285251</v>
          </cell>
          <cell r="CL49">
            <v>880.57259551139555</v>
          </cell>
          <cell r="CM49">
            <v>942.2365117011941</v>
          </cell>
          <cell r="CN49">
            <v>1003.4571992900439</v>
          </cell>
        </row>
        <row r="50">
          <cell r="B50" t="str">
            <v>WI326</v>
          </cell>
          <cell r="CH50">
            <v>7.1201526617930782</v>
          </cell>
          <cell r="CI50">
            <v>6.3191567828448409</v>
          </cell>
          <cell r="CJ50">
            <v>3.4304078089461978</v>
          </cell>
          <cell r="CK50">
            <v>2.3141042171006649</v>
          </cell>
          <cell r="CL50">
            <v>1.0301664330682057</v>
          </cell>
          <cell r="CM50">
            <v>0.12706231228680062</v>
          </cell>
          <cell r="CN50">
            <v>1.5734718775238167E-2</v>
          </cell>
        </row>
        <row r="51">
          <cell r="B51" t="str">
            <v>WN304</v>
          </cell>
          <cell r="CH51">
            <v>3.5220567972048129</v>
          </cell>
          <cell r="CI51">
            <v>1.8085441808721772</v>
          </cell>
          <cell r="CJ51">
            <v>0.98540170535237737</v>
          </cell>
          <cell r="CK51">
            <v>0.66589505294665263</v>
          </cell>
          <cell r="CL51">
            <v>0.29695659692452903</v>
          </cell>
          <cell r="CM51">
            <v>3.6693793219080229E-2</v>
          </cell>
          <cell r="CN51">
            <v>4.5523376049538943E-3</v>
          </cell>
        </row>
        <row r="52">
          <cell r="B52" t="str">
            <v>WN305</v>
          </cell>
          <cell r="CH52">
            <v>250.31852701512486</v>
          </cell>
          <cell r="CI52">
            <v>122.1981595542174</v>
          </cell>
          <cell r="CJ52">
            <v>157.47373605911753</v>
          </cell>
          <cell r="CK52">
            <v>176.2725452554011</v>
          </cell>
          <cell r="CL52">
            <v>198.28592514075979</v>
          </cell>
          <cell r="CM52">
            <v>220.73841752065806</v>
          </cell>
          <cell r="CN52">
            <v>240.96353020438954</v>
          </cell>
        </row>
        <row r="53">
          <cell r="B53" t="str">
            <v>WN326</v>
          </cell>
          <cell r="CH53">
            <v>4.4499503909538856</v>
          </cell>
          <cell r="CI53">
            <v>1.7345500721886558</v>
          </cell>
          <cell r="CJ53">
            <v>0.94784119114563414</v>
          </cell>
          <cell r="CK53">
            <v>0.64125456602623276</v>
          </cell>
          <cell r="CL53">
            <v>0.2862588482680461</v>
          </cell>
          <cell r="CM53">
            <v>3.5403463918660442E-2</v>
          </cell>
          <cell r="CN53">
            <v>4.3955881655845311E-3</v>
          </cell>
        </row>
        <row r="54">
          <cell r="B54" t="str">
            <v>WX314</v>
          </cell>
          <cell r="CH54">
            <v>2.2151422142214114</v>
          </cell>
          <cell r="CI54">
            <v>1.1609568613414361</v>
          </cell>
          <cell r="CJ54">
            <v>0.63850392557027724</v>
          </cell>
          <cell r="CK54">
            <v>0.43322156241488169</v>
          </cell>
          <cell r="CL54">
            <v>0.19391132227412133</v>
          </cell>
          <cell r="CM54">
            <v>2.4043046072173131E-2</v>
          </cell>
          <cell r="CN54">
            <v>2.9922092400663748E-3</v>
          </cell>
        </row>
        <row r="55">
          <cell r="B55" t="str">
            <v>WX315</v>
          </cell>
          <cell r="CH55">
            <v>185.58594201768062</v>
          </cell>
          <cell r="CI55">
            <v>106.73557943540499</v>
          </cell>
          <cell r="CJ55">
            <v>137.45300348800288</v>
          </cell>
          <cell r="CK55">
            <v>153.79932523768065</v>
          </cell>
          <cell r="CL55">
            <v>172.82385181519868</v>
          </cell>
          <cell r="CM55">
            <v>192.07328263966502</v>
          </cell>
          <cell r="CN55">
            <v>209.22189944947635</v>
          </cell>
        </row>
        <row r="56">
          <cell r="B56" t="str">
            <v>WX325</v>
          </cell>
          <cell r="CH56">
            <v>3.2805108392086897</v>
          </cell>
          <cell r="CI56">
            <v>1.3058966609332234</v>
          </cell>
          <cell r="CJ56">
            <v>0.71146970133819198</v>
          </cell>
          <cell r="CK56">
            <v>0.48081670124186693</v>
          </cell>
          <cell r="CL56">
            <v>0.21444134155953859</v>
          </cell>
          <cell r="CM56">
            <v>2.6504644648509795E-2</v>
          </cell>
          <cell r="CN56">
            <v>3.2897504324368183E-3</v>
          </cell>
        </row>
        <row r="57">
          <cell r="B57" t="str">
            <v>WI306</v>
          </cell>
          <cell r="CH57">
            <v>155.04070304286293</v>
          </cell>
          <cell r="CI57">
            <v>183.49159450239134</v>
          </cell>
          <cell r="CJ57">
            <v>170.7747003177534</v>
          </cell>
          <cell r="CK57">
            <v>148.61875585093495</v>
          </cell>
          <cell r="CL57">
            <v>125.15795601129774</v>
          </cell>
          <cell r="CM57">
            <v>108.63507227317523</v>
          </cell>
          <cell r="CN57">
            <v>105.19100045479128</v>
          </cell>
        </row>
        <row r="58">
          <cell r="B58" t="str">
            <v>WE316</v>
          </cell>
          <cell r="CH58">
            <v>195.24144972536135</v>
          </cell>
          <cell r="CI58">
            <v>285.74010904012698</v>
          </cell>
          <cell r="CJ58">
            <v>266.2473965345024</v>
          </cell>
          <cell r="CK58">
            <v>232.29217534149632</v>
          </cell>
          <cell r="CL58">
            <v>196.09755808399836</v>
          </cell>
          <cell r="CM58">
            <v>170.69547165856468</v>
          </cell>
          <cell r="CN58">
            <v>165.9340169109656</v>
          </cell>
        </row>
        <row r="59">
          <cell r="B59" t="str">
            <v>WN306</v>
          </cell>
          <cell r="CH59">
            <v>67.713247199077216</v>
          </cell>
          <cell r="CI59">
            <v>37.177953765723935</v>
          </cell>
          <cell r="CJ59">
            <v>37.635894818761891</v>
          </cell>
          <cell r="CK59">
            <v>33.932617928259816</v>
          </cell>
          <cell r="CL59">
            <v>29.841268232707172</v>
          </cell>
          <cell r="CM59">
            <v>26.86674008524583</v>
          </cell>
          <cell r="CN59">
            <v>26.04354073820539</v>
          </cell>
        </row>
        <row r="60">
          <cell r="B60" t="str">
            <v>WX316</v>
          </cell>
          <cell r="CH60">
            <v>86.050203793485977</v>
          </cell>
          <cell r="CI60">
            <v>46.278608705007144</v>
          </cell>
          <cell r="CJ60">
            <v>46.896664763545445</v>
          </cell>
          <cell r="CK60">
            <v>42.369014465941675</v>
          </cell>
          <cell r="CL60">
            <v>37.322842422047877</v>
          </cell>
          <cell r="CM60">
            <v>33.677423529005303</v>
          </cell>
          <cell r="CN60">
            <v>32.761959919061844</v>
          </cell>
        </row>
        <row r="61">
          <cell r="B61" t="str">
            <v>WI307</v>
          </cell>
          <cell r="CH61">
            <v>3.2702225842835086</v>
          </cell>
          <cell r="CI61">
            <v>2.4846972342802416</v>
          </cell>
          <cell r="CJ61">
            <v>1.4283236659936693</v>
          </cell>
          <cell r="CK61">
            <v>0.99071662762556145</v>
          </cell>
          <cell r="CL61">
            <v>0.45314369916241765</v>
          </cell>
          <cell r="CM61">
            <v>5.6674059685293085E-2</v>
          </cell>
          <cell r="CN61">
            <v>7.0153252073277828E-3</v>
          </cell>
        </row>
        <row r="62">
          <cell r="B62" t="str">
            <v>WN307</v>
          </cell>
          <cell r="CH62">
            <v>1.5409327845765044</v>
          </cell>
          <cell r="CI62">
            <v>0.78055059513302605</v>
          </cell>
          <cell r="CJ62">
            <v>0.44883188492144144</v>
          </cell>
          <cell r="CK62">
            <v>0.31152156265638509</v>
          </cell>
          <cell r="CL62">
            <v>0.14261003799153443</v>
          </cell>
          <cell r="CM62">
            <v>1.7850097106793937E-2</v>
          </cell>
          <cell r="CN62">
            <v>2.210307726174809E-3</v>
          </cell>
        </row>
        <row r="63">
          <cell r="B63" t="str">
            <v>WE317</v>
          </cell>
          <cell r="CH63">
            <v>0.66278429906902236</v>
          </cell>
          <cell r="CI63">
            <v>0.68570085862857322</v>
          </cell>
          <cell r="CJ63">
            <v>0.39484201411191072</v>
          </cell>
          <cell r="CK63">
            <v>0.27478724676157257</v>
          </cell>
          <cell r="CL63">
            <v>0.12610981218749254</v>
          </cell>
          <cell r="CM63">
            <v>1.5831797726736912E-2</v>
          </cell>
          <cell r="CN63">
            <v>1.9673583855156938E-3</v>
          </cell>
        </row>
        <row r="64">
          <cell r="B64" t="str">
            <v>WX317</v>
          </cell>
          <cell r="CH64">
            <v>0.41887441139284198</v>
          </cell>
          <cell r="CI64">
            <v>0.20077859956117053</v>
          </cell>
          <cell r="CJ64">
            <v>0.11558522260932667</v>
          </cell>
          <cell r="CK64">
            <v>8.0406577768033602E-2</v>
          </cell>
          <cell r="CL64">
            <v>3.6885580027878374E-2</v>
          </cell>
          <cell r="CM64">
            <v>4.6284884635072144E-3</v>
          </cell>
          <cell r="CN64">
            <v>5.7474296728673502E-4</v>
          </cell>
        </row>
        <row r="65">
          <cell r="B65" t="str">
            <v>WX998</v>
          </cell>
          <cell r="CH65">
            <v>0.3470618803065072</v>
          </cell>
          <cell r="CI65">
            <v>0.17311296395480671</v>
          </cell>
          <cell r="CJ65">
            <v>9.969608606481481E-2</v>
          </cell>
          <cell r="CK65">
            <v>6.932889036369487E-2</v>
          </cell>
          <cell r="CL65">
            <v>3.1825016055337225E-2</v>
          </cell>
          <cell r="CM65">
            <v>3.9925922715572711E-3</v>
          </cell>
          <cell r="CN65">
            <v>4.9338768019032754E-4</v>
          </cell>
        </row>
        <row r="66">
          <cell r="B66" t="str">
            <v>WN998</v>
          </cell>
          <cell r="CH66">
            <v>1.4153810684687687</v>
          </cell>
          <cell r="CI66">
            <v>0.69964233371612916</v>
          </cell>
          <cell r="CJ66">
            <v>0.40289997730098004</v>
          </cell>
          <cell r="CK66">
            <v>0.28025335054233991</v>
          </cell>
          <cell r="CL66">
            <v>0.12871895625687416</v>
          </cell>
          <cell r="CM66">
            <v>1.6154755246912934E-2</v>
          </cell>
          <cell r="CN66">
            <v>1.7626376115459376E-3</v>
          </cell>
        </row>
        <row r="67">
          <cell r="B67" t="str">
            <v>WE998</v>
          </cell>
          <cell r="CH67">
            <v>0.84901096208126026</v>
          </cell>
          <cell r="CI67">
            <v>0.65633900083881136</v>
          </cell>
          <cell r="CJ67">
            <v>0.3779563824408535</v>
          </cell>
          <cell r="CK67">
            <v>0.26284713675134153</v>
          </cell>
          <cell r="CL67">
            <v>0.1206789361970616</v>
          </cell>
          <cell r="CM67">
            <v>1.514144419278371E-2</v>
          </cell>
          <cell r="CN67">
            <v>1.871088547733487E-3</v>
          </cell>
        </row>
        <row r="68">
          <cell r="B68" t="str">
            <v>WI998</v>
          </cell>
          <cell r="CH68">
            <v>2.7151213625226958</v>
          </cell>
          <cell r="CI68">
            <v>2.2665889310391005</v>
          </cell>
          <cell r="CJ68">
            <v>1.3053206553094778</v>
          </cell>
          <cell r="CK68">
            <v>0.90780722983168605</v>
          </cell>
          <cell r="CL68">
            <v>0.41679382840300749</v>
          </cell>
          <cell r="CM68">
            <v>5.2294816982220688E-2</v>
          </cell>
          <cell r="CN68">
            <v>6.4623790075226057E-3</v>
          </cell>
        </row>
        <row r="69">
          <cell r="B69" t="str">
            <v>WE334</v>
          </cell>
          <cell r="CH69">
            <v>6.1881119581332706</v>
          </cell>
          <cell r="CI69">
            <v>11.3437500704947</v>
          </cell>
          <cell r="CJ69">
            <v>12.816427838816685</v>
          </cell>
          <cell r="CK69">
            <v>13.32353555847363</v>
          </cell>
          <cell r="CL69">
            <v>14.445600136653978</v>
          </cell>
          <cell r="CM69">
            <v>16.2757593982946</v>
          </cell>
          <cell r="CN69">
            <v>19.351456238367437</v>
          </cell>
        </row>
        <row r="70">
          <cell r="B70" t="str">
            <v>WI332</v>
          </cell>
          <cell r="CH70">
            <v>3.4702503124641915</v>
          </cell>
          <cell r="CI70">
            <v>5.909250908968203</v>
          </cell>
          <cell r="CJ70">
            <v>6.7584672928512664</v>
          </cell>
          <cell r="CK70">
            <v>7.160125613583717</v>
          </cell>
          <cell r="CL70">
            <v>7.8052431519648984</v>
          </cell>
          <cell r="CM70">
            <v>8.9041442903727575</v>
          </cell>
          <cell r="CN70">
            <v>10.744851971290013</v>
          </cell>
        </row>
        <row r="71">
          <cell r="B71" t="str">
            <v>WN332</v>
          </cell>
          <cell r="CH71">
            <v>2.9347798391642619</v>
          </cell>
          <cell r="CI71">
            <v>0.90509528640242587</v>
          </cell>
          <cell r="CJ71">
            <v>1.1945751817983916</v>
          </cell>
          <cell r="CK71">
            <v>1.3187694955525788</v>
          </cell>
          <cell r="CL71">
            <v>1.5453535755811334</v>
          </cell>
          <cell r="CM71">
            <v>1.8598442949394574</v>
          </cell>
          <cell r="CN71">
            <v>2.3331400815500154</v>
          </cell>
        </row>
        <row r="72">
          <cell r="B72" t="str">
            <v>WX334</v>
          </cell>
          <cell r="CH72">
            <v>3.0369534678108292</v>
          </cell>
          <cell r="CI72">
            <v>1.5742732244915283</v>
          </cell>
          <cell r="CJ72">
            <v>1.9928033266679659</v>
          </cell>
          <cell r="CK72">
            <v>2.168739359031473</v>
          </cell>
          <cell r="CL72">
            <v>2.4634198347463983</v>
          </cell>
          <cell r="CM72">
            <v>2.8567671557650116</v>
          </cell>
          <cell r="CN72">
            <v>3.4790527757513203</v>
          </cell>
        </row>
        <row r="73">
          <cell r="B73" t="str">
            <v>WE335</v>
          </cell>
          <cell r="CH73">
            <v>0.57234880320792803</v>
          </cell>
          <cell r="CI73">
            <v>0.68258137581692524</v>
          </cell>
          <cell r="CJ73">
            <v>0.6665840599456696</v>
          </cell>
          <cell r="CK73">
            <v>0.6770013093699524</v>
          </cell>
          <cell r="CL73">
            <v>0.66300377374098507</v>
          </cell>
          <cell r="CM73">
            <v>0.66507789027709097</v>
          </cell>
          <cell r="CN73">
            <v>10.264391865781274</v>
          </cell>
        </row>
        <row r="74">
          <cell r="B74" t="str">
            <v>WI333</v>
          </cell>
          <cell r="CH74">
            <v>0.9504477917938452</v>
          </cell>
          <cell r="CI74">
            <v>1.1342391656303425</v>
          </cell>
          <cell r="CJ74">
            <v>1.0874632364793915</v>
          </cell>
          <cell r="CK74">
            <v>1.035947564158902</v>
          </cell>
          <cell r="CL74">
            <v>0.99142615439482651</v>
          </cell>
          <cell r="CM74">
            <v>0.93940900156159501</v>
          </cell>
          <cell r="CN74">
            <v>1.6657759182481526</v>
          </cell>
        </row>
        <row r="75">
          <cell r="B75" t="str">
            <v>WN333</v>
          </cell>
          <cell r="CH75">
            <v>0.25622755440886441</v>
          </cell>
          <cell r="CI75">
            <v>0.15951690713252656</v>
          </cell>
          <cell r="CJ75">
            <v>0.17104370695379456</v>
          </cell>
          <cell r="CK75">
            <v>0.17065800093871017</v>
          </cell>
          <cell r="CL75">
            <v>0.17274756218193368</v>
          </cell>
          <cell r="CM75">
            <v>0.17152256929011855</v>
          </cell>
          <cell r="CN75">
            <v>0.32165391924236797</v>
          </cell>
        </row>
        <row r="76">
          <cell r="B76" t="str">
            <v>WX335</v>
          </cell>
          <cell r="CH76">
            <v>5.0796655364845074E-2</v>
          </cell>
          <cell r="CI76">
            <v>7.8756410022268949E-2</v>
          </cell>
          <cell r="CJ76">
            <v>8.5844484036214669E-2</v>
          </cell>
          <cell r="CK76">
            <v>9.0828471398915561E-2</v>
          </cell>
          <cell r="CL76">
            <v>9.3935873042825302E-2</v>
          </cell>
          <cell r="CM76">
            <v>9.8303976720078248E-2</v>
          </cell>
          <cell r="CN76">
            <v>1.4404231226858504</v>
          </cell>
        </row>
        <row r="77">
          <cell r="B77" t="str">
            <v>WE349</v>
          </cell>
          <cell r="CH77">
            <v>41.680645418043355</v>
          </cell>
          <cell r="CI77">
            <v>82.582831846793582</v>
          </cell>
          <cell r="CJ77">
            <v>105.70877328823829</v>
          </cell>
          <cell r="CK77">
            <v>153.1444044034275</v>
          </cell>
          <cell r="CL77">
            <v>149.82870952493712</v>
          </cell>
          <cell r="CM77">
            <v>113.26227400988255</v>
          </cell>
          <cell r="CN77">
            <v>65.928907251487701</v>
          </cell>
        </row>
        <row r="78">
          <cell r="B78" t="str">
            <v>WE351</v>
          </cell>
          <cell r="CH78">
            <v>141.41341841767684</v>
          </cell>
          <cell r="CI78">
            <v>194.44243751604304</v>
          </cell>
          <cell r="CJ78">
            <v>250.22583670623757</v>
          </cell>
          <cell r="CK78">
            <v>257.60458135444316</v>
          </cell>
          <cell r="CL78">
            <v>224.16186634737454</v>
          </cell>
          <cell r="CM78">
            <v>218.46349646961391</v>
          </cell>
          <cell r="CN78">
            <v>222.88929049132662</v>
          </cell>
        </row>
        <row r="79">
          <cell r="B79" t="str">
            <v>WI348</v>
          </cell>
          <cell r="CH79">
            <v>58.955119237291157</v>
          </cell>
          <cell r="CI79">
            <v>127.51725734172396</v>
          </cell>
          <cell r="CJ79">
            <v>164.08374131539438</v>
          </cell>
          <cell r="CK79">
            <v>238.87908638876993</v>
          </cell>
          <cell r="CL79">
            <v>237.01990477511708</v>
          </cell>
          <cell r="CM79">
            <v>178.45942547128044</v>
          </cell>
          <cell r="CN79">
            <v>105.41163047635061</v>
          </cell>
        </row>
        <row r="80">
          <cell r="B80" t="str">
            <v>WI350</v>
          </cell>
          <cell r="CH80">
            <v>209.75307198309008</v>
          </cell>
          <cell r="CI80">
            <v>314.86560225402218</v>
          </cell>
          <cell r="CJ80">
            <v>401.85259820664936</v>
          </cell>
          <cell r="CK80">
            <v>413.98849699828952</v>
          </cell>
          <cell r="CL80">
            <v>360.50179748158143</v>
          </cell>
          <cell r="CM80">
            <v>350.51474860302551</v>
          </cell>
          <cell r="CN80">
            <v>358.40916004632186</v>
          </cell>
        </row>
        <row r="81">
          <cell r="B81" t="str">
            <v>WN348</v>
          </cell>
          <cell r="CH81">
            <v>51.079265231080939</v>
          </cell>
          <cell r="CI81">
            <v>40.055644525058426</v>
          </cell>
          <cell r="CJ81">
            <v>54.33610006967838</v>
          </cell>
          <cell r="CK81">
            <v>80.607187017060511</v>
          </cell>
          <cell r="CL81">
            <v>80.742450400080187</v>
          </cell>
          <cell r="CM81">
            <v>63.068305029597802</v>
          </cell>
          <cell r="CN81">
            <v>37.448993345893307</v>
          </cell>
        </row>
        <row r="82">
          <cell r="B82" t="str">
            <v>WN350</v>
          </cell>
          <cell r="CH82">
            <v>151.45101981441465</v>
          </cell>
          <cell r="CI82">
            <v>89.800855522688394</v>
          </cell>
          <cell r="CJ82">
            <v>118.20359768120403</v>
          </cell>
          <cell r="CK82">
            <v>123.17488828306789</v>
          </cell>
          <cell r="CL82">
            <v>113.19233218931839</v>
          </cell>
          <cell r="CM82">
            <v>112.10040082479325</v>
          </cell>
          <cell r="CN82">
            <v>115.87480914553603</v>
          </cell>
        </row>
        <row r="83">
          <cell r="B83" t="str">
            <v>WX349</v>
          </cell>
          <cell r="CH83">
            <v>31.035903277018171</v>
          </cell>
          <cell r="CI83">
            <v>25.785443075565105</v>
          </cell>
          <cell r="CJ83">
            <v>35.563092157698591</v>
          </cell>
          <cell r="CK83">
            <v>52.725811775582322</v>
          </cell>
          <cell r="CL83">
            <v>53.525326028283118</v>
          </cell>
          <cell r="CM83">
            <v>40.990716824281712</v>
          </cell>
          <cell r="CN83">
            <v>24.489547236529887</v>
          </cell>
        </row>
        <row r="84">
          <cell r="B84" t="str">
            <v>WX351</v>
          </cell>
          <cell r="CH84">
            <v>79.4073759053868</v>
          </cell>
          <cell r="CI84">
            <v>52.898502382616961</v>
          </cell>
          <cell r="CJ84">
            <v>70.811550455634091</v>
          </cell>
          <cell r="CK84">
            <v>74.593737872301901</v>
          </cell>
          <cell r="CL84">
            <v>68.671738875046586</v>
          </cell>
          <cell r="CM84">
            <v>68.435494545886286</v>
          </cell>
          <cell r="CN84">
            <v>70.677386508151187</v>
          </cell>
        </row>
        <row r="85">
          <cell r="B85" t="str">
            <v>WX355</v>
          </cell>
          <cell r="CH85">
            <v>23.153629479076944</v>
          </cell>
          <cell r="CI85">
            <v>15.46161653371791</v>
          </cell>
          <cell r="CJ85">
            <v>14.950384780907084</v>
          </cell>
          <cell r="CK85">
            <v>10.45536723314971</v>
          </cell>
          <cell r="CL85">
            <v>9.8829705573033184</v>
          </cell>
          <cell r="CM85">
            <v>7.9112913925888524</v>
          </cell>
          <cell r="CN85">
            <v>0</v>
          </cell>
        </row>
        <row r="86">
          <cell r="B86" t="str">
            <v>WE355</v>
          </cell>
          <cell r="CH86">
            <v>45.891006151531464</v>
          </cell>
          <cell r="CI86">
            <v>51.477931334218717</v>
          </cell>
          <cell r="CJ86">
            <v>46.664298772942125</v>
          </cell>
          <cell r="CK86">
            <v>31.646493332703319</v>
          </cell>
          <cell r="CL86">
            <v>28.9014856641042</v>
          </cell>
          <cell r="CM86">
            <v>22.422609016025749</v>
          </cell>
          <cell r="CN86">
            <v>0</v>
          </cell>
        </row>
        <row r="87">
          <cell r="B87" t="str">
            <v>WN354</v>
          </cell>
          <cell r="CH87">
            <v>39.706063904815089</v>
          </cell>
          <cell r="CI87">
            <v>24.798196524777332</v>
          </cell>
          <cell r="CJ87">
            <v>23.976828558713962</v>
          </cell>
          <cell r="CK87">
            <v>16.722872385986481</v>
          </cell>
          <cell r="CL87">
            <v>15.795430350566061</v>
          </cell>
          <cell r="CM87">
            <v>12.652932086185452</v>
          </cell>
          <cell r="CN87">
            <v>0</v>
          </cell>
        </row>
        <row r="88">
          <cell r="B88" t="str">
            <v>WI354</v>
          </cell>
          <cell r="CH88">
            <v>72.416792633416932</v>
          </cell>
          <cell r="CI88">
            <v>84.281825449948911</v>
          </cell>
          <cell r="CJ88">
            <v>76.434454429880461</v>
          </cell>
          <cell r="CK88">
            <v>51.796178220467894</v>
          </cell>
          <cell r="CL88">
            <v>47.270526774897164</v>
          </cell>
          <cell r="CM88">
            <v>36.763405037620494</v>
          </cell>
          <cell r="CN88">
            <v>0</v>
          </cell>
        </row>
        <row r="89">
          <cell r="B89" t="str">
            <v>WE135</v>
          </cell>
          <cell r="CH89">
            <v>0.31719293056251929</v>
          </cell>
          <cell r="CI89">
            <v>0.32875599572236425</v>
          </cell>
          <cell r="CJ89">
            <v>0.27602649078059432</v>
          </cell>
          <cell r="CK89">
            <v>0.24166970845502392</v>
          </cell>
          <cell r="CL89">
            <v>0.18382296944475779</v>
          </cell>
          <cell r="CM89">
            <v>0.13677479546630902</v>
          </cell>
          <cell r="CN89">
            <v>0.104644882267856</v>
          </cell>
        </row>
        <row r="90">
          <cell r="B90" t="str">
            <v>WI158</v>
          </cell>
          <cell r="CH90">
            <v>2.8403885226183685</v>
          </cell>
          <cell r="CI90">
            <v>2.6610965872145362</v>
          </cell>
          <cell r="CJ90">
            <v>2.2250240969389807</v>
          </cell>
          <cell r="CK90">
            <v>1.9616118935509967</v>
          </cell>
          <cell r="CL90">
            <v>1.4923057631366636</v>
          </cell>
          <cell r="CM90">
            <v>1.1126698769265719</v>
          </cell>
          <cell r="CN90">
            <v>0.84069259109742211</v>
          </cell>
        </row>
        <row r="91">
          <cell r="B91" t="str">
            <v>WN158</v>
          </cell>
          <cell r="CH91">
            <v>1.2552265465084635</v>
          </cell>
          <cell r="CI91">
            <v>0.99164956547750804</v>
          </cell>
          <cell r="CJ91">
            <v>0.87817202230032632</v>
          </cell>
          <cell r="CK91">
            <v>0.79328614538714748</v>
          </cell>
          <cell r="CL91">
            <v>0.62237004954869801</v>
          </cell>
          <cell r="CM91">
            <v>0.47875172861855897</v>
          </cell>
          <cell r="CN91">
            <v>0.36934864003679962</v>
          </cell>
        </row>
        <row r="92">
          <cell r="B92" t="str">
            <v>WX135</v>
          </cell>
          <cell r="CH92">
            <v>0.1710369410257177</v>
          </cell>
          <cell r="CI92">
            <v>0.12315580585317716</v>
          </cell>
          <cell r="CJ92">
            <v>0.10913922737622468</v>
          </cell>
          <cell r="CK92">
            <v>9.6476073379054131E-2</v>
          </cell>
          <cell r="CL92">
            <v>7.5320162997180001E-2</v>
          </cell>
          <cell r="CM92">
            <v>5.7544611390302057E-2</v>
          </cell>
          <cell r="CN92">
            <v>4.3813006579943498E-2</v>
          </cell>
        </row>
        <row r="93">
          <cell r="B93" t="str">
            <v>WI138</v>
          </cell>
          <cell r="CH93">
            <v>3.0882079812288183</v>
          </cell>
          <cell r="CI93">
            <v>1.8963775532416121</v>
          </cell>
          <cell r="CJ93">
            <v>1.3296208993881653</v>
          </cell>
          <cell r="CK93">
            <v>0.89250209555314142</v>
          </cell>
          <cell r="CL93">
            <v>0.55940397815554876</v>
          </cell>
          <cell r="CM93">
            <v>0.32863693878872691</v>
          </cell>
          <cell r="CN93">
            <v>0.22972731868866686</v>
          </cell>
        </row>
        <row r="94">
          <cell r="B94" t="str">
            <v>WN138</v>
          </cell>
          <cell r="CH94">
            <v>0.62906430393024571</v>
          </cell>
          <cell r="CI94">
            <v>0.43413878653378063</v>
          </cell>
          <cell r="CJ94">
            <v>0.3223479520238246</v>
          </cell>
          <cell r="CK94">
            <v>0.22258901787982369</v>
          </cell>
          <cell r="CL94">
            <v>0.1441903381619441</v>
          </cell>
          <cell r="CM94">
            <v>8.7246031073758931E-2</v>
          </cell>
          <cell r="CN94">
            <v>6.5629129936244937E-2</v>
          </cell>
        </row>
        <row r="95">
          <cell r="B95" t="str">
            <v>WE134</v>
          </cell>
          <cell r="CH95">
            <v>7.1716011201508594E-3</v>
          </cell>
          <cell r="CI95">
            <v>4.6309086523870554E-3</v>
          </cell>
          <cell r="CJ95">
            <v>3.3420099413976863E-3</v>
          </cell>
          <cell r="CK95">
            <v>2.4518390062026945E-3</v>
          </cell>
          <cell r="CL95">
            <v>1.6325878508921361E-3</v>
          </cell>
          <cell r="CM95">
            <v>1.0309305727798789E-3</v>
          </cell>
          <cell r="CN95">
            <v>1.39400614725046E-3</v>
          </cell>
        </row>
        <row r="96">
          <cell r="B96" t="str">
            <v>WX134</v>
          </cell>
          <cell r="CH96">
            <v>2.0355065616112136E-3</v>
          </cell>
          <cell r="CI96">
            <v>1.310571003657415E-3</v>
          </cell>
          <cell r="CJ96">
            <v>1.0026365458705624E-3</v>
          </cell>
          <cell r="CK96">
            <v>7.6038048476429788E-4</v>
          </cell>
          <cell r="CL96">
            <v>5.2496365285332634E-4</v>
          </cell>
          <cell r="CM96">
            <v>3.4216406152175118E-4</v>
          </cell>
          <cell r="CN96">
            <v>4.6827096475649302E-4</v>
          </cell>
        </row>
        <row r="97">
          <cell r="B97" t="str">
            <v>SL121</v>
          </cell>
          <cell r="CH97">
            <v>30.546003265688462</v>
          </cell>
          <cell r="CI97">
            <v>21.802117690662659</v>
          </cell>
          <cell r="CJ97">
            <v>17.452984936597446</v>
          </cell>
          <cell r="CK97">
            <v>11.788669681392124</v>
          </cell>
          <cell r="CL97">
            <v>8.3223518982665752</v>
          </cell>
          <cell r="CM97">
            <v>4.932832653471257</v>
          </cell>
          <cell r="CN97">
            <v>1.3657401463528389</v>
          </cell>
        </row>
        <row r="98">
          <cell r="B98" t="str">
            <v>SL122</v>
          </cell>
          <cell r="CH98">
            <v>317.39790493518467</v>
          </cell>
          <cell r="CI98">
            <v>244.11094647924551</v>
          </cell>
          <cell r="CJ98">
            <v>201.06456249378147</v>
          </cell>
          <cell r="CK98">
            <v>136.0632276680779</v>
          </cell>
          <cell r="CL98">
            <v>96.417310135563127</v>
          </cell>
          <cell r="CM98">
            <v>57.349375216460025</v>
          </cell>
          <cell r="CN98">
            <v>15.911362493166127</v>
          </cell>
        </row>
        <row r="99">
          <cell r="B99" t="str">
            <v>SL150</v>
          </cell>
          <cell r="CH99">
            <v>50.57593310083098</v>
          </cell>
          <cell r="CI99">
            <v>35.891489825268096</v>
          </cell>
          <cell r="CJ99">
            <v>29.115945659016727</v>
          </cell>
          <cell r="CK99">
            <v>19.681466002040018</v>
          </cell>
          <cell r="CL99">
            <v>14.092266992631775</v>
          </cell>
          <cell r="CM99">
            <v>8.3710528766698076</v>
          </cell>
          <cell r="CN99">
            <v>2.3374113985130505</v>
          </cell>
        </row>
        <row r="100">
          <cell r="B100" t="str">
            <v>SL151</v>
          </cell>
          <cell r="CH100">
            <v>90.238752210666959</v>
          </cell>
          <cell r="CI100">
            <v>64.052796753716294</v>
          </cell>
          <cell r="CJ100">
            <v>52.815642111733084</v>
          </cell>
          <cell r="CK100">
            <v>35.373280269649939</v>
          </cell>
          <cell r="CL100">
            <v>25.647630780392717</v>
          </cell>
          <cell r="CM100">
            <v>14.848990906670084</v>
          </cell>
          <cell r="CN100">
            <v>4.1485726467589865</v>
          </cell>
        </row>
        <row r="101">
          <cell r="B101" t="str">
            <v>SL111</v>
          </cell>
          <cell r="CH101">
            <v>2.5460326320373344E-2</v>
          </cell>
          <cell r="CI101">
            <v>1.7443821364876912E-2</v>
          </cell>
          <cell r="CJ101">
            <v>9.9230532330876493E-3</v>
          </cell>
          <cell r="CK101">
            <v>5.8080159806898546E-3</v>
          </cell>
          <cell r="CL101">
            <v>3.653599200956805E-3</v>
          </cell>
          <cell r="CM101">
            <v>1.8232389673154775E-3</v>
          </cell>
          <cell r="CN101">
            <v>1.2100274419827453E-3</v>
          </cell>
        </row>
        <row r="102">
          <cell r="B102" t="str">
            <v>SL112</v>
          </cell>
          <cell r="CH102">
            <v>0.26390109322004901</v>
          </cell>
          <cell r="CI102">
            <v>0.16289872014343418</v>
          </cell>
          <cell r="CJ102">
            <v>9.2677745058750566E-2</v>
          </cell>
          <cell r="CK102">
            <v>5.4296697224290237E-2</v>
          </cell>
          <cell r="CL102">
            <v>3.4160070635008533E-2</v>
          </cell>
          <cell r="CM102">
            <v>1.7062245086422786E-2</v>
          </cell>
          <cell r="CN102">
            <v>1.1693608377516054E-2</v>
          </cell>
        </row>
        <row r="103">
          <cell r="B103" t="str">
            <v>SL140</v>
          </cell>
          <cell r="CH103">
            <v>2.2688054645675255E-2</v>
          </cell>
          <cell r="CI103">
            <v>1.1844891926113198E-2</v>
          </cell>
          <cell r="CJ103">
            <v>6.7404131939613468E-3</v>
          </cell>
          <cell r="CK103">
            <v>3.9483876218890717E-3</v>
          </cell>
          <cell r="CL103">
            <v>2.4838688213235727E-3</v>
          </cell>
          <cell r="CM103">
            <v>1.2403374795736037E-3</v>
          </cell>
          <cell r="CN103">
            <v>8.4195409820305095E-4</v>
          </cell>
        </row>
        <row r="104">
          <cell r="B104" t="str">
            <v>SL144</v>
          </cell>
          <cell r="CH104">
            <v>2.3177033749369989E-2</v>
          </cell>
          <cell r="CI104">
            <v>1.7165517304555684E-2</v>
          </cell>
          <cell r="CJ104">
            <v>9.7686070564752276E-3</v>
          </cell>
          <cell r="CK104">
            <v>5.7257283976875715E-3</v>
          </cell>
          <cell r="CL104">
            <v>3.6029326072723588E-3</v>
          </cell>
          <cell r="CM104">
            <v>1.7999577702504169E-3</v>
          </cell>
          <cell r="CN104">
            <v>1.2451944475891283E-3</v>
          </cell>
        </row>
        <row r="105">
          <cell r="B105" t="str">
            <v>SS011</v>
          </cell>
          <cell r="CH105">
            <v>0.64452749414131216</v>
          </cell>
          <cell r="CI105">
            <v>0.59458382681252953</v>
          </cell>
          <cell r="CJ105">
            <v>0.60355212132369052</v>
          </cell>
          <cell r="CK105">
            <v>0.58226645232993612</v>
          </cell>
          <cell r="CL105">
            <v>0.57937083981357884</v>
          </cell>
          <cell r="CM105">
            <v>0.6043071334881488</v>
          </cell>
          <cell r="CN105">
            <v>0.58698495500947612</v>
          </cell>
        </row>
        <row r="106">
          <cell r="B106" t="str">
            <v>SS012</v>
          </cell>
          <cell r="CH106">
            <v>0.33606770394807806</v>
          </cell>
          <cell r="CI106">
            <v>0.25086335002026466</v>
          </cell>
          <cell r="CJ106">
            <v>0.27168589279644795</v>
          </cell>
          <cell r="CK106">
            <v>0.27577111475250976</v>
          </cell>
          <cell r="CL106">
            <v>0.27176895245244859</v>
          </cell>
          <cell r="CM106">
            <v>0.27877466167043419</v>
          </cell>
          <cell r="CN106">
            <v>0.2823139595559066</v>
          </cell>
        </row>
        <row r="107">
          <cell r="B107" t="str">
            <v>SS013</v>
          </cell>
          <cell r="CH107">
            <v>9.8567660667483264E-2</v>
          </cell>
          <cell r="CI107">
            <v>5.5271794645507098E-2</v>
          </cell>
          <cell r="CJ107">
            <v>7.4940711450580427E-2</v>
          </cell>
          <cell r="CK107">
            <v>7.5132590743183181E-2</v>
          </cell>
          <cell r="CL107">
            <v>8.3666502786469005E-2</v>
          </cell>
          <cell r="CM107">
            <v>9.9758255918570085E-2</v>
          </cell>
          <cell r="CN107">
            <v>0.10226298596529773</v>
          </cell>
        </row>
        <row r="108">
          <cell r="B108" t="str">
            <v>SS014</v>
          </cell>
          <cell r="CH108">
            <v>8.1371176520587091E-2</v>
          </cell>
          <cell r="CI108">
            <v>5.4763612248347131E-2</v>
          </cell>
          <cell r="CJ108">
            <v>6.9302641170166143E-2</v>
          </cell>
          <cell r="CK108">
            <v>6.7473033598305421E-2</v>
          </cell>
          <cell r="CL108">
            <v>7.1600642985214888E-2</v>
          </cell>
          <cell r="CM108">
            <v>0.10148136290904004</v>
          </cell>
          <cell r="CN108">
            <v>9.7112014807530442E-2</v>
          </cell>
        </row>
        <row r="109">
          <cell r="B109" t="str">
            <v>SS015</v>
          </cell>
          <cell r="CH109">
            <v>7.1476305241436426</v>
          </cell>
          <cell r="CI109">
            <v>5.6938112804724401</v>
          </cell>
          <cell r="CJ109">
            <v>5.7930657548296054</v>
          </cell>
          <cell r="CK109">
            <v>4.8561876899568874</v>
          </cell>
          <cell r="CL109">
            <v>3.7740881631292216</v>
          </cell>
          <cell r="CM109">
            <v>2.8012412096133552</v>
          </cell>
          <cell r="CN109">
            <v>1.2476240638780847</v>
          </cell>
        </row>
        <row r="110">
          <cell r="B110" t="str">
            <v>SS016</v>
          </cell>
          <cell r="CH110">
            <v>7.2794247853714928</v>
          </cell>
          <cell r="CI110">
            <v>5.3726351727585486</v>
          </cell>
          <cell r="CJ110">
            <v>5.5249361495429685</v>
          </cell>
          <cell r="CK110">
            <v>4.6365402946284497</v>
          </cell>
          <cell r="CL110">
            <v>3.646892360117036</v>
          </cell>
          <cell r="CM110">
            <v>2.6671515653098004</v>
          </cell>
          <cell r="CN110">
            <v>1.1898640967855878</v>
          </cell>
        </row>
        <row r="111">
          <cell r="B111" t="str">
            <v>SS017</v>
          </cell>
          <cell r="CH111">
            <v>15.898193385956191</v>
          </cell>
          <cell r="CI111">
            <v>14.795178226086268</v>
          </cell>
          <cell r="CJ111">
            <v>18.48752513791958</v>
          </cell>
          <cell r="CK111">
            <v>19.68175277140358</v>
          </cell>
          <cell r="CL111">
            <v>20.976883488592911</v>
          </cell>
          <cell r="CM111">
            <v>22.288961197018555</v>
          </cell>
          <cell r="CN111">
            <v>24.084900291428895</v>
          </cell>
        </row>
        <row r="112">
          <cell r="B112" t="str">
            <v>SS018</v>
          </cell>
          <cell r="CH112">
            <v>15.323297314728416</v>
          </cell>
          <cell r="CI112">
            <v>12.60920335304511</v>
          </cell>
          <cell r="CJ112">
            <v>15.791574183871926</v>
          </cell>
          <cell r="CK112">
            <v>16.404766928495278</v>
          </cell>
          <cell r="CL112">
            <v>17.400054654693768</v>
          </cell>
          <cell r="CM112">
            <v>18.808182330817637</v>
          </cell>
          <cell r="CN112">
            <v>20.096103219845951</v>
          </cell>
        </row>
        <row r="113">
          <cell r="B113" t="str">
            <v>SS021</v>
          </cell>
          <cell r="CH113">
            <v>3.9785799054609159</v>
          </cell>
          <cell r="CI113">
            <v>4.411650551339628</v>
          </cell>
          <cell r="CJ113">
            <v>5.3197110160164138</v>
          </cell>
          <cell r="CK113">
            <v>6.1911008679285526</v>
          </cell>
          <cell r="CL113">
            <v>7.1661545877241348</v>
          </cell>
          <cell r="CM113">
            <v>8.5653924473037506</v>
          </cell>
          <cell r="CN113">
            <v>9.0705688891649725</v>
          </cell>
        </row>
        <row r="114">
          <cell r="B114" t="str">
            <v>SS022</v>
          </cell>
          <cell r="CH114">
            <v>1.7946890666542292</v>
          </cell>
          <cell r="CI114">
            <v>1.6750347550190168</v>
          </cell>
          <cell r="CJ114">
            <v>2.0430203370314821</v>
          </cell>
          <cell r="CK114">
            <v>2.3827762927891651</v>
          </cell>
          <cell r="CL114">
            <v>2.7158044236801615</v>
          </cell>
          <cell r="CM114">
            <v>3.2843771713968315</v>
          </cell>
          <cell r="CN114">
            <v>3.5437124864832947</v>
          </cell>
        </row>
        <row r="115">
          <cell r="B115" t="str">
            <v>SS023</v>
          </cell>
          <cell r="CH115">
            <v>0.73155386598173944</v>
          </cell>
          <cell r="CI115">
            <v>0.49215055832057514</v>
          </cell>
          <cell r="CJ115">
            <v>0.68914624551285386</v>
          </cell>
          <cell r="CK115">
            <v>0.71376461480318432</v>
          </cell>
          <cell r="CL115">
            <v>0.82113833290958793</v>
          </cell>
          <cell r="CM115">
            <v>1.0118829562793215</v>
          </cell>
          <cell r="CN115">
            <v>1.072709807492731</v>
          </cell>
        </row>
        <row r="116">
          <cell r="B116" t="str">
            <v>SS024</v>
          </cell>
          <cell r="CH116">
            <v>0.18162571107435535</v>
          </cell>
          <cell r="CI116">
            <v>0.15994173281535087</v>
          </cell>
          <cell r="CJ116">
            <v>0.20822912570500424</v>
          </cell>
          <cell r="CK116">
            <v>0.20862990106036217</v>
          </cell>
          <cell r="CL116">
            <v>0.22786038544995424</v>
          </cell>
          <cell r="CM116">
            <v>0.33250975097640795</v>
          </cell>
          <cell r="CN116">
            <v>0.32775007932797717</v>
          </cell>
        </row>
        <row r="117">
          <cell r="B117" t="str">
            <v>SS025</v>
          </cell>
          <cell r="CH117">
            <v>2.4916083482398781</v>
          </cell>
          <cell r="CI117">
            <v>2.6372466513902557</v>
          </cell>
          <cell r="CJ117">
            <v>2.7447827995952103</v>
          </cell>
          <cell r="CK117">
            <v>2.2561321393205498</v>
          </cell>
          <cell r="CL117">
            <v>1.7969332879178204</v>
          </cell>
          <cell r="CM117">
            <v>1.3204722869535972</v>
          </cell>
          <cell r="CN117">
            <v>0.58006589284701882</v>
          </cell>
        </row>
        <row r="118">
          <cell r="B118" t="str">
            <v>SS026</v>
          </cell>
          <cell r="CH118">
            <v>4.2502149035626875</v>
          </cell>
          <cell r="CI118">
            <v>4.2672564730075724</v>
          </cell>
          <cell r="CJ118">
            <v>4.3490493001758832</v>
          </cell>
          <cell r="CK118">
            <v>3.5689125906748851</v>
          </cell>
          <cell r="CL118">
            <v>2.8234838590156506</v>
          </cell>
          <cell r="CM118">
            <v>2.0610112824629403</v>
          </cell>
          <cell r="CN118">
            <v>0.88741059708065806</v>
          </cell>
        </row>
        <row r="119">
          <cell r="B119" t="str">
            <v>SS027</v>
          </cell>
          <cell r="CH119">
            <v>5.7192990038238021</v>
          </cell>
          <cell r="CI119">
            <v>7.2708682589837625</v>
          </cell>
          <cell r="CJ119">
            <v>9.0594420166343284</v>
          </cell>
          <cell r="CK119">
            <v>9.7478074964349002</v>
          </cell>
          <cell r="CL119">
            <v>10.342058861881199</v>
          </cell>
          <cell r="CM119">
            <v>10.91540861400059</v>
          </cell>
          <cell r="CN119">
            <v>11.920345632457444</v>
          </cell>
        </row>
        <row r="120">
          <cell r="B120" t="str">
            <v>SS028</v>
          </cell>
          <cell r="CH120">
            <v>17.961588584187137</v>
          </cell>
          <cell r="CI120">
            <v>15.527577029809446</v>
          </cell>
          <cell r="CJ120">
            <v>19.278243340168935</v>
          </cell>
          <cell r="CK120">
            <v>20.360375671232362</v>
          </cell>
          <cell r="CL120">
            <v>21.611157980497886</v>
          </cell>
          <cell r="CM120">
            <v>22.643972816814582</v>
          </cell>
          <cell r="CN120">
            <v>24.126986754795688</v>
          </cell>
        </row>
        <row r="121">
          <cell r="B121" t="str">
            <v>SS031</v>
          </cell>
          <cell r="CH121">
            <v>0.61736473098219335</v>
          </cell>
          <cell r="CI121">
            <v>1.0948738906781561</v>
          </cell>
          <cell r="CJ121">
            <v>1.3326549095962268</v>
          </cell>
          <cell r="CK121">
            <v>1.531660721686549</v>
          </cell>
          <cell r="CL121">
            <v>1.7931054373796098</v>
          </cell>
          <cell r="CM121">
            <v>2.0929611509764858</v>
          </cell>
          <cell r="CN121">
            <v>2.2602456279883221</v>
          </cell>
        </row>
        <row r="122">
          <cell r="B122" t="str">
            <v>SS032</v>
          </cell>
          <cell r="CH122">
            <v>0.62235091790557173</v>
          </cell>
          <cell r="CI122">
            <v>1.0230409586462759</v>
          </cell>
          <cell r="CJ122">
            <v>1.2635239887948693</v>
          </cell>
          <cell r="CK122">
            <v>1.4523098898536579</v>
          </cell>
          <cell r="CL122">
            <v>1.6724956911166999</v>
          </cell>
          <cell r="CM122">
            <v>2.0315847188900862</v>
          </cell>
          <cell r="CN122">
            <v>2.1887683393460255</v>
          </cell>
        </row>
        <row r="123">
          <cell r="B123" t="str">
            <v>SS033</v>
          </cell>
          <cell r="CH123">
            <v>5.5356962436392029E-2</v>
          </cell>
          <cell r="CI123">
            <v>7.2800500456415937E-2</v>
          </cell>
          <cell r="CJ123">
            <v>9.8576911649676552E-2</v>
          </cell>
          <cell r="CK123">
            <v>9.8731642615163595E-2</v>
          </cell>
          <cell r="CL123">
            <v>0.10981204893745816</v>
          </cell>
          <cell r="CM123">
            <v>0.13080757814223762</v>
          </cell>
          <cell r="CN123">
            <v>0.13398147736642538</v>
          </cell>
        </row>
        <row r="124">
          <cell r="B124" t="str">
            <v>SS034</v>
          </cell>
          <cell r="CH124">
            <v>7.6544938827745143E-2</v>
          </cell>
          <cell r="CI124">
            <v>9.9209128525028376E-2</v>
          </cell>
          <cell r="CJ124">
            <v>0.12573148893120148</v>
          </cell>
          <cell r="CK124">
            <v>0.12256545551461334</v>
          </cell>
          <cell r="CL124">
            <v>0.13023793964094046</v>
          </cell>
          <cell r="CM124">
            <v>0.18479559883140964</v>
          </cell>
          <cell r="CN124">
            <v>0.17697136958257659</v>
          </cell>
        </row>
        <row r="125">
          <cell r="B125" t="str">
            <v>SS035</v>
          </cell>
          <cell r="CH125">
            <v>9.6094494146326787E-2</v>
          </cell>
          <cell r="CI125">
            <v>0.13262118088593253</v>
          </cell>
          <cell r="CJ125">
            <v>0.13328149789031568</v>
          </cell>
          <cell r="CK125">
            <v>0.11163118631891429</v>
          </cell>
          <cell r="CL125">
            <v>8.5920920792720956E-2</v>
          </cell>
          <cell r="CM125">
            <v>6.3694707541420259E-2</v>
          </cell>
          <cell r="CN125">
            <v>2.8041810938407644E-2</v>
          </cell>
        </row>
        <row r="126">
          <cell r="B126" t="str">
            <v>SS036</v>
          </cell>
          <cell r="CH126">
            <v>0.13483103701229032</v>
          </cell>
          <cell r="CI126">
            <v>0.24941684252562729</v>
          </cell>
          <cell r="CJ126">
            <v>0.25584480139635485</v>
          </cell>
          <cell r="CK126">
            <v>0.21074938003113181</v>
          </cell>
          <cell r="CL126">
            <v>0.16762709417844651</v>
          </cell>
          <cell r="CM126">
            <v>0.12223614788040685</v>
          </cell>
          <cell r="CN126">
            <v>5.3278536667999282E-2</v>
          </cell>
        </row>
        <row r="127">
          <cell r="B127" t="str">
            <v>SS037</v>
          </cell>
          <cell r="CH127">
            <v>0.27267742558683156</v>
          </cell>
          <cell r="CI127">
            <v>0.4560229207381653</v>
          </cell>
          <cell r="CJ127">
            <v>0.56641997234040398</v>
          </cell>
          <cell r="CK127">
            <v>0.61158384803413968</v>
          </cell>
          <cell r="CL127">
            <v>0.64964194171243594</v>
          </cell>
          <cell r="CM127">
            <v>0.68820980701852863</v>
          </cell>
          <cell r="CN127">
            <v>0.7588342989098682</v>
          </cell>
        </row>
        <row r="128">
          <cell r="B128" t="str">
            <v>SS038</v>
          </cell>
          <cell r="CH128">
            <v>0.50317632258259337</v>
          </cell>
          <cell r="CI128">
            <v>0.89346166089872203</v>
          </cell>
          <cell r="CJ128">
            <v>1.1105990866088802</v>
          </cell>
          <cell r="CK128">
            <v>1.1601899841267163</v>
          </cell>
          <cell r="CL128">
            <v>1.2316674052014429</v>
          </cell>
          <cell r="CM128">
            <v>1.2851214502504034</v>
          </cell>
          <cell r="CN128">
            <v>1.3749373604542434</v>
          </cell>
        </row>
        <row r="129">
          <cell r="B129" t="str">
            <v>SS041</v>
          </cell>
          <cell r="CH129">
            <v>0.64873693504005348</v>
          </cell>
          <cell r="CI129">
            <v>0.78033445952962399</v>
          </cell>
          <cell r="CJ129">
            <v>0.93869614111192212</v>
          </cell>
          <cell r="CK129">
            <v>1.0864505890998466</v>
          </cell>
          <cell r="CL129">
            <v>1.2612463468156521</v>
          </cell>
          <cell r="CM129">
            <v>1.4818448154440433</v>
          </cell>
          <cell r="CN129">
            <v>1.5982317611143066</v>
          </cell>
        </row>
        <row r="130">
          <cell r="B130" t="str">
            <v>SS042</v>
          </cell>
          <cell r="CH130">
            <v>0.22812413452243999</v>
          </cell>
          <cell r="CI130">
            <v>0.260282181144044</v>
          </cell>
          <cell r="CJ130">
            <v>0.31766252715072674</v>
          </cell>
          <cell r="CK130">
            <v>0.36822176420404951</v>
          </cell>
          <cell r="CL130">
            <v>0.42140215136696674</v>
          </cell>
          <cell r="CM130">
            <v>0.50827596789507079</v>
          </cell>
          <cell r="CN130">
            <v>0.54548197739579463</v>
          </cell>
        </row>
        <row r="131">
          <cell r="B131" t="str">
            <v>SS043</v>
          </cell>
          <cell r="CH131">
            <v>7.8944755704811756E-2</v>
          </cell>
          <cell r="CI131">
            <v>4.3027030280643669E-2</v>
          </cell>
          <cell r="CJ131">
            <v>5.8249522456346813E-2</v>
          </cell>
          <cell r="CK131">
            <v>5.8319723190204092E-2</v>
          </cell>
          <cell r="CL131">
            <v>6.4853782296908191E-2</v>
          </cell>
          <cell r="CM131">
            <v>7.7240618646330542E-2</v>
          </cell>
          <cell r="CN131">
            <v>7.9108703139208689E-2</v>
          </cell>
        </row>
        <row r="132">
          <cell r="B132" t="str">
            <v>SS044</v>
          </cell>
          <cell r="CH132">
            <v>3.8864303430505842E-2</v>
          </cell>
          <cell r="CI132">
            <v>3.3498314915753356E-2</v>
          </cell>
          <cell r="CJ132">
            <v>4.2389917623647792E-2</v>
          </cell>
          <cell r="CK132">
            <v>4.127526011494672E-2</v>
          </cell>
          <cell r="CL132">
            <v>4.3803256286160393E-2</v>
          </cell>
          <cell r="CM132">
            <v>6.2093270919947131E-2</v>
          </cell>
          <cell r="CN132">
            <v>5.9429599049816172E-2</v>
          </cell>
        </row>
        <row r="133">
          <cell r="B133" t="str">
            <v>SS045</v>
          </cell>
          <cell r="CH133">
            <v>7.9643055194835971E-2</v>
          </cell>
          <cell r="CI133">
            <v>8.0319758881460424E-2</v>
          </cell>
          <cell r="CJ133">
            <v>8.3019276578732759E-2</v>
          </cell>
          <cell r="CK133">
            <v>6.9444072669908125E-2</v>
          </cell>
          <cell r="CL133">
            <v>5.4379762938068628E-2</v>
          </cell>
          <cell r="CM133">
            <v>4.0419657905400919E-2</v>
          </cell>
          <cell r="CN133">
            <v>1.7721736682748158E-2</v>
          </cell>
        </row>
        <row r="134">
          <cell r="B134" t="str">
            <v>SS046</v>
          </cell>
          <cell r="CH134">
            <v>0.14956052948468196</v>
          </cell>
          <cell r="CI134">
            <v>0.16283121728103453</v>
          </cell>
          <cell r="CJ134">
            <v>0.16565668536379213</v>
          </cell>
          <cell r="CK134">
            <v>0.13727091452757498</v>
          </cell>
          <cell r="CL134">
            <v>0.1066526916234169</v>
          </cell>
          <cell r="CM134">
            <v>7.7900786091916557E-2</v>
          </cell>
          <cell r="CN134">
            <v>3.384023845560654E-2</v>
          </cell>
        </row>
        <row r="135">
          <cell r="B135" t="str">
            <v>SS047</v>
          </cell>
          <cell r="CH135">
            <v>0.25650122936811587</v>
          </cell>
          <cell r="CI135">
            <v>0.30233917831351109</v>
          </cell>
          <cell r="CJ135">
            <v>0.38553796905490817</v>
          </cell>
          <cell r="CK135">
            <v>0.41072252690583244</v>
          </cell>
          <cell r="CL135">
            <v>0.43818591073872082</v>
          </cell>
          <cell r="CM135">
            <v>0.47004818587584329</v>
          </cell>
          <cell r="CN135">
            <v>0.51085315014798582</v>
          </cell>
        </row>
        <row r="136">
          <cell r="B136" t="str">
            <v>SS048</v>
          </cell>
          <cell r="CH136">
            <v>0.4531546471780773</v>
          </cell>
          <cell r="CI136">
            <v>0.44836418790341664</v>
          </cell>
          <cell r="CJ136">
            <v>0.56736960637109457</v>
          </cell>
          <cell r="CK136">
            <v>0.59760604549712004</v>
          </cell>
          <cell r="CL136">
            <v>0.63479155821832745</v>
          </cell>
          <cell r="CM136">
            <v>0.67419729690200714</v>
          </cell>
          <cell r="CN136">
            <v>0.72556456382135781</v>
          </cell>
        </row>
        <row r="137">
          <cell r="B137" t="str">
            <v>SS100</v>
          </cell>
          <cell r="CH137">
            <v>0</v>
          </cell>
          <cell r="CI137">
            <v>0</v>
          </cell>
          <cell r="CJ137">
            <v>0</v>
          </cell>
          <cell r="CK137">
            <v>0</v>
          </cell>
          <cell r="CL137">
            <v>0</v>
          </cell>
          <cell r="CM137">
            <v>0</v>
          </cell>
          <cell r="CN137">
            <v>0</v>
          </cell>
        </row>
        <row r="138">
          <cell r="B138" t="str">
            <v>SS101</v>
          </cell>
          <cell r="CH138">
            <v>0</v>
          </cell>
          <cell r="CI138">
            <v>0</v>
          </cell>
          <cell r="CJ138">
            <v>0</v>
          </cell>
          <cell r="CK138">
            <v>0</v>
          </cell>
          <cell r="CL138">
            <v>0</v>
          </cell>
          <cell r="CM138">
            <v>0</v>
          </cell>
          <cell r="CN138">
            <v>0</v>
          </cell>
        </row>
        <row r="139">
          <cell r="B139" t="str">
            <v>SS102</v>
          </cell>
          <cell r="CH139">
            <v>0</v>
          </cell>
          <cell r="CI139">
            <v>0</v>
          </cell>
          <cell r="CJ139">
            <v>0</v>
          </cell>
          <cell r="CK139">
            <v>0</v>
          </cell>
          <cell r="CL139">
            <v>0</v>
          </cell>
          <cell r="CM139">
            <v>0</v>
          </cell>
          <cell r="CN139">
            <v>0</v>
          </cell>
        </row>
        <row r="140">
          <cell r="B140" t="str">
            <v>SS103</v>
          </cell>
          <cell r="CH140">
            <v>0</v>
          </cell>
          <cell r="CI140">
            <v>0</v>
          </cell>
          <cell r="CJ140">
            <v>0</v>
          </cell>
          <cell r="CK140">
            <v>0</v>
          </cell>
          <cell r="CL140">
            <v>0</v>
          </cell>
          <cell r="CM140">
            <v>0</v>
          </cell>
          <cell r="CN140">
            <v>0</v>
          </cell>
        </row>
        <row r="141">
          <cell r="B141" t="str">
            <v>SS104</v>
          </cell>
          <cell r="CH141">
            <v>0</v>
          </cell>
          <cell r="CI141">
            <v>0</v>
          </cell>
          <cell r="CJ141">
            <v>0</v>
          </cell>
          <cell r="CK141">
            <v>0</v>
          </cell>
          <cell r="CL141">
            <v>0</v>
          </cell>
          <cell r="CM141">
            <v>0</v>
          </cell>
          <cell r="CN141">
            <v>0</v>
          </cell>
        </row>
        <row r="142">
          <cell r="B142" t="str">
            <v>SS105</v>
          </cell>
          <cell r="CH142">
            <v>0</v>
          </cell>
          <cell r="CI142">
            <v>0</v>
          </cell>
          <cell r="CJ142">
            <v>0</v>
          </cell>
          <cell r="CK142">
            <v>0</v>
          </cell>
          <cell r="CL142">
            <v>0</v>
          </cell>
          <cell r="CM142">
            <v>0</v>
          </cell>
          <cell r="CN142">
            <v>0</v>
          </cell>
        </row>
        <row r="143">
          <cell r="B143" t="str">
            <v>SS106</v>
          </cell>
          <cell r="CH143">
            <v>0</v>
          </cell>
          <cell r="CI143">
            <v>0</v>
          </cell>
          <cell r="CJ143">
            <v>0</v>
          </cell>
          <cell r="CK143">
            <v>0</v>
          </cell>
          <cell r="CL143">
            <v>0</v>
          </cell>
          <cell r="CM143">
            <v>0</v>
          </cell>
          <cell r="CN143">
            <v>0</v>
          </cell>
        </row>
        <row r="144">
          <cell r="B144" t="str">
            <v>SS107</v>
          </cell>
          <cell r="CH144">
            <v>0</v>
          </cell>
          <cell r="CI144">
            <v>0</v>
          </cell>
          <cell r="CJ144">
            <v>0</v>
          </cell>
          <cell r="CK144">
            <v>0</v>
          </cell>
          <cell r="CL144">
            <v>0</v>
          </cell>
          <cell r="CM144">
            <v>0</v>
          </cell>
          <cell r="CN144">
            <v>0</v>
          </cell>
        </row>
        <row r="145">
          <cell r="B145" t="str">
            <v>SS108</v>
          </cell>
          <cell r="CH145">
            <v>0</v>
          </cell>
          <cell r="CI145">
            <v>0</v>
          </cell>
          <cell r="CJ145">
            <v>0</v>
          </cell>
          <cell r="CK145">
            <v>0</v>
          </cell>
          <cell r="CL145">
            <v>0</v>
          </cell>
          <cell r="CM145">
            <v>0</v>
          </cell>
          <cell r="CN145">
            <v>0</v>
          </cell>
        </row>
        <row r="146">
          <cell r="B146" t="str">
            <v>SS110</v>
          </cell>
          <cell r="CH146">
            <v>0</v>
          </cell>
          <cell r="CI146">
            <v>0</v>
          </cell>
          <cell r="CJ146">
            <v>0</v>
          </cell>
          <cell r="CK146">
            <v>0</v>
          </cell>
          <cell r="CL146">
            <v>0</v>
          </cell>
          <cell r="CM146">
            <v>0</v>
          </cell>
          <cell r="CN146">
            <v>0</v>
          </cell>
        </row>
        <row r="147">
          <cell r="B147" t="str">
            <v>SS111</v>
          </cell>
          <cell r="CH147">
            <v>0</v>
          </cell>
          <cell r="CI147">
            <v>0</v>
          </cell>
          <cell r="CJ147">
            <v>0</v>
          </cell>
          <cell r="CK147">
            <v>0</v>
          </cell>
          <cell r="CL147">
            <v>0</v>
          </cell>
          <cell r="CM147">
            <v>0</v>
          </cell>
          <cell r="CN147">
            <v>0</v>
          </cell>
        </row>
        <row r="148">
          <cell r="B148" t="str">
            <v>SS112</v>
          </cell>
          <cell r="CH148">
            <v>0</v>
          </cell>
          <cell r="CI148">
            <v>0</v>
          </cell>
          <cell r="CJ148">
            <v>0</v>
          </cell>
          <cell r="CK148">
            <v>0</v>
          </cell>
          <cell r="CL148">
            <v>0</v>
          </cell>
          <cell r="CM148">
            <v>0</v>
          </cell>
          <cell r="CN148">
            <v>0</v>
          </cell>
        </row>
        <row r="149">
          <cell r="B149" t="str">
            <v>SS113</v>
          </cell>
          <cell r="CH149">
            <v>0</v>
          </cell>
          <cell r="CI149">
            <v>0</v>
          </cell>
          <cell r="CJ149">
            <v>0</v>
          </cell>
          <cell r="CK149">
            <v>0</v>
          </cell>
          <cell r="CL149">
            <v>0</v>
          </cell>
          <cell r="CM149">
            <v>0</v>
          </cell>
          <cell r="CN149">
            <v>0</v>
          </cell>
        </row>
        <row r="150">
          <cell r="B150" t="str">
            <v>SS114</v>
          </cell>
          <cell r="CH150">
            <v>0</v>
          </cell>
          <cell r="CI150">
            <v>0</v>
          </cell>
          <cell r="CJ150">
            <v>0</v>
          </cell>
          <cell r="CK150">
            <v>0</v>
          </cell>
          <cell r="CL150">
            <v>0</v>
          </cell>
          <cell r="CM150">
            <v>0</v>
          </cell>
          <cell r="CN150">
            <v>0</v>
          </cell>
        </row>
        <row r="151">
          <cell r="B151" t="str">
            <v>SS116</v>
          </cell>
          <cell r="CH151">
            <v>0</v>
          </cell>
          <cell r="CI151">
            <v>0</v>
          </cell>
          <cell r="CJ151">
            <v>0</v>
          </cell>
          <cell r="CK151">
            <v>0</v>
          </cell>
          <cell r="CL151">
            <v>0</v>
          </cell>
          <cell r="CM151">
            <v>0</v>
          </cell>
          <cell r="CN151">
            <v>0</v>
          </cell>
        </row>
        <row r="152">
          <cell r="B152" t="str">
            <v>SS124</v>
          </cell>
          <cell r="CH152">
            <v>0</v>
          </cell>
          <cell r="CI152">
            <v>0</v>
          </cell>
          <cell r="CJ152">
            <v>0</v>
          </cell>
          <cell r="CK152">
            <v>0</v>
          </cell>
          <cell r="CL152">
            <v>0</v>
          </cell>
          <cell r="CM152">
            <v>0</v>
          </cell>
          <cell r="CN152">
            <v>0</v>
          </cell>
        </row>
        <row r="153">
          <cell r="B153" t="str">
            <v>SS125</v>
          </cell>
          <cell r="CH153">
            <v>0.12999451296788697</v>
          </cell>
          <cell r="CI153">
            <v>8.7330610563651684E-2</v>
          </cell>
          <cell r="CJ153">
            <v>6.794359281096829E-2</v>
          </cell>
          <cell r="CK153">
            <v>4.2745356206399077E-2</v>
          </cell>
          <cell r="CL153">
            <v>1.3085167317807378E-2</v>
          </cell>
          <cell r="CM153">
            <v>1.7990029648834757E-3</v>
          </cell>
          <cell r="CN153">
            <v>0</v>
          </cell>
        </row>
        <row r="154">
          <cell r="B154" t="str">
            <v>SS126</v>
          </cell>
          <cell r="CH154">
            <v>0.48910536510572511</v>
          </cell>
          <cell r="CI154">
            <v>0.28472193958813174</v>
          </cell>
          <cell r="CJ154">
            <v>0.2204028773984093</v>
          </cell>
          <cell r="CK154">
            <v>0.1403513979758246</v>
          </cell>
          <cell r="CL154">
            <v>4.3312937611923355E-2</v>
          </cell>
          <cell r="CM154">
            <v>7.6516594908732673E-3</v>
          </cell>
          <cell r="CN154">
            <v>0</v>
          </cell>
        </row>
        <row r="155">
          <cell r="B155" t="str">
            <v>SS127</v>
          </cell>
          <cell r="CH155">
            <v>21.73270307376357</v>
          </cell>
          <cell r="CI155">
            <v>17.32009674090725</v>
          </cell>
          <cell r="CJ155">
            <v>14.699926715961125</v>
          </cell>
          <cell r="CK155">
            <v>11.937092252787888</v>
          </cell>
          <cell r="CL155">
            <v>9.2643617672721597</v>
          </cell>
          <cell r="CM155">
            <v>7.0375271477960197</v>
          </cell>
          <cell r="CN155">
            <v>3.8987838992025567</v>
          </cell>
        </row>
        <row r="156">
          <cell r="B156" t="str">
            <v>SS128</v>
          </cell>
          <cell r="CH156">
            <v>21.516057156270556</v>
          </cell>
          <cell r="CI156">
            <v>18.511156328103116</v>
          </cell>
          <cell r="CJ156">
            <v>15.209920639457943</v>
          </cell>
          <cell r="CK156">
            <v>12.264373792658187</v>
          </cell>
          <cell r="CL156">
            <v>9.498587999907997</v>
          </cell>
          <cell r="CM156">
            <v>7.2275818178152509</v>
          </cell>
          <cell r="CN156">
            <v>3.9165522181602963</v>
          </cell>
        </row>
        <row r="157">
          <cell r="B157" t="str">
            <v>SS129</v>
          </cell>
          <cell r="CH157">
            <v>19.287591870074269</v>
          </cell>
          <cell r="CI157">
            <v>21.823428065845</v>
          </cell>
          <cell r="CJ157">
            <v>24.941991824164514</v>
          </cell>
          <cell r="CK157">
            <v>26.658555891446277</v>
          </cell>
          <cell r="CL157">
            <v>28.041666664706167</v>
          </cell>
          <cell r="CM157">
            <v>28.954359162613258</v>
          </cell>
          <cell r="CN157">
            <v>30.693665079742132</v>
          </cell>
        </row>
        <row r="158">
          <cell r="B158" t="str">
            <v>SS130</v>
          </cell>
          <cell r="CH158">
            <v>24.86861606771301</v>
          </cell>
          <cell r="CI158">
            <v>23.518548791484289</v>
          </cell>
          <cell r="CJ158">
            <v>27.2567508369224</v>
          </cell>
          <cell r="CK158">
            <v>28.982842849355301</v>
          </cell>
          <cell r="CL158">
            <v>30.247939974352938</v>
          </cell>
          <cell r="CM158">
            <v>30.806699412079585</v>
          </cell>
          <cell r="CN158">
            <v>32.529894509901752</v>
          </cell>
        </row>
        <row r="159">
          <cell r="B159" t="str">
            <v>SS131</v>
          </cell>
          <cell r="CH159">
            <v>0.23120984729678701</v>
          </cell>
          <cell r="CI159">
            <v>0.14931826019858674</v>
          </cell>
          <cell r="CJ159">
            <v>0.12387275729486075</v>
          </cell>
          <cell r="CK159">
            <v>9.486210384532591E-2</v>
          </cell>
          <cell r="CL159">
            <v>6.8958945339691768E-2</v>
          </cell>
          <cell r="CM159">
            <v>4.6869995655107841E-2</v>
          </cell>
          <cell r="CN159">
            <v>1.9065652255714518E-2</v>
          </cell>
        </row>
        <row r="160">
          <cell r="B160" t="str">
            <v>SS132</v>
          </cell>
          <cell r="CH160">
            <v>0.45417820223522087</v>
          </cell>
          <cell r="CI160">
            <v>0.3258380088004999</v>
          </cell>
          <cell r="CJ160">
            <v>0.27047497765166117</v>
          </cell>
          <cell r="CK160">
            <v>0.20942731919129373</v>
          </cell>
          <cell r="CL160">
            <v>0.15266063993024676</v>
          </cell>
          <cell r="CM160">
            <v>0.10419873417878597</v>
          </cell>
          <cell r="CN160">
            <v>4.1067841046167057E-2</v>
          </cell>
        </row>
        <row r="161">
          <cell r="B161" t="str">
            <v>SS133</v>
          </cell>
          <cell r="CH161">
            <v>10.745300336740774</v>
          </cell>
          <cell r="CI161">
            <v>8.0858883165579574</v>
          </cell>
          <cell r="CJ161">
            <v>6.7636478549257966</v>
          </cell>
          <cell r="CK161">
            <v>5.297731603995647</v>
          </cell>
          <cell r="CL161">
            <v>3.8215098939050769</v>
          </cell>
          <cell r="CM161">
            <v>2.6207893573210876</v>
          </cell>
          <cell r="CN161">
            <v>1.0432061253597829</v>
          </cell>
        </row>
        <row r="162">
          <cell r="B162" t="str">
            <v>SS134</v>
          </cell>
          <cell r="CH162">
            <v>11.436188312558411</v>
          </cell>
          <cell r="CI162">
            <v>10.127523020209221</v>
          </cell>
          <cell r="CJ162">
            <v>8.5574430575885394</v>
          </cell>
          <cell r="CK162">
            <v>6.6647510907389167</v>
          </cell>
          <cell r="CL162">
            <v>4.7983221025876386</v>
          </cell>
          <cell r="CM162">
            <v>3.2246539700763668</v>
          </cell>
          <cell r="CN162">
            <v>1.2961709774863985</v>
          </cell>
        </row>
        <row r="163">
          <cell r="B163" t="str">
            <v>SS135</v>
          </cell>
          <cell r="CH163">
            <v>17.653584084385663</v>
          </cell>
          <cell r="CI163">
            <v>17.029769728105819</v>
          </cell>
          <cell r="CJ163">
            <v>17.240449248108288</v>
          </cell>
          <cell r="CK163">
            <v>16.879850008857417</v>
          </cell>
          <cell r="CL163">
            <v>16.659792020587915</v>
          </cell>
          <cell r="CM163">
            <v>16.293965287129136</v>
          </cell>
          <cell r="CN163">
            <v>15.812926957017552</v>
          </cell>
        </row>
        <row r="164">
          <cell r="B164" t="str">
            <v>SS136</v>
          </cell>
          <cell r="CH164">
            <v>26.378359380678685</v>
          </cell>
          <cell r="CI164">
            <v>21.255835871258743</v>
          </cell>
          <cell r="CJ164">
            <v>21.564545291878254</v>
          </cell>
          <cell r="CK164">
            <v>21.619558112854396</v>
          </cell>
          <cell r="CL164">
            <v>21.55065214579021</v>
          </cell>
          <cell r="CM164">
            <v>21.065439384591642</v>
          </cell>
          <cell r="CN164">
            <v>21.267241592323426</v>
          </cell>
        </row>
        <row r="165">
          <cell r="B165" t="str">
            <v>SS137</v>
          </cell>
          <cell r="CH165">
            <v>4.7122333400933343</v>
          </cell>
          <cell r="CI165">
            <v>3.367185194334374</v>
          </cell>
          <cell r="CJ165">
            <v>3.2001343881258948</v>
          </cell>
          <cell r="CK165">
            <v>3.1875991833789734</v>
          </cell>
          <cell r="CL165">
            <v>3.0858662303627313</v>
          </cell>
          <cell r="CM165">
            <v>3.0633455034073966</v>
          </cell>
          <cell r="CN165">
            <v>2.8631586157386111</v>
          </cell>
        </row>
        <row r="166">
          <cell r="B166" t="str">
            <v>SS138</v>
          </cell>
          <cell r="CH166">
            <v>2.0161776224802432</v>
          </cell>
          <cell r="CI166">
            <v>2.1200594065642249</v>
          </cell>
          <cell r="CJ166">
            <v>2.356450271202613</v>
          </cell>
          <cell r="CK166">
            <v>2.3436267521418124</v>
          </cell>
          <cell r="CL166">
            <v>2.30218392467583</v>
          </cell>
          <cell r="CM166">
            <v>2.30323797482649</v>
          </cell>
          <cell r="CN166">
            <v>2.3436952210788569</v>
          </cell>
        </row>
        <row r="167">
          <cell r="B167" t="str">
            <v>SS141</v>
          </cell>
          <cell r="CH167">
            <v>0</v>
          </cell>
          <cell r="CI167">
            <v>0</v>
          </cell>
          <cell r="CJ167">
            <v>0</v>
          </cell>
          <cell r="CK167">
            <v>0</v>
          </cell>
          <cell r="CL167">
            <v>0</v>
          </cell>
          <cell r="CM167">
            <v>0</v>
          </cell>
          <cell r="CN167">
            <v>0</v>
          </cell>
        </row>
        <row r="168">
          <cell r="B168" t="str">
            <v>SS143</v>
          </cell>
          <cell r="CH168">
            <v>4.3043011707189139E-4</v>
          </cell>
          <cell r="CI168">
            <v>0</v>
          </cell>
          <cell r="CJ168">
            <v>0</v>
          </cell>
          <cell r="CK168">
            <v>0</v>
          </cell>
          <cell r="CL168">
            <v>0</v>
          </cell>
          <cell r="CM168">
            <v>0</v>
          </cell>
          <cell r="CN168">
            <v>0</v>
          </cell>
        </row>
        <row r="169">
          <cell r="B169" t="str">
            <v>SS144</v>
          </cell>
          <cell r="CH169">
            <v>7.6282301300973016E-3</v>
          </cell>
          <cell r="CI169">
            <v>0</v>
          </cell>
          <cell r="CJ169">
            <v>0</v>
          </cell>
          <cell r="CK169">
            <v>0</v>
          </cell>
          <cell r="CL169">
            <v>0</v>
          </cell>
          <cell r="CM169">
            <v>0</v>
          </cell>
          <cell r="CN169">
            <v>0</v>
          </cell>
        </row>
        <row r="170">
          <cell r="B170" t="str">
            <v>SS145</v>
          </cell>
          <cell r="CH170">
            <v>1.1607591449977948</v>
          </cell>
          <cell r="CI170">
            <v>1.0142494948409602</v>
          </cell>
          <cell r="CJ170">
            <v>1.3746693794144522</v>
          </cell>
          <cell r="CK170">
            <v>1.5059521267431943</v>
          </cell>
          <cell r="CL170">
            <v>1.5943752185044251</v>
          </cell>
          <cell r="CM170">
            <v>1.7378107486695522</v>
          </cell>
          <cell r="CN170">
            <v>1.9858864110249421</v>
          </cell>
        </row>
        <row r="171">
          <cell r="B171" t="str">
            <v>SS146</v>
          </cell>
          <cell r="CH171">
            <v>2.7450369261506737</v>
          </cell>
          <cell r="CI171">
            <v>2.2364137135337949</v>
          </cell>
          <cell r="CJ171">
            <v>2.6861468976754086</v>
          </cell>
          <cell r="CK171">
            <v>2.8150246683980571</v>
          </cell>
          <cell r="CL171">
            <v>2.9512844288928015</v>
          </cell>
          <cell r="CM171">
            <v>3.2496048698543736</v>
          </cell>
          <cell r="CN171">
            <v>3.412529524440497</v>
          </cell>
        </row>
        <row r="172">
          <cell r="B172" t="str">
            <v>SS149</v>
          </cell>
          <cell r="CH172">
            <v>0</v>
          </cell>
          <cell r="CI172">
            <v>0</v>
          </cell>
          <cell r="CJ172">
            <v>0</v>
          </cell>
          <cell r="CK172">
            <v>0</v>
          </cell>
          <cell r="CL172">
            <v>0</v>
          </cell>
          <cell r="CM172">
            <v>0</v>
          </cell>
          <cell r="CN172">
            <v>0</v>
          </cell>
        </row>
        <row r="173">
          <cell r="B173" t="str">
            <v>SS157</v>
          </cell>
          <cell r="CH173">
            <v>9.020432073098989E-4</v>
          </cell>
          <cell r="CI173">
            <v>0</v>
          </cell>
          <cell r="CJ173">
            <v>0</v>
          </cell>
          <cell r="CK173">
            <v>0</v>
          </cell>
          <cell r="CL173">
            <v>0</v>
          </cell>
          <cell r="CM173">
            <v>0</v>
          </cell>
          <cell r="CN173">
            <v>0</v>
          </cell>
        </row>
        <row r="174">
          <cell r="B174" t="str">
            <v>SS158</v>
          </cell>
          <cell r="CH174">
            <v>1.1107982291693268E-3</v>
          </cell>
          <cell r="CI174">
            <v>0</v>
          </cell>
          <cell r="CJ174">
            <v>0</v>
          </cell>
          <cell r="CK174">
            <v>0</v>
          </cell>
          <cell r="CL174">
            <v>0</v>
          </cell>
          <cell r="CM174">
            <v>0</v>
          </cell>
          <cell r="CN174">
            <v>0</v>
          </cell>
        </row>
        <row r="175">
          <cell r="B175" t="str">
            <v>SS159</v>
          </cell>
          <cell r="CH175">
            <v>0.60074027202536584</v>
          </cell>
          <cell r="CI175">
            <v>0.33773063324436065</v>
          </cell>
          <cell r="CJ175">
            <v>0.19313755280769021</v>
          </cell>
          <cell r="CK175">
            <v>0.16533486346280898</v>
          </cell>
          <cell r="CL175">
            <v>0.14508799671804484</v>
          </cell>
          <cell r="CM175">
            <v>0.12000678559683663</v>
          </cell>
          <cell r="CN175">
            <v>5.7167273418687402E-2</v>
          </cell>
        </row>
        <row r="176">
          <cell r="B176" t="str">
            <v>SS160</v>
          </cell>
          <cell r="CH176">
            <v>0.68126925094873891</v>
          </cell>
          <cell r="CI176">
            <v>0.3405853652932907</v>
          </cell>
          <cell r="CJ176">
            <v>0.18100517922729698</v>
          </cell>
          <cell r="CK176">
            <v>0.15442687459770729</v>
          </cell>
          <cell r="CL176">
            <v>0.13512103113514032</v>
          </cell>
          <cell r="CM176">
            <v>0.11141110296253476</v>
          </cell>
          <cell r="CN176">
            <v>4.4912338139194215E-2</v>
          </cell>
        </row>
        <row r="177">
          <cell r="B177" t="str">
            <v>SS161</v>
          </cell>
          <cell r="CH177">
            <v>3.6945274296739492</v>
          </cell>
          <cell r="CI177">
            <v>3.4678001623962516</v>
          </cell>
          <cell r="CJ177">
            <v>3.313292781269344</v>
          </cell>
          <cell r="CK177">
            <v>2.8351796277344308</v>
          </cell>
          <cell r="CL177">
            <v>2.4858426036529822</v>
          </cell>
          <cell r="CM177">
            <v>2.0590402982677154</v>
          </cell>
          <cell r="CN177">
            <v>1.7873081389120951</v>
          </cell>
        </row>
        <row r="178">
          <cell r="B178" t="str">
            <v>SS162</v>
          </cell>
          <cell r="CH178">
            <v>2.8830586829306926</v>
          </cell>
          <cell r="CI178">
            <v>2.6661631870841096</v>
          </cell>
          <cell r="CJ178">
            <v>2.5425753052647466</v>
          </cell>
          <cell r="CK178">
            <v>2.1615729802519366</v>
          </cell>
          <cell r="CL178">
            <v>1.8817826277909251</v>
          </cell>
          <cell r="CM178">
            <v>1.5556215521908952</v>
          </cell>
          <cell r="CN178">
            <v>1.3379167774375607</v>
          </cell>
        </row>
        <row r="179">
          <cell r="B179" t="str">
            <v>SS163</v>
          </cell>
          <cell r="CH179">
            <v>0</v>
          </cell>
          <cell r="CI179">
            <v>0</v>
          </cell>
          <cell r="CJ179">
            <v>0</v>
          </cell>
          <cell r="CK179">
            <v>0</v>
          </cell>
          <cell r="CL179">
            <v>0</v>
          </cell>
          <cell r="CM179">
            <v>0</v>
          </cell>
          <cell r="CN179">
            <v>0</v>
          </cell>
        </row>
        <row r="180">
          <cell r="B180" t="str">
            <v>SS164</v>
          </cell>
          <cell r="CH180">
            <v>0</v>
          </cell>
          <cell r="CI180">
            <v>0</v>
          </cell>
          <cell r="CJ180">
            <v>0</v>
          </cell>
          <cell r="CK180">
            <v>0</v>
          </cell>
          <cell r="CL180">
            <v>0</v>
          </cell>
          <cell r="CM180">
            <v>0</v>
          </cell>
          <cell r="CN180">
            <v>0</v>
          </cell>
        </row>
        <row r="181">
          <cell r="B181" t="str">
            <v>SS165</v>
          </cell>
          <cell r="CH181">
            <v>0.27697458878124376</v>
          </cell>
          <cell r="CI181">
            <v>0.11486464731733229</v>
          </cell>
          <cell r="CJ181">
            <v>3.8005831310714361E-2</v>
          </cell>
          <cell r="CK181">
            <v>3.2481617776576502E-2</v>
          </cell>
          <cell r="CL181">
            <v>2.8449397551530125E-2</v>
          </cell>
          <cell r="CM181">
            <v>2.3495264826137313E-2</v>
          </cell>
          <cell r="CN181">
            <v>0</v>
          </cell>
        </row>
        <row r="182">
          <cell r="B182" t="str">
            <v>SS166</v>
          </cell>
          <cell r="CH182">
            <v>0.49900046138507825</v>
          </cell>
          <cell r="CI182">
            <v>0.21571863300146749</v>
          </cell>
          <cell r="CJ182">
            <v>8.8749863821068337E-2</v>
          </cell>
          <cell r="CK182">
            <v>7.6199492667221203E-2</v>
          </cell>
          <cell r="CL182">
            <v>6.7093499898977366E-2</v>
          </cell>
          <cell r="CM182">
            <v>5.5700190116729484E-2</v>
          </cell>
          <cell r="CN182">
            <v>5.0295394458963975E-3</v>
          </cell>
        </row>
        <row r="183">
          <cell r="B183" t="str">
            <v>SS167</v>
          </cell>
          <cell r="CH183">
            <v>1.4325748650367693</v>
          </cell>
          <cell r="CI183">
            <v>1.054863000394614</v>
          </cell>
          <cell r="CJ183">
            <v>0.93684973115837955</v>
          </cell>
          <cell r="CK183">
            <v>0.7922112676754075</v>
          </cell>
          <cell r="CL183">
            <v>0.68410354475201451</v>
          </cell>
          <cell r="CM183">
            <v>0.56827982723766546</v>
          </cell>
          <cell r="CN183">
            <v>0.45651651230835777</v>
          </cell>
        </row>
        <row r="184">
          <cell r="B184" t="str">
            <v>SS168</v>
          </cell>
          <cell r="CH184">
            <v>1.9653624409891748</v>
          </cell>
          <cell r="CI184">
            <v>1.3444843316776964</v>
          </cell>
          <cell r="CJ184">
            <v>1.1513428524396945</v>
          </cell>
          <cell r="CK184">
            <v>0.96072693589119995</v>
          </cell>
          <cell r="CL184">
            <v>0.81592771170604728</v>
          </cell>
          <cell r="CM184">
            <v>0.66647459110519969</v>
          </cell>
          <cell r="CN184">
            <v>0.51398882248530486</v>
          </cell>
        </row>
        <row r="185">
          <cell r="B185" t="str">
            <v>SS169</v>
          </cell>
          <cell r="CH185">
            <v>0.46672972991101519</v>
          </cell>
          <cell r="CI185">
            <v>0.39565079993194363</v>
          </cell>
          <cell r="CJ185">
            <v>0.52427318320371807</v>
          </cell>
          <cell r="CK185">
            <v>0.52053621305757136</v>
          </cell>
          <cell r="CL185">
            <v>0.5763667876277152</v>
          </cell>
          <cell r="CM185">
            <v>0.68609497935683228</v>
          </cell>
          <cell r="CN185">
            <v>0.69806038854439489</v>
          </cell>
        </row>
        <row r="186">
          <cell r="B186" t="str">
            <v>SS170</v>
          </cell>
          <cell r="CH186">
            <v>0.34731762453959419</v>
          </cell>
          <cell r="CI186">
            <v>0.31418499698892594</v>
          </cell>
          <cell r="CJ186">
            <v>0.40589615631170073</v>
          </cell>
          <cell r="CK186">
            <v>0.39850049736828469</v>
          </cell>
          <cell r="CL186">
            <v>0.4426129744298572</v>
          </cell>
          <cell r="CM186">
            <v>0.49691198568468731</v>
          </cell>
          <cell r="CN186">
            <v>0.5086235408115376</v>
          </cell>
        </row>
        <row r="187">
          <cell r="B187" t="str">
            <v>SS200</v>
          </cell>
          <cell r="CH187">
            <v>0</v>
          </cell>
          <cell r="CI187">
            <v>0</v>
          </cell>
          <cell r="CJ187">
            <v>0</v>
          </cell>
          <cell r="CK187">
            <v>0</v>
          </cell>
          <cell r="CL187">
            <v>0</v>
          </cell>
          <cell r="CM187">
            <v>0</v>
          </cell>
          <cell r="CN187">
            <v>0</v>
          </cell>
        </row>
        <row r="188">
          <cell r="B188" t="str">
            <v>SS201</v>
          </cell>
          <cell r="CH188">
            <v>0</v>
          </cell>
          <cell r="CI188">
            <v>0</v>
          </cell>
          <cell r="CJ188">
            <v>0</v>
          </cell>
          <cell r="CK188">
            <v>0</v>
          </cell>
          <cell r="CL188">
            <v>0</v>
          </cell>
          <cell r="CM188">
            <v>0</v>
          </cell>
          <cell r="CN188">
            <v>0</v>
          </cell>
        </row>
        <row r="189">
          <cell r="B189" t="str">
            <v>SS202</v>
          </cell>
          <cell r="CH189">
            <v>0</v>
          </cell>
          <cell r="CI189">
            <v>0</v>
          </cell>
          <cell r="CJ189">
            <v>0</v>
          </cell>
          <cell r="CK189">
            <v>0</v>
          </cell>
          <cell r="CL189">
            <v>0</v>
          </cell>
          <cell r="CM189">
            <v>0</v>
          </cell>
          <cell r="CN189">
            <v>0</v>
          </cell>
        </row>
        <row r="190">
          <cell r="B190" t="str">
            <v>SS203</v>
          </cell>
          <cell r="CH190">
            <v>0</v>
          </cell>
          <cell r="CI190">
            <v>0</v>
          </cell>
          <cell r="CJ190">
            <v>0</v>
          </cell>
          <cell r="CK190">
            <v>0</v>
          </cell>
          <cell r="CL190">
            <v>0</v>
          </cell>
          <cell r="CM190">
            <v>0</v>
          </cell>
          <cell r="CN190">
            <v>0</v>
          </cell>
        </row>
        <row r="191">
          <cell r="B191" t="str">
            <v>SS204</v>
          </cell>
          <cell r="CH191">
            <v>0</v>
          </cell>
          <cell r="CI191">
            <v>0</v>
          </cell>
          <cell r="CJ191">
            <v>0</v>
          </cell>
          <cell r="CK191">
            <v>0</v>
          </cell>
          <cell r="CL191">
            <v>0</v>
          </cell>
          <cell r="CM191">
            <v>0</v>
          </cell>
          <cell r="CN191">
            <v>0</v>
          </cell>
        </row>
        <row r="192">
          <cell r="B192" t="str">
            <v>SS205</v>
          </cell>
          <cell r="CH192">
            <v>0</v>
          </cell>
          <cell r="CI192">
            <v>0</v>
          </cell>
          <cell r="CJ192">
            <v>0</v>
          </cell>
          <cell r="CK192">
            <v>0</v>
          </cell>
          <cell r="CL192">
            <v>0</v>
          </cell>
          <cell r="CM192">
            <v>0</v>
          </cell>
          <cell r="CN192">
            <v>0</v>
          </cell>
        </row>
        <row r="193">
          <cell r="B193" t="str">
            <v>SS206</v>
          </cell>
          <cell r="CH193">
            <v>0</v>
          </cell>
          <cell r="CI193">
            <v>0</v>
          </cell>
          <cell r="CJ193">
            <v>0</v>
          </cell>
          <cell r="CK193">
            <v>0</v>
          </cell>
          <cell r="CL193">
            <v>0</v>
          </cell>
          <cell r="CM193">
            <v>0</v>
          </cell>
          <cell r="CN193">
            <v>0</v>
          </cell>
        </row>
        <row r="194">
          <cell r="B194" t="str">
            <v>SS207</v>
          </cell>
          <cell r="CH194">
            <v>0</v>
          </cell>
          <cell r="CI194">
            <v>0</v>
          </cell>
          <cell r="CJ194">
            <v>0</v>
          </cell>
          <cell r="CK194">
            <v>0</v>
          </cell>
          <cell r="CL194">
            <v>0</v>
          </cell>
          <cell r="CM194">
            <v>0</v>
          </cell>
          <cell r="CN194">
            <v>0</v>
          </cell>
        </row>
        <row r="195">
          <cell r="B195" t="str">
            <v>SS208</v>
          </cell>
          <cell r="CH195">
            <v>0</v>
          </cell>
          <cell r="CI195">
            <v>0</v>
          </cell>
          <cell r="CJ195">
            <v>0</v>
          </cell>
          <cell r="CK195">
            <v>0</v>
          </cell>
          <cell r="CL195">
            <v>0</v>
          </cell>
          <cell r="CM195">
            <v>0</v>
          </cell>
          <cell r="CN195">
            <v>0</v>
          </cell>
        </row>
        <row r="196">
          <cell r="B196" t="str">
            <v>SS210</v>
          </cell>
          <cell r="CH196">
            <v>0</v>
          </cell>
          <cell r="CI196">
            <v>0</v>
          </cell>
          <cell r="CJ196">
            <v>0</v>
          </cell>
          <cell r="CK196">
            <v>0</v>
          </cell>
          <cell r="CL196">
            <v>0</v>
          </cell>
          <cell r="CM196">
            <v>0</v>
          </cell>
          <cell r="CN196">
            <v>0</v>
          </cell>
        </row>
        <row r="197">
          <cell r="B197" t="str">
            <v>SS211</v>
          </cell>
          <cell r="CH197">
            <v>0</v>
          </cell>
          <cell r="CI197">
            <v>0</v>
          </cell>
          <cell r="CJ197">
            <v>0</v>
          </cell>
          <cell r="CK197">
            <v>0</v>
          </cell>
          <cell r="CL197">
            <v>0</v>
          </cell>
          <cell r="CM197">
            <v>0</v>
          </cell>
          <cell r="CN197">
            <v>0</v>
          </cell>
        </row>
        <row r="198">
          <cell r="B198" t="str">
            <v>SS212</v>
          </cell>
          <cell r="CH198">
            <v>0</v>
          </cell>
          <cell r="CI198">
            <v>0</v>
          </cell>
          <cell r="CJ198">
            <v>0</v>
          </cell>
          <cell r="CK198">
            <v>0</v>
          </cell>
          <cell r="CL198">
            <v>0</v>
          </cell>
          <cell r="CM198">
            <v>0</v>
          </cell>
          <cell r="CN198">
            <v>0</v>
          </cell>
        </row>
        <row r="199">
          <cell r="B199" t="str">
            <v>SS213</v>
          </cell>
          <cell r="CH199">
            <v>0</v>
          </cell>
          <cell r="CI199">
            <v>0</v>
          </cell>
          <cell r="CJ199">
            <v>0</v>
          </cell>
          <cell r="CK199">
            <v>0</v>
          </cell>
          <cell r="CL199">
            <v>0</v>
          </cell>
          <cell r="CM199">
            <v>0</v>
          </cell>
          <cell r="CN199">
            <v>0</v>
          </cell>
        </row>
        <row r="200">
          <cell r="B200" t="str">
            <v>SS214</v>
          </cell>
          <cell r="CH200">
            <v>0</v>
          </cell>
          <cell r="CI200">
            <v>0</v>
          </cell>
          <cell r="CJ200">
            <v>0</v>
          </cell>
          <cell r="CK200">
            <v>0</v>
          </cell>
          <cell r="CL200">
            <v>0</v>
          </cell>
          <cell r="CM200">
            <v>0</v>
          </cell>
          <cell r="CN200">
            <v>0</v>
          </cell>
        </row>
        <row r="201">
          <cell r="B201" t="str">
            <v>SS216</v>
          </cell>
          <cell r="CH201">
            <v>0</v>
          </cell>
          <cell r="CI201">
            <v>0</v>
          </cell>
          <cell r="CJ201">
            <v>0</v>
          </cell>
          <cell r="CK201">
            <v>0</v>
          </cell>
          <cell r="CL201">
            <v>0</v>
          </cell>
          <cell r="CM201">
            <v>0</v>
          </cell>
          <cell r="CN201">
            <v>0</v>
          </cell>
        </row>
        <row r="202">
          <cell r="B202" t="str">
            <v>SS219</v>
          </cell>
          <cell r="CH202">
            <v>4.1603952590633017E-5</v>
          </cell>
          <cell r="CI202">
            <v>0</v>
          </cell>
          <cell r="CJ202">
            <v>0</v>
          </cell>
          <cell r="CK202">
            <v>0</v>
          </cell>
          <cell r="CL202">
            <v>0</v>
          </cell>
          <cell r="CM202">
            <v>0</v>
          </cell>
          <cell r="CN202">
            <v>0</v>
          </cell>
        </row>
        <row r="203">
          <cell r="B203" t="str">
            <v>SS225</v>
          </cell>
          <cell r="CH203">
            <v>0.26909045276025173</v>
          </cell>
          <cell r="CI203">
            <v>0.20309953810995862</v>
          </cell>
          <cell r="CJ203">
            <v>0.15608518161923848</v>
          </cell>
          <cell r="CK203">
            <v>0.10006179414334096</v>
          </cell>
          <cell r="CL203">
            <v>3.0307258754441894E-2</v>
          </cell>
          <cell r="CM203">
            <v>4.1428898201954769E-3</v>
          </cell>
          <cell r="CN203">
            <v>0</v>
          </cell>
        </row>
        <row r="204">
          <cell r="B204" t="str">
            <v>SS226</v>
          </cell>
          <cell r="CH204">
            <v>1.2148703905461593</v>
          </cell>
          <cell r="CI204">
            <v>1.0033424531464612</v>
          </cell>
          <cell r="CJ204">
            <v>0.79287286020481407</v>
          </cell>
          <cell r="CK204">
            <v>0.50290691408611876</v>
          </cell>
          <cell r="CL204">
            <v>0.15489781266399821</v>
          </cell>
          <cell r="CM204">
            <v>2.704042588621712E-2</v>
          </cell>
          <cell r="CN204">
            <v>0</v>
          </cell>
        </row>
        <row r="205">
          <cell r="B205" t="str">
            <v>SS227</v>
          </cell>
          <cell r="CH205">
            <v>56.820622377196351</v>
          </cell>
          <cell r="CI205">
            <v>50.204016083120266</v>
          </cell>
          <cell r="CJ205">
            <v>41.688328594708963</v>
          </cell>
          <cell r="CK205">
            <v>33.201443535269959</v>
          </cell>
          <cell r="CL205">
            <v>25.881735057568807</v>
          </cell>
          <cell r="CM205">
            <v>20.157204038626968</v>
          </cell>
          <cell r="CN205">
            <v>11.195251024712881</v>
          </cell>
        </row>
        <row r="206">
          <cell r="B206" t="str">
            <v>SS228</v>
          </cell>
          <cell r="CH206">
            <v>48.933896976551203</v>
          </cell>
          <cell r="CI206">
            <v>48.295169560214511</v>
          </cell>
          <cell r="CJ206">
            <v>41.004690968521047</v>
          </cell>
          <cell r="CK206">
            <v>32.56114820074076</v>
          </cell>
          <cell r="CL206">
            <v>25.44669790577812</v>
          </cell>
          <cell r="CM206">
            <v>19.191662954266796</v>
          </cell>
          <cell r="CN206">
            <v>10.950474803516743</v>
          </cell>
        </row>
        <row r="207">
          <cell r="B207" t="str">
            <v>SS229</v>
          </cell>
          <cell r="CH207">
            <v>66.319613780780358</v>
          </cell>
          <cell r="CI207">
            <v>62.493718682357596</v>
          </cell>
          <cell r="CJ207">
            <v>71.977216511479668</v>
          </cell>
          <cell r="CK207">
            <v>77.370077491208264</v>
          </cell>
          <cell r="CL207">
            <v>80.246496893183036</v>
          </cell>
          <cell r="CM207">
            <v>80.379770940187129</v>
          </cell>
          <cell r="CN207">
            <v>88.269242550033027</v>
          </cell>
        </row>
        <row r="208">
          <cell r="B208" t="str">
            <v>SS230</v>
          </cell>
          <cell r="CH208">
            <v>70.626069387413438</v>
          </cell>
          <cell r="CI208">
            <v>69.446865348688974</v>
          </cell>
          <cell r="CJ208">
            <v>76.985052738879531</v>
          </cell>
          <cell r="CK208">
            <v>84.284264152384523</v>
          </cell>
          <cell r="CL208">
            <v>87.166979127783179</v>
          </cell>
          <cell r="CM208">
            <v>88.977708499125526</v>
          </cell>
          <cell r="CN208">
            <v>96.339816051974168</v>
          </cell>
        </row>
        <row r="209">
          <cell r="B209" t="str">
            <v>SS231</v>
          </cell>
          <cell r="CH209">
            <v>0.33774470287923009</v>
          </cell>
          <cell r="CI209">
            <v>0.26278862134261705</v>
          </cell>
          <cell r="CJ209">
            <v>0.21916215096213704</v>
          </cell>
          <cell r="CK209">
            <v>0.1691513731235072</v>
          </cell>
          <cell r="CL209">
            <v>0.12212600432415593</v>
          </cell>
          <cell r="CM209">
            <v>8.2687177735149844E-2</v>
          </cell>
          <cell r="CN209">
            <v>3.3580885608018821E-2</v>
          </cell>
        </row>
        <row r="210">
          <cell r="B210" t="str">
            <v>SS232</v>
          </cell>
          <cell r="CH210">
            <v>0.40785642279882089</v>
          </cell>
          <cell r="CI210">
            <v>0.39510184850610236</v>
          </cell>
          <cell r="CJ210">
            <v>0.32772330559243418</v>
          </cell>
          <cell r="CK210">
            <v>0.25852466597356072</v>
          </cell>
          <cell r="CL210">
            <v>0.18787236745720112</v>
          </cell>
          <cell r="CM210">
            <v>0.12963745083304265</v>
          </cell>
          <cell r="CN210">
            <v>5.1252404533695381E-2</v>
          </cell>
        </row>
        <row r="211">
          <cell r="B211" t="str">
            <v>SS233</v>
          </cell>
          <cell r="CH211">
            <v>12.342886463554029</v>
          </cell>
          <cell r="CI211">
            <v>12.992795479982043</v>
          </cell>
          <cell r="CJ211">
            <v>10.805961533305656</v>
          </cell>
          <cell r="CK211">
            <v>8.4081174880096725</v>
          </cell>
          <cell r="CL211">
            <v>6.084343071234688</v>
          </cell>
          <cell r="CM211">
            <v>4.1108591518615212</v>
          </cell>
          <cell r="CN211">
            <v>1.6175569339988267</v>
          </cell>
        </row>
        <row r="212">
          <cell r="B212" t="str">
            <v>SS234</v>
          </cell>
          <cell r="CH212">
            <v>9.2923200673449564</v>
          </cell>
          <cell r="CI212">
            <v>8.385461207091339</v>
          </cell>
          <cell r="CJ212">
            <v>7.1496303326044037</v>
          </cell>
          <cell r="CK212">
            <v>5.5282958053674234</v>
          </cell>
          <cell r="CL212">
            <v>4.0175372163310517</v>
          </cell>
          <cell r="CM212">
            <v>2.7984028065552939</v>
          </cell>
          <cell r="CN212">
            <v>1.1273229455310152</v>
          </cell>
        </row>
        <row r="213">
          <cell r="B213" t="str">
            <v>SS235</v>
          </cell>
          <cell r="CH213">
            <v>30.795649891928495</v>
          </cell>
          <cell r="CI213">
            <v>25.147850342723316</v>
          </cell>
          <cell r="CJ213">
            <v>26.152830971191747</v>
          </cell>
          <cell r="CK213">
            <v>25.50456736567341</v>
          </cell>
          <cell r="CL213">
            <v>24.826634455976247</v>
          </cell>
          <cell r="CM213">
            <v>25.122040046583088</v>
          </cell>
          <cell r="CN213">
            <v>24.655236064208985</v>
          </cell>
        </row>
        <row r="214">
          <cell r="B214" t="str">
            <v>SS236</v>
          </cell>
          <cell r="CH214">
            <v>19.736057253729044</v>
          </cell>
          <cell r="CI214">
            <v>19.09750416922509</v>
          </cell>
          <cell r="CJ214">
            <v>19.53300385647286</v>
          </cell>
          <cell r="CK214">
            <v>19.677986170348706</v>
          </cell>
          <cell r="CL214">
            <v>19.047528365699286</v>
          </cell>
          <cell r="CM214">
            <v>18.834251039772429</v>
          </cell>
          <cell r="CN214">
            <v>18.775894775475663</v>
          </cell>
        </row>
        <row r="215">
          <cell r="B215" t="str">
            <v>SS237</v>
          </cell>
          <cell r="CH215">
            <v>8.0484669764428745</v>
          </cell>
          <cell r="CI215">
            <v>10.24201256346217</v>
          </cell>
          <cell r="CJ215">
            <v>11.873472347340671</v>
          </cell>
          <cell r="CK215">
            <v>13.394396954770393</v>
          </cell>
          <cell r="CL215">
            <v>15.310810929677777</v>
          </cell>
          <cell r="CM215">
            <v>17.850031214639511</v>
          </cell>
          <cell r="CN215">
            <v>18.933842500995389</v>
          </cell>
        </row>
        <row r="216">
          <cell r="B216" t="str">
            <v>SS238</v>
          </cell>
          <cell r="CH216">
            <v>4.9405414637979028</v>
          </cell>
          <cell r="CI216">
            <v>5.6206705273176905</v>
          </cell>
          <cell r="CJ216">
            <v>7.1009957827714505</v>
          </cell>
          <cell r="CK216">
            <v>8.2489781814876419</v>
          </cell>
          <cell r="CL216">
            <v>9.4221979500866215</v>
          </cell>
          <cell r="CM216">
            <v>10.943322863894224</v>
          </cell>
          <cell r="CN216">
            <v>12.128828468640769</v>
          </cell>
        </row>
        <row r="217">
          <cell r="B217" t="str">
            <v>SS241</v>
          </cell>
          <cell r="CH217">
            <v>0</v>
          </cell>
          <cell r="CI217">
            <v>0</v>
          </cell>
          <cell r="CJ217">
            <v>0</v>
          </cell>
          <cell r="CK217">
            <v>0</v>
          </cell>
          <cell r="CL217">
            <v>0</v>
          </cell>
          <cell r="CM217">
            <v>0</v>
          </cell>
          <cell r="CN217">
            <v>0</v>
          </cell>
        </row>
        <row r="218">
          <cell r="B218" t="str">
            <v>SS242</v>
          </cell>
          <cell r="CH218">
            <v>0</v>
          </cell>
          <cell r="CI218">
            <v>0</v>
          </cell>
          <cell r="CJ218">
            <v>0</v>
          </cell>
          <cell r="CK218">
            <v>0</v>
          </cell>
          <cell r="CL218">
            <v>0</v>
          </cell>
          <cell r="CM218">
            <v>0</v>
          </cell>
          <cell r="CN218">
            <v>0</v>
          </cell>
        </row>
        <row r="219">
          <cell r="B219" t="str">
            <v>SS243</v>
          </cell>
          <cell r="CH219">
            <v>5.1991442586564441E-4</v>
          </cell>
          <cell r="CI219">
            <v>5.6330775396054014E-4</v>
          </cell>
          <cell r="CJ219">
            <v>7.1840199064367822E-4</v>
          </cell>
          <cell r="CK219">
            <v>7.7287216130197229E-4</v>
          </cell>
          <cell r="CL219">
            <v>8.4481448719684411E-4</v>
          </cell>
          <cell r="CM219">
            <v>9.2333706538014508E-4</v>
          </cell>
          <cell r="CN219">
            <v>9.9331545620910894E-4</v>
          </cell>
        </row>
        <row r="220">
          <cell r="B220" t="str">
            <v>SS244</v>
          </cell>
          <cell r="CH220">
            <v>1.3452798140284775E-2</v>
          </cell>
          <cell r="CI220">
            <v>0</v>
          </cell>
          <cell r="CJ220">
            <v>0</v>
          </cell>
          <cell r="CK220">
            <v>0</v>
          </cell>
          <cell r="CL220">
            <v>0</v>
          </cell>
          <cell r="CM220">
            <v>0</v>
          </cell>
          <cell r="CN220">
            <v>0</v>
          </cell>
        </row>
        <row r="221">
          <cell r="B221" t="str">
            <v>SS245</v>
          </cell>
          <cell r="CH221">
            <v>2.2214927363408132</v>
          </cell>
          <cell r="CI221">
            <v>2.5329478304331108</v>
          </cell>
          <cell r="CJ221">
            <v>3.9028491087727026</v>
          </cell>
          <cell r="CK221">
            <v>4.8756655485034104</v>
          </cell>
          <cell r="CL221">
            <v>6.0414251882885246</v>
          </cell>
          <cell r="CM221">
            <v>7.6699959497468209</v>
          </cell>
          <cell r="CN221">
            <v>9.3592481616999628</v>
          </cell>
        </row>
        <row r="222">
          <cell r="B222" t="str">
            <v>SS246</v>
          </cell>
          <cell r="CH222">
            <v>3.4668345953627213</v>
          </cell>
          <cell r="CI222">
            <v>4.2721222735500266</v>
          </cell>
          <cell r="CJ222">
            <v>6.0035392881022389</v>
          </cell>
          <cell r="CK222">
            <v>7.3510539395005274</v>
          </cell>
          <cell r="CL222">
            <v>9.0605727648904235</v>
          </cell>
          <cell r="CM222">
            <v>11.550227074904074</v>
          </cell>
          <cell r="CN222">
            <v>13.567508505211904</v>
          </cell>
        </row>
        <row r="223">
          <cell r="B223" t="str">
            <v>SS249</v>
          </cell>
          <cell r="CH223">
            <v>0</v>
          </cell>
          <cell r="CI223">
            <v>0</v>
          </cell>
          <cell r="CJ223">
            <v>0</v>
          </cell>
          <cell r="CK223">
            <v>0</v>
          </cell>
          <cell r="CL223">
            <v>0</v>
          </cell>
          <cell r="CM223">
            <v>0</v>
          </cell>
          <cell r="CN223">
            <v>0</v>
          </cell>
        </row>
        <row r="224">
          <cell r="B224" t="str">
            <v>SS257</v>
          </cell>
          <cell r="CH224">
            <v>0</v>
          </cell>
          <cell r="CI224">
            <v>0</v>
          </cell>
          <cell r="CJ224">
            <v>0</v>
          </cell>
          <cell r="CK224">
            <v>0</v>
          </cell>
          <cell r="CL224">
            <v>0</v>
          </cell>
          <cell r="CM224">
            <v>0</v>
          </cell>
          <cell r="CN224">
            <v>0</v>
          </cell>
        </row>
        <row r="225">
          <cell r="B225" t="str">
            <v>SS259</v>
          </cell>
          <cell r="CH225">
            <v>1.292502752236746</v>
          </cell>
          <cell r="CI225">
            <v>0.73017031748170735</v>
          </cell>
          <cell r="CJ225">
            <v>0.41310622944529823</v>
          </cell>
          <cell r="CK225">
            <v>0.3496990581472989</v>
          </cell>
          <cell r="CL225">
            <v>0.30331425070934859</v>
          </cell>
          <cell r="CM225">
            <v>0.24783671998865231</v>
          </cell>
          <cell r="CN225">
            <v>0.11652174257742526</v>
          </cell>
        </row>
        <row r="226">
          <cell r="B226" t="str">
            <v>SS260</v>
          </cell>
          <cell r="CH226">
            <v>1.6148363665289729</v>
          </cell>
          <cell r="CI226">
            <v>0.97165849273158833</v>
          </cell>
          <cell r="CJ226">
            <v>0.51249323729825946</v>
          </cell>
          <cell r="CK226">
            <v>0.43385188217405768</v>
          </cell>
          <cell r="CL226">
            <v>0.37649449604864149</v>
          </cell>
          <cell r="CM226">
            <v>0.30778683822924424</v>
          </cell>
          <cell r="CN226">
            <v>0.12294150142836138</v>
          </cell>
        </row>
        <row r="227">
          <cell r="B227" t="str">
            <v>SS261</v>
          </cell>
          <cell r="CH227">
            <v>8.5870834011935564</v>
          </cell>
          <cell r="CI227">
            <v>8.0264685832490965</v>
          </cell>
          <cell r="CJ227">
            <v>7.5821001631621874</v>
          </cell>
          <cell r="CK227">
            <v>6.4122852224062203</v>
          </cell>
          <cell r="CL227">
            <v>5.5537460222491237</v>
          </cell>
          <cell r="CM227">
            <v>4.5417156232150679</v>
          </cell>
          <cell r="CN227">
            <v>3.8890341363238505</v>
          </cell>
        </row>
        <row r="228">
          <cell r="B228" t="str">
            <v>SS262</v>
          </cell>
          <cell r="CH228">
            <v>10.97398471002103</v>
          </cell>
          <cell r="CI228">
            <v>9.2884783493273808</v>
          </cell>
          <cell r="CJ228">
            <v>8.739072918188775</v>
          </cell>
          <cell r="CK228">
            <v>7.3258359462451397</v>
          </cell>
          <cell r="CL228">
            <v>6.2869786484327399</v>
          </cell>
          <cell r="CM228">
            <v>5.1173803148170789</v>
          </cell>
          <cell r="CN228">
            <v>4.3270118100571988</v>
          </cell>
        </row>
        <row r="229">
          <cell r="B229" t="str">
            <v>SS263</v>
          </cell>
          <cell r="CH229">
            <v>0</v>
          </cell>
          <cell r="CI229">
            <v>0</v>
          </cell>
          <cell r="CJ229">
            <v>0</v>
          </cell>
          <cell r="CK229">
            <v>0</v>
          </cell>
          <cell r="CL229">
            <v>0</v>
          </cell>
          <cell r="CM229">
            <v>0</v>
          </cell>
          <cell r="CN229">
            <v>0</v>
          </cell>
        </row>
        <row r="230">
          <cell r="B230" t="str">
            <v>SS264</v>
          </cell>
          <cell r="CH230">
            <v>0</v>
          </cell>
          <cell r="CI230">
            <v>0</v>
          </cell>
          <cell r="CJ230">
            <v>0</v>
          </cell>
          <cell r="CK230">
            <v>0</v>
          </cell>
          <cell r="CL230">
            <v>0</v>
          </cell>
          <cell r="CM230">
            <v>0</v>
          </cell>
          <cell r="CN230">
            <v>0</v>
          </cell>
        </row>
        <row r="231">
          <cell r="B231" t="str">
            <v>SS265</v>
          </cell>
          <cell r="CH231">
            <v>0.28730826010462529</v>
          </cell>
          <cell r="CI231">
            <v>0.13945932155846033</v>
          </cell>
          <cell r="CJ231">
            <v>4.581663081510591E-2</v>
          </cell>
          <cell r="CK231">
            <v>3.8862291636582065E-2</v>
          </cell>
          <cell r="CL231">
            <v>3.3780747213232654E-2</v>
          </cell>
          <cell r="CM231">
            <v>2.7668833266403944E-2</v>
          </cell>
          <cell r="CN231">
            <v>0</v>
          </cell>
        </row>
        <row r="232">
          <cell r="B232" t="str">
            <v>SS266</v>
          </cell>
          <cell r="CH232">
            <v>0.25684448715561364</v>
          </cell>
          <cell r="CI232">
            <v>0.12725415522394537</v>
          </cell>
          <cell r="CJ232">
            <v>5.1751582406519073E-2</v>
          </cell>
          <cell r="CK232">
            <v>4.3900425239920202E-2</v>
          </cell>
          <cell r="CL232">
            <v>3.8170483874364641E-2</v>
          </cell>
          <cell r="CM232">
            <v>3.127389678308333E-2</v>
          </cell>
          <cell r="CN232">
            <v>2.7847738252568402E-3</v>
          </cell>
        </row>
        <row r="233">
          <cell r="B233" t="str">
            <v>SS267</v>
          </cell>
          <cell r="CH233">
            <v>1.7436119939024095</v>
          </cell>
          <cell r="CI233">
            <v>1.2986726876098347</v>
          </cell>
          <cell r="CJ233">
            <v>1.1424079031401548</v>
          </cell>
          <cell r="CK233">
            <v>0.95577453722935979</v>
          </cell>
          <cell r="CL233">
            <v>0.81665872169526832</v>
          </cell>
          <cell r="CM233">
            <v>0.67101263341477557</v>
          </cell>
          <cell r="CN233">
            <v>0.53278177719910258</v>
          </cell>
        </row>
        <row r="234">
          <cell r="B234" t="str">
            <v>SS268</v>
          </cell>
          <cell r="CH234">
            <v>1.7743457609410063</v>
          </cell>
          <cell r="CI234">
            <v>1.29008574252595</v>
          </cell>
          <cell r="CJ234">
            <v>1.0874758200054579</v>
          </cell>
          <cell r="CK234">
            <v>0.92205355757799479</v>
          </cell>
          <cell r="CL234">
            <v>0.77851216849942662</v>
          </cell>
          <cell r="CM234">
            <v>0.61148023039031962</v>
          </cell>
          <cell r="CN234">
            <v>0.47825217817491078</v>
          </cell>
        </row>
        <row r="235">
          <cell r="B235" t="str">
            <v>SS269</v>
          </cell>
          <cell r="CH235">
            <v>0.58121206639583489</v>
          </cell>
          <cell r="CI235">
            <v>0.65458999489342562</v>
          </cell>
          <cell r="CJ235">
            <v>0.89569404237856731</v>
          </cell>
          <cell r="CK235">
            <v>0.91863163939440406</v>
          </cell>
          <cell r="CL235">
            <v>1.0505617997439496</v>
          </cell>
          <cell r="CM235">
            <v>1.2921856093092143</v>
          </cell>
          <cell r="CN235">
            <v>1.3594242330948156</v>
          </cell>
        </row>
        <row r="236">
          <cell r="B236" t="str">
            <v>SS270</v>
          </cell>
          <cell r="CH236">
            <v>0.58068702489245094</v>
          </cell>
          <cell r="CI236">
            <v>0.55978148044781306</v>
          </cell>
          <cell r="CJ236">
            <v>0.7435511419041938</v>
          </cell>
          <cell r="CK236">
            <v>0.75040007746174597</v>
          </cell>
          <cell r="CL236">
            <v>0.85702761790979176</v>
          </cell>
          <cell r="CM236">
            <v>0.98948173927281091</v>
          </cell>
          <cell r="CN236">
            <v>1.0416633654641796</v>
          </cell>
        </row>
        <row r="237">
          <cell r="B237" t="str">
            <v>SS300</v>
          </cell>
          <cell r="CH237">
            <v>0</v>
          </cell>
          <cell r="CI237">
            <v>0</v>
          </cell>
          <cell r="CJ237">
            <v>0</v>
          </cell>
          <cell r="CK237">
            <v>0</v>
          </cell>
          <cell r="CL237">
            <v>0</v>
          </cell>
          <cell r="CM237">
            <v>0</v>
          </cell>
          <cell r="CN237">
            <v>0</v>
          </cell>
        </row>
        <row r="238">
          <cell r="B238" t="str">
            <v>SS301</v>
          </cell>
          <cell r="CH238">
            <v>0</v>
          </cell>
          <cell r="CI238">
            <v>0</v>
          </cell>
          <cell r="CJ238">
            <v>0</v>
          </cell>
          <cell r="CK238">
            <v>0</v>
          </cell>
          <cell r="CL238">
            <v>0</v>
          </cell>
          <cell r="CM238">
            <v>0</v>
          </cell>
          <cell r="CN238">
            <v>0</v>
          </cell>
        </row>
        <row r="239">
          <cell r="B239" t="str">
            <v>SS302</v>
          </cell>
          <cell r="CH239">
            <v>0</v>
          </cell>
          <cell r="CI239">
            <v>0</v>
          </cell>
          <cell r="CJ239">
            <v>0</v>
          </cell>
          <cell r="CK239">
            <v>0</v>
          </cell>
          <cell r="CL239">
            <v>0</v>
          </cell>
          <cell r="CM239">
            <v>0</v>
          </cell>
          <cell r="CN239">
            <v>0</v>
          </cell>
        </row>
        <row r="240">
          <cell r="B240" t="str">
            <v>SS303</v>
          </cell>
          <cell r="CH240">
            <v>0</v>
          </cell>
          <cell r="CI240">
            <v>0</v>
          </cell>
          <cell r="CJ240">
            <v>0</v>
          </cell>
          <cell r="CK240">
            <v>0</v>
          </cell>
          <cell r="CL240">
            <v>0</v>
          </cell>
          <cell r="CM240">
            <v>0</v>
          </cell>
          <cell r="CN240">
            <v>0</v>
          </cell>
        </row>
        <row r="241">
          <cell r="B241" t="str">
            <v>SS304</v>
          </cell>
          <cell r="CH241">
            <v>0</v>
          </cell>
          <cell r="CI241">
            <v>0</v>
          </cell>
          <cell r="CJ241">
            <v>0</v>
          </cell>
          <cell r="CK241">
            <v>0</v>
          </cell>
          <cell r="CL241">
            <v>0</v>
          </cell>
          <cell r="CM241">
            <v>0</v>
          </cell>
          <cell r="CN241">
            <v>0</v>
          </cell>
        </row>
        <row r="242">
          <cell r="B242" t="str">
            <v>SS305</v>
          </cell>
          <cell r="CH242">
            <v>0</v>
          </cell>
          <cell r="CI242">
            <v>0</v>
          </cell>
          <cell r="CJ242">
            <v>0</v>
          </cell>
          <cell r="CK242">
            <v>0</v>
          </cell>
          <cell r="CL242">
            <v>0</v>
          </cell>
          <cell r="CM242">
            <v>0</v>
          </cell>
          <cell r="CN242">
            <v>0</v>
          </cell>
        </row>
        <row r="243">
          <cell r="B243" t="str">
            <v>SS307</v>
          </cell>
          <cell r="CH243">
            <v>0</v>
          </cell>
          <cell r="CI243">
            <v>0</v>
          </cell>
          <cell r="CJ243">
            <v>0</v>
          </cell>
          <cell r="CK243">
            <v>0</v>
          </cell>
          <cell r="CL243">
            <v>0</v>
          </cell>
          <cell r="CM243">
            <v>0</v>
          </cell>
          <cell r="CN243">
            <v>0</v>
          </cell>
        </row>
        <row r="244">
          <cell r="B244" t="str">
            <v>SS308</v>
          </cell>
          <cell r="CH244">
            <v>0</v>
          </cell>
          <cell r="CI244">
            <v>0</v>
          </cell>
          <cell r="CJ244">
            <v>0</v>
          </cell>
          <cell r="CK244">
            <v>0</v>
          </cell>
          <cell r="CL244">
            <v>0</v>
          </cell>
          <cell r="CM244">
            <v>0</v>
          </cell>
          <cell r="CN244">
            <v>0</v>
          </cell>
        </row>
        <row r="245">
          <cell r="B245" t="str">
            <v>SS309</v>
          </cell>
          <cell r="CH245">
            <v>0</v>
          </cell>
          <cell r="CI245">
            <v>0</v>
          </cell>
          <cell r="CJ245">
            <v>0</v>
          </cell>
          <cell r="CK245">
            <v>0</v>
          </cell>
          <cell r="CL245">
            <v>0</v>
          </cell>
          <cell r="CM245">
            <v>0</v>
          </cell>
          <cell r="CN245">
            <v>0</v>
          </cell>
        </row>
        <row r="246">
          <cell r="B246" t="str">
            <v>SS310</v>
          </cell>
          <cell r="CH246">
            <v>0</v>
          </cell>
          <cell r="CI246">
            <v>0</v>
          </cell>
          <cell r="CJ246">
            <v>0</v>
          </cell>
          <cell r="CK246">
            <v>0</v>
          </cell>
          <cell r="CL246">
            <v>0</v>
          </cell>
          <cell r="CM246">
            <v>0</v>
          </cell>
          <cell r="CN246">
            <v>0</v>
          </cell>
        </row>
        <row r="247">
          <cell r="B247" t="str">
            <v>SS311</v>
          </cell>
          <cell r="CH247">
            <v>0</v>
          </cell>
          <cell r="CI247">
            <v>0</v>
          </cell>
          <cell r="CJ247">
            <v>0</v>
          </cell>
          <cell r="CK247">
            <v>0</v>
          </cell>
          <cell r="CL247">
            <v>0</v>
          </cell>
          <cell r="CM247">
            <v>0</v>
          </cell>
          <cell r="CN247">
            <v>0</v>
          </cell>
        </row>
        <row r="248">
          <cell r="B248" t="str">
            <v>SS313</v>
          </cell>
          <cell r="CH248">
            <v>0</v>
          </cell>
          <cell r="CI248">
            <v>0</v>
          </cell>
          <cell r="CJ248">
            <v>0</v>
          </cell>
          <cell r="CK248">
            <v>0</v>
          </cell>
          <cell r="CL248">
            <v>0</v>
          </cell>
          <cell r="CM248">
            <v>0</v>
          </cell>
          <cell r="CN248">
            <v>0</v>
          </cell>
        </row>
        <row r="249">
          <cell r="B249" t="str">
            <v>SS314</v>
          </cell>
          <cell r="CH249">
            <v>0</v>
          </cell>
          <cell r="CI249">
            <v>0</v>
          </cell>
          <cell r="CJ249">
            <v>0</v>
          </cell>
          <cell r="CK249">
            <v>0</v>
          </cell>
          <cell r="CL249">
            <v>0</v>
          </cell>
          <cell r="CM249">
            <v>0</v>
          </cell>
          <cell r="CN249">
            <v>0</v>
          </cell>
        </row>
        <row r="250">
          <cell r="B250" t="str">
            <v>SS316</v>
          </cell>
          <cell r="CH250">
            <v>0</v>
          </cell>
          <cell r="CI250">
            <v>0</v>
          </cell>
          <cell r="CJ250">
            <v>0</v>
          </cell>
          <cell r="CK250">
            <v>0</v>
          </cell>
          <cell r="CL250">
            <v>0</v>
          </cell>
          <cell r="CM250">
            <v>0</v>
          </cell>
          <cell r="CN250">
            <v>0</v>
          </cell>
        </row>
        <row r="251">
          <cell r="B251" t="str">
            <v>SS321</v>
          </cell>
          <cell r="CH251">
            <v>1.9059929636804478E-4</v>
          </cell>
          <cell r="CI251">
            <v>0</v>
          </cell>
          <cell r="CJ251">
            <v>0</v>
          </cell>
          <cell r="CK251">
            <v>0</v>
          </cell>
          <cell r="CL251">
            <v>0</v>
          </cell>
          <cell r="CM251">
            <v>0</v>
          </cell>
          <cell r="CN251">
            <v>0</v>
          </cell>
        </row>
        <row r="252">
          <cell r="B252" t="str">
            <v>SS325</v>
          </cell>
          <cell r="CH252">
            <v>6.9975137519768813E-3</v>
          </cell>
          <cell r="CI252">
            <v>9.5052000937109297E-3</v>
          </cell>
          <cell r="CJ252">
            <v>7.5163189743373011E-3</v>
          </cell>
          <cell r="CK252">
            <v>4.7835819951657253E-3</v>
          </cell>
          <cell r="CL252">
            <v>1.4106362476082894E-3</v>
          </cell>
          <cell r="CM252">
            <v>1.9320002267627729E-4</v>
          </cell>
          <cell r="CN252">
            <v>0</v>
          </cell>
        </row>
        <row r="253">
          <cell r="B253" t="str">
            <v>SS326</v>
          </cell>
          <cell r="CH253">
            <v>0.21069423651263514</v>
          </cell>
          <cell r="CI253">
            <v>0.31743206432964433</v>
          </cell>
          <cell r="CJ253">
            <v>0.24579499298251076</v>
          </cell>
          <cell r="CK253">
            <v>0.15914395720661284</v>
          </cell>
          <cell r="CL253">
            <v>4.9017631776645414E-2</v>
          </cell>
          <cell r="CM253">
            <v>8.6381951177153457E-3</v>
          </cell>
          <cell r="CN253">
            <v>0</v>
          </cell>
        </row>
        <row r="254">
          <cell r="B254" t="str">
            <v>SS327</v>
          </cell>
          <cell r="CH254">
            <v>4.245917964137278</v>
          </cell>
          <cell r="CI254">
            <v>6.1594544866756866</v>
          </cell>
          <cell r="CJ254">
            <v>5.1199437380428723</v>
          </cell>
          <cell r="CK254">
            <v>4.0636419673834379</v>
          </cell>
          <cell r="CL254">
            <v>3.2135544459087404</v>
          </cell>
          <cell r="CM254">
            <v>2.4538090184029109</v>
          </cell>
          <cell r="CN254">
            <v>1.3807198118828925</v>
          </cell>
        </row>
        <row r="255">
          <cell r="B255" t="str">
            <v>SS328</v>
          </cell>
          <cell r="CH255">
            <v>5.8933884154124154</v>
          </cell>
          <cell r="CI255">
            <v>7.4497501616510355</v>
          </cell>
          <cell r="CJ255">
            <v>6.1389156847105486</v>
          </cell>
          <cell r="CK255">
            <v>4.9084727893904203</v>
          </cell>
          <cell r="CL255">
            <v>3.8698707157535175</v>
          </cell>
          <cell r="CM255">
            <v>2.9679802667212538</v>
          </cell>
          <cell r="CN255">
            <v>1.6068986814765294</v>
          </cell>
        </row>
        <row r="256">
          <cell r="B256" t="str">
            <v>SS329</v>
          </cell>
          <cell r="CH256">
            <v>6.4719491873001171</v>
          </cell>
          <cell r="CI256">
            <v>11.943034336085873</v>
          </cell>
          <cell r="CJ256">
            <v>13.776211381502707</v>
          </cell>
          <cell r="CK256">
            <v>14.618304559140356</v>
          </cell>
          <cell r="CL256">
            <v>15.27712605304621</v>
          </cell>
          <cell r="CM256">
            <v>15.49620918188554</v>
          </cell>
          <cell r="CN256">
            <v>17.141873791056078</v>
          </cell>
        </row>
        <row r="257">
          <cell r="B257" t="str">
            <v>SS330</v>
          </cell>
          <cell r="CH257">
            <v>8.5187421196352346</v>
          </cell>
          <cell r="CI257">
            <v>15.335614971129925</v>
          </cell>
          <cell r="CJ257">
            <v>17.00869525992789</v>
          </cell>
          <cell r="CK257">
            <v>18.137823698897712</v>
          </cell>
          <cell r="CL257">
            <v>19.155313734443858</v>
          </cell>
          <cell r="CM257">
            <v>18.912912157211149</v>
          </cell>
          <cell r="CN257">
            <v>20.387955308182693</v>
          </cell>
        </row>
        <row r="258">
          <cell r="B258" t="str">
            <v>SS331</v>
          </cell>
          <cell r="CH258">
            <v>2.1179119427208962E-2</v>
          </cell>
          <cell r="CI258">
            <v>3.2859493819278558E-2</v>
          </cell>
          <cell r="CJ258">
            <v>2.6962740215645504E-2</v>
          </cell>
          <cell r="CK258">
            <v>2.1011210190645713E-2</v>
          </cell>
          <cell r="CL258">
            <v>1.5411379091992625E-2</v>
          </cell>
          <cell r="CM258">
            <v>1.0350743849050508E-2</v>
          </cell>
          <cell r="CN258">
            <v>4.1744025144439985E-3</v>
          </cell>
        </row>
        <row r="259">
          <cell r="B259" t="str">
            <v>SS332</v>
          </cell>
          <cell r="CH259">
            <v>2.3436124235629692E-2</v>
          </cell>
          <cell r="CI259">
            <v>3.2657903111818654E-2</v>
          </cell>
          <cell r="CJ259">
            <v>2.7474757811874972E-2</v>
          </cell>
          <cell r="CK259">
            <v>2.1133260876305841E-2</v>
          </cell>
          <cell r="CL259">
            <v>1.5529619655851992E-2</v>
          </cell>
          <cell r="CM259">
            <v>1.0787510830358926E-2</v>
          </cell>
          <cell r="CN259">
            <v>4.2827864405277699E-3</v>
          </cell>
        </row>
        <row r="260">
          <cell r="B260" t="str">
            <v>SS333</v>
          </cell>
          <cell r="CH260">
            <v>1.1175467002670818</v>
          </cell>
          <cell r="CI260">
            <v>1.4565473031291658</v>
          </cell>
          <cell r="CJ260">
            <v>1.2228826707549671</v>
          </cell>
          <cell r="CK260">
            <v>0.94792733225508163</v>
          </cell>
          <cell r="CL260">
            <v>0.68679878698219488</v>
          </cell>
          <cell r="CM260">
            <v>0.47697481983637502</v>
          </cell>
          <cell r="CN260">
            <v>0.19159461062381627</v>
          </cell>
        </row>
        <row r="261">
          <cell r="B261" t="str">
            <v>SS334</v>
          </cell>
          <cell r="CH261">
            <v>0.61931944901007607</v>
          </cell>
          <cell r="CI261">
            <v>0.86762361010877842</v>
          </cell>
          <cell r="CJ261">
            <v>0.71881057610642574</v>
          </cell>
          <cell r="CK261">
            <v>0.56953614369196515</v>
          </cell>
          <cell r="CL261">
            <v>0.41333365816445161</v>
          </cell>
          <cell r="CM261">
            <v>0.28193381725643735</v>
          </cell>
          <cell r="CN261">
            <v>0.11495619203872656</v>
          </cell>
        </row>
        <row r="262">
          <cell r="B262" t="str">
            <v>SS335</v>
          </cell>
          <cell r="CH262">
            <v>1.9901959878893183</v>
          </cell>
          <cell r="CI262">
            <v>4.3213152831471415</v>
          </cell>
          <cell r="CJ262">
            <v>4.3927335252702893</v>
          </cell>
          <cell r="CK262">
            <v>4.38318587862197</v>
          </cell>
          <cell r="CL262">
            <v>4.2652730134001189</v>
          </cell>
          <cell r="CM262">
            <v>4.1290668854466297</v>
          </cell>
          <cell r="CN262">
            <v>4.0157163683247266</v>
          </cell>
        </row>
        <row r="263">
          <cell r="B263" t="str">
            <v>SS336</v>
          </cell>
          <cell r="CH263">
            <v>1.1918622282819238</v>
          </cell>
          <cell r="CI263">
            <v>2.5681403547828552</v>
          </cell>
          <cell r="CJ263">
            <v>2.6229650221262863</v>
          </cell>
          <cell r="CK263">
            <v>2.6051471025768516</v>
          </cell>
          <cell r="CL263">
            <v>2.5384679122201828</v>
          </cell>
          <cell r="CM263">
            <v>2.5816498427916943</v>
          </cell>
          <cell r="CN263">
            <v>2.5331368551541322</v>
          </cell>
        </row>
        <row r="264">
          <cell r="B264" t="str">
            <v>SS337</v>
          </cell>
          <cell r="CH264">
            <v>0.54018834843527619</v>
          </cell>
          <cell r="CI264">
            <v>1.2268163933363823</v>
          </cell>
          <cell r="CJ264">
            <v>1.4116824718935113</v>
          </cell>
          <cell r="CK264">
            <v>1.6046283850597074</v>
          </cell>
          <cell r="CL264">
            <v>1.8113519793457693</v>
          </cell>
          <cell r="CM264">
            <v>2.1077139802710869</v>
          </cell>
          <cell r="CN264">
            <v>2.2733635905693999</v>
          </cell>
        </row>
        <row r="265">
          <cell r="B265" t="str">
            <v>SS338</v>
          </cell>
          <cell r="CH265">
            <v>0.52693910195128923</v>
          </cell>
          <cell r="CI265">
            <v>1.2657017161685493</v>
          </cell>
          <cell r="CJ265">
            <v>1.5821718846588748</v>
          </cell>
          <cell r="CK265">
            <v>1.824272405790667</v>
          </cell>
          <cell r="CL265">
            <v>2.0913537312724162</v>
          </cell>
          <cell r="CM265">
            <v>2.4323690632078181</v>
          </cell>
          <cell r="CN265">
            <v>2.6626095662758882</v>
          </cell>
        </row>
        <row r="266">
          <cell r="B266" t="str">
            <v>SS342</v>
          </cell>
          <cell r="CH266">
            <v>0</v>
          </cell>
          <cell r="CI266">
            <v>0</v>
          </cell>
          <cell r="CJ266">
            <v>0</v>
          </cell>
          <cell r="CK266">
            <v>0</v>
          </cell>
          <cell r="CL266">
            <v>0</v>
          </cell>
          <cell r="CM266">
            <v>0</v>
          </cell>
          <cell r="CN266">
            <v>0</v>
          </cell>
        </row>
        <row r="267">
          <cell r="B267" t="str">
            <v>SS343</v>
          </cell>
          <cell r="CH267">
            <v>0</v>
          </cell>
          <cell r="CI267">
            <v>0</v>
          </cell>
          <cell r="CJ267">
            <v>0</v>
          </cell>
          <cell r="CK267">
            <v>0</v>
          </cell>
          <cell r="CL267">
            <v>0</v>
          </cell>
          <cell r="CM267">
            <v>0</v>
          </cell>
          <cell r="CN267">
            <v>0</v>
          </cell>
        </row>
        <row r="268">
          <cell r="B268" t="str">
            <v>SS344</v>
          </cell>
          <cell r="CH268">
            <v>7.1739648924398249E-4</v>
          </cell>
          <cell r="CI268">
            <v>0</v>
          </cell>
          <cell r="CJ268">
            <v>0</v>
          </cell>
          <cell r="CK268">
            <v>0</v>
          </cell>
          <cell r="CL268">
            <v>0</v>
          </cell>
          <cell r="CM268">
            <v>0</v>
          </cell>
          <cell r="CN268">
            <v>0</v>
          </cell>
        </row>
        <row r="269">
          <cell r="B269" t="str">
            <v>SS345</v>
          </cell>
          <cell r="CH269">
            <v>0.1143103625147463</v>
          </cell>
          <cell r="CI269">
            <v>0.24090478279399469</v>
          </cell>
          <cell r="CJ269">
            <v>0.37312066668432264</v>
          </cell>
          <cell r="CK269">
            <v>0.47468025439049677</v>
          </cell>
          <cell r="CL269">
            <v>0.58930353819528802</v>
          </cell>
          <cell r="CM269">
            <v>0.74596473350766734</v>
          </cell>
          <cell r="CN269">
            <v>0.90694996911475889</v>
          </cell>
        </row>
        <row r="270">
          <cell r="B270" t="str">
            <v>SS346</v>
          </cell>
          <cell r="CH270">
            <v>0.1259469808945855</v>
          </cell>
          <cell r="CI270">
            <v>0.2411043864977549</v>
          </cell>
          <cell r="CJ270">
            <v>0.34586438184990054</v>
          </cell>
          <cell r="CK270">
            <v>0.43052975326365711</v>
          </cell>
          <cell r="CL270">
            <v>0.53555376329169213</v>
          </cell>
          <cell r="CM270">
            <v>0.67190953912313856</v>
          </cell>
          <cell r="CN270">
            <v>0.79391088160943701</v>
          </cell>
        </row>
        <row r="271">
          <cell r="B271" t="str">
            <v>SS349</v>
          </cell>
          <cell r="CH271">
            <v>0</v>
          </cell>
          <cell r="CI271">
            <v>0</v>
          </cell>
          <cell r="CJ271">
            <v>0</v>
          </cell>
          <cell r="CK271">
            <v>0</v>
          </cell>
          <cell r="CL271">
            <v>0</v>
          </cell>
          <cell r="CM271">
            <v>0</v>
          </cell>
          <cell r="CN271">
            <v>0</v>
          </cell>
        </row>
        <row r="272">
          <cell r="B272" t="str">
            <v>SS359</v>
          </cell>
          <cell r="CH272">
            <v>7.1345990803264855E-2</v>
          </cell>
          <cell r="CI272">
            <v>9.9754958322741102E-2</v>
          </cell>
          <cell r="CJ272">
            <v>5.7324795424332525E-2</v>
          </cell>
          <cell r="CK272">
            <v>4.9328483799457486E-2</v>
          </cell>
          <cell r="CL272">
            <v>4.3515512371184478E-2</v>
          </cell>
          <cell r="CM272">
            <v>3.6189805810126111E-2</v>
          </cell>
          <cell r="CN272">
            <v>1.73389057671622E-2</v>
          </cell>
        </row>
        <row r="273">
          <cell r="B273" t="str">
            <v>SS360</v>
          </cell>
          <cell r="CH273">
            <v>0.14647365593367265</v>
          </cell>
          <cell r="CI273">
            <v>0.1622232755895916</v>
          </cell>
          <cell r="CJ273">
            <v>8.6329989354488712E-2</v>
          </cell>
          <cell r="CK273">
            <v>7.3774259010437229E-2</v>
          </cell>
          <cell r="CL273">
            <v>6.4648791181184176E-2</v>
          </cell>
          <cell r="CM273">
            <v>5.339375372885425E-2</v>
          </cell>
          <cell r="CN273">
            <v>2.1565504360982087E-2</v>
          </cell>
        </row>
        <row r="274">
          <cell r="B274" t="str">
            <v>SS361</v>
          </cell>
          <cell r="CH274">
            <v>0.51472894797104274</v>
          </cell>
          <cell r="CI274">
            <v>0.75056905284404152</v>
          </cell>
          <cell r="CJ274">
            <v>0.70963020852531689</v>
          </cell>
          <cell r="CK274">
            <v>0.60062597445970456</v>
          </cell>
          <cell r="CL274">
            <v>0.52100421010135711</v>
          </cell>
          <cell r="CM274">
            <v>0.4264758829299245</v>
          </cell>
          <cell r="CN274">
            <v>0.3655478964803387</v>
          </cell>
        </row>
        <row r="275">
          <cell r="B275" t="str">
            <v>SS362</v>
          </cell>
          <cell r="CH275">
            <v>0.81893709893692335</v>
          </cell>
          <cell r="CI275">
            <v>1.5214878130441767</v>
          </cell>
          <cell r="CJ275">
            <v>1.4378799771907835</v>
          </cell>
          <cell r="CK275">
            <v>1.2110385046488761</v>
          </cell>
          <cell r="CL275">
            <v>1.0444382287669518</v>
          </cell>
          <cell r="CM275">
            <v>0.85469926665168872</v>
          </cell>
          <cell r="CN275">
            <v>0.7269897216967528</v>
          </cell>
        </row>
        <row r="276">
          <cell r="B276" t="str">
            <v>SS365</v>
          </cell>
          <cell r="CH276">
            <v>1.4516171406752766E-2</v>
          </cell>
          <cell r="CI276">
            <v>1.2750905195656899E-2</v>
          </cell>
          <cell r="CJ276">
            <v>4.2127839200280445E-3</v>
          </cell>
          <cell r="CK276">
            <v>3.5945702857661885E-3</v>
          </cell>
          <cell r="CL276">
            <v>3.1440623924963401E-3</v>
          </cell>
          <cell r="CM276">
            <v>2.5922946850799248E-3</v>
          </cell>
          <cell r="CN276">
            <v>0</v>
          </cell>
        </row>
        <row r="277">
          <cell r="B277" t="str">
            <v>SS366</v>
          </cell>
          <cell r="CH277">
            <v>2.8807448753602166E-2</v>
          </cell>
          <cell r="CI277">
            <v>2.0400454344880796E-2</v>
          </cell>
          <cell r="CJ277">
            <v>8.3371282479932831E-3</v>
          </cell>
          <cell r="CK277">
            <v>7.1111147213251836E-3</v>
          </cell>
          <cell r="CL277">
            <v>6.218673083502998E-3</v>
          </cell>
          <cell r="CM277">
            <v>5.125142917186961E-3</v>
          </cell>
          <cell r="CN277">
            <v>4.5921324116783693E-4</v>
          </cell>
        </row>
        <row r="278">
          <cell r="B278" t="str">
            <v>SS367</v>
          </cell>
          <cell r="CH278">
            <v>8.869358955505538E-2</v>
          </cell>
          <cell r="CI278">
            <v>0.12573069619403182</v>
          </cell>
          <cell r="CJ278">
            <v>0.11045968696523849</v>
          </cell>
          <cell r="CK278">
            <v>9.2651555356547122E-2</v>
          </cell>
          <cell r="CL278">
            <v>7.911663539590949E-2</v>
          </cell>
          <cell r="CM278">
            <v>6.5122156138222809E-2</v>
          </cell>
          <cell r="CN278">
            <v>5.1806333161139743E-2</v>
          </cell>
        </row>
        <row r="279">
          <cell r="B279" t="str">
            <v>SS368</v>
          </cell>
          <cell r="CH279">
            <v>0.10297211782049535</v>
          </cell>
          <cell r="CI279">
            <v>0.13405696646257675</v>
          </cell>
          <cell r="CJ279">
            <v>0.12104483160242069</v>
          </cell>
          <cell r="CK279">
            <v>9.3188484321033618E-2</v>
          </cell>
          <cell r="CL279">
            <v>8.9427234509302997E-2</v>
          </cell>
          <cell r="CM279">
            <v>6.5143896503549834E-2</v>
          </cell>
          <cell r="CN279">
            <v>5.6584792763074099E-2</v>
          </cell>
        </row>
        <row r="280">
          <cell r="B280" t="str">
            <v>SS369</v>
          </cell>
          <cell r="CH280">
            <v>5.4345220858300888E-2</v>
          </cell>
          <cell r="CI280">
            <v>8.4851255407489501E-2</v>
          </cell>
          <cell r="CJ280">
            <v>0.11261323231822873</v>
          </cell>
          <cell r="CK280">
            <v>0.11198816241671752</v>
          </cell>
          <cell r="CL280">
            <v>0.12419111939951118</v>
          </cell>
          <cell r="CM280">
            <v>0.14803219517070942</v>
          </cell>
          <cell r="CN280">
            <v>0.15081822752325272</v>
          </cell>
        </row>
        <row r="281">
          <cell r="B281" t="str">
            <v>SS370</v>
          </cell>
          <cell r="CH281">
            <v>4.9982167453957282E-2</v>
          </cell>
          <cell r="CI281">
            <v>8.6852228293817044E-2</v>
          </cell>
          <cell r="CJ281">
            <v>0.11235454328750225</v>
          </cell>
          <cell r="CK281">
            <v>0.11038022230774845</v>
          </cell>
          <cell r="CL281">
            <v>0.12272998706013441</v>
          </cell>
          <cell r="CM281">
            <v>0.13787579406545197</v>
          </cell>
          <cell r="CN281">
            <v>0.14112234141299221</v>
          </cell>
        </row>
        <row r="282">
          <cell r="B282" t="str">
            <v>SS400</v>
          </cell>
          <cell r="CH282">
            <v>0</v>
          </cell>
          <cell r="CI282">
            <v>0</v>
          </cell>
          <cell r="CJ282">
            <v>0</v>
          </cell>
          <cell r="CK282">
            <v>0</v>
          </cell>
          <cell r="CL282">
            <v>0</v>
          </cell>
          <cell r="CM282">
            <v>0</v>
          </cell>
          <cell r="CN282">
            <v>0</v>
          </cell>
        </row>
        <row r="283">
          <cell r="B283" t="str">
            <v>SS401</v>
          </cell>
          <cell r="CH283">
            <v>0</v>
          </cell>
          <cell r="CI283">
            <v>0</v>
          </cell>
          <cell r="CJ283">
            <v>0</v>
          </cell>
          <cell r="CK283">
            <v>0</v>
          </cell>
          <cell r="CL283">
            <v>0</v>
          </cell>
          <cell r="CM283">
            <v>0</v>
          </cell>
          <cell r="CN283">
            <v>0</v>
          </cell>
        </row>
        <row r="284">
          <cell r="B284" t="str">
            <v>SS402</v>
          </cell>
          <cell r="CH284">
            <v>0</v>
          </cell>
          <cell r="CI284">
            <v>0</v>
          </cell>
          <cell r="CJ284">
            <v>0</v>
          </cell>
          <cell r="CK284">
            <v>0</v>
          </cell>
          <cell r="CL284">
            <v>0</v>
          </cell>
          <cell r="CM284">
            <v>0</v>
          </cell>
          <cell r="CN284">
            <v>0</v>
          </cell>
        </row>
        <row r="285">
          <cell r="B285" t="str">
            <v>SS403</v>
          </cell>
          <cell r="CH285">
            <v>0</v>
          </cell>
          <cell r="CI285">
            <v>0</v>
          </cell>
          <cell r="CJ285">
            <v>0</v>
          </cell>
          <cell r="CK285">
            <v>0</v>
          </cell>
          <cell r="CL285">
            <v>0</v>
          </cell>
          <cell r="CM285">
            <v>0</v>
          </cell>
          <cell r="CN285">
            <v>0</v>
          </cell>
        </row>
        <row r="286">
          <cell r="B286" t="str">
            <v>SS404</v>
          </cell>
          <cell r="CH286">
            <v>0</v>
          </cell>
          <cell r="CI286">
            <v>0</v>
          </cell>
          <cell r="CJ286">
            <v>0</v>
          </cell>
          <cell r="CK286">
            <v>0</v>
          </cell>
          <cell r="CL286">
            <v>0</v>
          </cell>
          <cell r="CM286">
            <v>0</v>
          </cell>
          <cell r="CN286">
            <v>0</v>
          </cell>
        </row>
        <row r="287">
          <cell r="B287" t="str">
            <v>SS405</v>
          </cell>
          <cell r="CH287">
            <v>0</v>
          </cell>
          <cell r="CI287">
            <v>0</v>
          </cell>
          <cell r="CJ287">
            <v>0</v>
          </cell>
          <cell r="CK287">
            <v>0</v>
          </cell>
          <cell r="CL287">
            <v>0</v>
          </cell>
          <cell r="CM287">
            <v>0</v>
          </cell>
          <cell r="CN287">
            <v>0</v>
          </cell>
        </row>
        <row r="288">
          <cell r="B288" t="str">
            <v>SS406</v>
          </cell>
          <cell r="CH288">
            <v>0</v>
          </cell>
          <cell r="CI288">
            <v>0</v>
          </cell>
          <cell r="CJ288">
            <v>0</v>
          </cell>
          <cell r="CK288">
            <v>0</v>
          </cell>
          <cell r="CL288">
            <v>0</v>
          </cell>
          <cell r="CM288">
            <v>0</v>
          </cell>
          <cell r="CN288">
            <v>0</v>
          </cell>
        </row>
        <row r="289">
          <cell r="B289" t="str">
            <v>SS407</v>
          </cell>
          <cell r="CH289">
            <v>0</v>
          </cell>
          <cell r="CI289">
            <v>0</v>
          </cell>
          <cell r="CJ289">
            <v>0</v>
          </cell>
          <cell r="CK289">
            <v>0</v>
          </cell>
          <cell r="CL289">
            <v>0</v>
          </cell>
          <cell r="CM289">
            <v>0</v>
          </cell>
          <cell r="CN289">
            <v>0</v>
          </cell>
        </row>
        <row r="290">
          <cell r="B290" t="str">
            <v>SS408</v>
          </cell>
          <cell r="CH290">
            <v>0</v>
          </cell>
          <cell r="CI290">
            <v>0</v>
          </cell>
          <cell r="CJ290">
            <v>0</v>
          </cell>
          <cell r="CK290">
            <v>0</v>
          </cell>
          <cell r="CL290">
            <v>0</v>
          </cell>
          <cell r="CM290">
            <v>0</v>
          </cell>
          <cell r="CN290">
            <v>0</v>
          </cell>
        </row>
        <row r="291">
          <cell r="B291" t="str">
            <v>SS410</v>
          </cell>
          <cell r="CH291">
            <v>0</v>
          </cell>
          <cell r="CI291">
            <v>0</v>
          </cell>
          <cell r="CJ291">
            <v>0</v>
          </cell>
          <cell r="CK291">
            <v>0</v>
          </cell>
          <cell r="CL291">
            <v>0</v>
          </cell>
          <cell r="CM291">
            <v>0</v>
          </cell>
          <cell r="CN291">
            <v>0</v>
          </cell>
        </row>
        <row r="292">
          <cell r="B292" t="str">
            <v>SS411</v>
          </cell>
          <cell r="CH292">
            <v>0</v>
          </cell>
          <cell r="CI292">
            <v>0</v>
          </cell>
          <cell r="CJ292">
            <v>0</v>
          </cell>
          <cell r="CK292">
            <v>0</v>
          </cell>
          <cell r="CL292">
            <v>0</v>
          </cell>
          <cell r="CM292">
            <v>0</v>
          </cell>
          <cell r="CN292">
            <v>0</v>
          </cell>
        </row>
        <row r="293">
          <cell r="B293" t="str">
            <v>SS413</v>
          </cell>
          <cell r="CH293">
            <v>0</v>
          </cell>
          <cell r="CI293">
            <v>0</v>
          </cell>
          <cell r="CJ293">
            <v>0</v>
          </cell>
          <cell r="CK293">
            <v>0</v>
          </cell>
          <cell r="CL293">
            <v>0</v>
          </cell>
          <cell r="CM293">
            <v>0</v>
          </cell>
          <cell r="CN293">
            <v>0</v>
          </cell>
        </row>
        <row r="294">
          <cell r="B294" t="str">
            <v>SS414</v>
          </cell>
          <cell r="CH294">
            <v>0</v>
          </cell>
          <cell r="CI294">
            <v>0</v>
          </cell>
          <cell r="CJ294">
            <v>0</v>
          </cell>
          <cell r="CK294">
            <v>0</v>
          </cell>
          <cell r="CL294">
            <v>0</v>
          </cell>
          <cell r="CM294">
            <v>0</v>
          </cell>
          <cell r="CN294">
            <v>0</v>
          </cell>
        </row>
        <row r="295">
          <cell r="B295" t="str">
            <v>SS416</v>
          </cell>
          <cell r="CH295">
            <v>0</v>
          </cell>
          <cell r="CI295">
            <v>0</v>
          </cell>
          <cell r="CJ295">
            <v>0</v>
          </cell>
          <cell r="CK295">
            <v>0</v>
          </cell>
          <cell r="CL295">
            <v>0</v>
          </cell>
          <cell r="CM295">
            <v>0</v>
          </cell>
          <cell r="CN295">
            <v>0</v>
          </cell>
        </row>
        <row r="296">
          <cell r="B296" t="str">
            <v>SS421</v>
          </cell>
          <cell r="CH296">
            <v>5.0974178056249688E-4</v>
          </cell>
          <cell r="CI296">
            <v>0</v>
          </cell>
          <cell r="CJ296">
            <v>0</v>
          </cell>
          <cell r="CK296">
            <v>0</v>
          </cell>
          <cell r="CL296">
            <v>0</v>
          </cell>
          <cell r="CM296">
            <v>0</v>
          </cell>
          <cell r="CN296">
            <v>0</v>
          </cell>
        </row>
        <row r="297">
          <cell r="B297" t="str">
            <v>SS425</v>
          </cell>
          <cell r="CH297">
            <v>1.5612158600893244E-2</v>
          </cell>
          <cell r="CI297">
            <v>1.3472141142807651E-2</v>
          </cell>
          <cell r="CJ297">
            <v>1.0459792112506982E-2</v>
          </cell>
          <cell r="CK297">
            <v>6.6481376026127038E-3</v>
          </cell>
          <cell r="CL297">
            <v>1.991528981610933E-3</v>
          </cell>
          <cell r="CM297">
            <v>2.7264062634957224E-4</v>
          </cell>
          <cell r="CN297">
            <v>0</v>
          </cell>
        </row>
        <row r="298">
          <cell r="B298" t="str">
            <v>SS426</v>
          </cell>
          <cell r="CH298">
            <v>0.13499909709402599</v>
          </cell>
          <cell r="CI298">
            <v>8.7439426806500381E-2</v>
          </cell>
          <cell r="CJ298">
            <v>6.7270771361671811E-2</v>
          </cell>
          <cell r="CK298">
            <v>4.2814756014679323E-2</v>
          </cell>
          <cell r="CL298">
            <v>1.3305637664291773E-2</v>
          </cell>
          <cell r="CM298">
            <v>2.2974823191360921E-3</v>
          </cell>
          <cell r="CN298">
            <v>0</v>
          </cell>
        </row>
        <row r="299">
          <cell r="B299" t="str">
            <v>SS427</v>
          </cell>
          <cell r="CH299">
            <v>3.4964748364811058</v>
          </cell>
          <cell r="CI299">
            <v>3.3287821598049971</v>
          </cell>
          <cell r="CJ299">
            <v>2.7894116078025051</v>
          </cell>
          <cell r="CK299">
            <v>2.2215043922611653</v>
          </cell>
          <cell r="CL299">
            <v>1.7295558937473401</v>
          </cell>
          <cell r="CM299">
            <v>1.3139348339183372</v>
          </cell>
          <cell r="CN299">
            <v>0.72848568457817331</v>
          </cell>
        </row>
        <row r="300">
          <cell r="B300" t="str">
            <v>SS428</v>
          </cell>
          <cell r="CH300">
            <v>3.4779991949850189</v>
          </cell>
          <cell r="CI300">
            <v>3.3021954671147538</v>
          </cell>
          <cell r="CJ300">
            <v>2.7442063428098482</v>
          </cell>
          <cell r="CK300">
            <v>2.183797269822616</v>
          </cell>
          <cell r="CL300">
            <v>1.6988585669170351</v>
          </cell>
          <cell r="CM300">
            <v>1.2963379069883847</v>
          </cell>
          <cell r="CN300">
            <v>0.70866347868916968</v>
          </cell>
        </row>
        <row r="301">
          <cell r="B301" t="str">
            <v>SS429</v>
          </cell>
          <cell r="CH301">
            <v>6.4902797032895263</v>
          </cell>
          <cell r="CI301">
            <v>8.7274746986901164</v>
          </cell>
          <cell r="CJ301">
            <v>9.9384366702914608</v>
          </cell>
          <cell r="CK301">
            <v>10.67426333967245</v>
          </cell>
          <cell r="CL301">
            <v>11.179217478306883</v>
          </cell>
          <cell r="CM301">
            <v>11.354068959826797</v>
          </cell>
          <cell r="CN301">
            <v>12.22090542897017</v>
          </cell>
        </row>
        <row r="302">
          <cell r="B302" t="str">
            <v>SS430</v>
          </cell>
          <cell r="CH302">
            <v>5.7839675477688841</v>
          </cell>
          <cell r="CI302">
            <v>6.4625153548290548</v>
          </cell>
          <cell r="CJ302">
            <v>7.2151819606324796</v>
          </cell>
          <cell r="CK302">
            <v>7.6781039827190769</v>
          </cell>
          <cell r="CL302">
            <v>7.9670987431395135</v>
          </cell>
          <cell r="CM302">
            <v>8.0750823643180603</v>
          </cell>
          <cell r="CN302">
            <v>8.5815361942284767</v>
          </cell>
        </row>
        <row r="303">
          <cell r="B303" t="str">
            <v>SS431</v>
          </cell>
          <cell r="CH303">
            <v>3.3715812686967182E-2</v>
          </cell>
          <cell r="CI303">
            <v>3.1702796118035448E-2</v>
          </cell>
          <cell r="CJ303">
            <v>2.6452463570348056E-2</v>
          </cell>
          <cell r="CK303">
            <v>2.0527436662277136E-2</v>
          </cell>
          <cell r="CL303">
            <v>1.485139107196768E-2</v>
          </cell>
          <cell r="CM303">
            <v>1.0021068840657749E-2</v>
          </cell>
          <cell r="CN303">
            <v>4.0051547932173585E-3</v>
          </cell>
        </row>
        <row r="304">
          <cell r="B304" t="str">
            <v>SS432</v>
          </cell>
          <cell r="CH304">
            <v>3.5311735002461091E-2</v>
          </cell>
          <cell r="CI304">
            <v>2.6380756332595488E-2</v>
          </cell>
          <cell r="CJ304">
            <v>2.1791561210551286E-2</v>
          </cell>
          <cell r="CK304">
            <v>1.6909115937886441E-2</v>
          </cell>
          <cell r="CL304">
            <v>1.221074517702395E-2</v>
          </cell>
          <cell r="CM304">
            <v>8.3042634502188857E-3</v>
          </cell>
          <cell r="CN304">
            <v>3.3185857090624097E-3</v>
          </cell>
        </row>
        <row r="305">
          <cell r="B305" t="str">
            <v>SS433</v>
          </cell>
          <cell r="CH305">
            <v>1.5457136018331887</v>
          </cell>
          <cell r="CI305">
            <v>1.1669805754506333</v>
          </cell>
          <cell r="CJ305">
            <v>0.96881245665772076</v>
          </cell>
          <cell r="CK305">
            <v>0.75034552455719883</v>
          </cell>
          <cell r="CL305">
            <v>0.54163397085755949</v>
          </cell>
          <cell r="CM305">
            <v>0.36449766036949943</v>
          </cell>
          <cell r="CN305">
            <v>0.14523984020506198</v>
          </cell>
        </row>
        <row r="306">
          <cell r="B306" t="str">
            <v>SS434</v>
          </cell>
          <cell r="CH306">
            <v>0.57925954276969005</v>
          </cell>
          <cell r="CI306">
            <v>0.55490718356826163</v>
          </cell>
          <cell r="CJ306">
            <v>0.45976594908148205</v>
          </cell>
          <cell r="CK306">
            <v>0.3571750137300238</v>
          </cell>
          <cell r="CL306">
            <v>0.25830772710516642</v>
          </cell>
          <cell r="CM306">
            <v>0.17597207699220335</v>
          </cell>
          <cell r="CN306">
            <v>7.0461006615044952E-2</v>
          </cell>
        </row>
        <row r="307">
          <cell r="B307" t="str">
            <v>SS435</v>
          </cell>
          <cell r="CH307">
            <v>3.43703854246038</v>
          </cell>
          <cell r="CI307">
            <v>3.530690846623405</v>
          </cell>
          <cell r="CJ307">
            <v>3.5457130681231819</v>
          </cell>
          <cell r="CK307">
            <v>3.4809306498034553</v>
          </cell>
          <cell r="CL307">
            <v>3.4484712277617486</v>
          </cell>
          <cell r="CM307">
            <v>3.3172367878553493</v>
          </cell>
          <cell r="CN307">
            <v>3.3156607624586099</v>
          </cell>
        </row>
        <row r="308">
          <cell r="B308" t="str">
            <v>SS436</v>
          </cell>
          <cell r="CH308">
            <v>2.7143255006145059</v>
          </cell>
          <cell r="CI308">
            <v>2.5478055342860269</v>
          </cell>
          <cell r="CJ308">
            <v>2.6314300064435949</v>
          </cell>
          <cell r="CK308">
            <v>2.6018298828994744</v>
          </cell>
          <cell r="CL308">
            <v>2.5520369479374709</v>
          </cell>
          <cell r="CM308">
            <v>2.5052022568698806</v>
          </cell>
          <cell r="CN308">
            <v>2.492572702541505</v>
          </cell>
        </row>
        <row r="309">
          <cell r="B309" t="str">
            <v>SS437</v>
          </cell>
          <cell r="CH309">
            <v>0.86257851678413566</v>
          </cell>
          <cell r="CI309">
            <v>0.99282122213877888</v>
          </cell>
          <cell r="CJ309">
            <v>1.1411048042678451</v>
          </cell>
          <cell r="CK309">
            <v>1.2887035622777279</v>
          </cell>
          <cell r="CL309">
            <v>1.4686964535651972</v>
          </cell>
          <cell r="CM309">
            <v>1.6889127809635978</v>
          </cell>
          <cell r="CN309">
            <v>1.8007426004082128</v>
          </cell>
        </row>
        <row r="310">
          <cell r="B310" t="str">
            <v>SS438</v>
          </cell>
          <cell r="CH310">
            <v>0.71644064332226076</v>
          </cell>
          <cell r="CI310">
            <v>0.84681381898145736</v>
          </cell>
          <cell r="CJ310">
            <v>1.0546602270209202</v>
          </cell>
          <cell r="CK310">
            <v>1.2163290795461492</v>
          </cell>
          <cell r="CL310">
            <v>1.3915668530371157</v>
          </cell>
          <cell r="CM310">
            <v>1.614409113499103</v>
          </cell>
          <cell r="CN310">
            <v>1.7547990056214915</v>
          </cell>
        </row>
        <row r="311">
          <cell r="B311" t="str">
            <v>SS441</v>
          </cell>
          <cell r="CH311">
            <v>0</v>
          </cell>
          <cell r="CI311">
            <v>0</v>
          </cell>
          <cell r="CJ311">
            <v>0</v>
          </cell>
          <cell r="CK311">
            <v>0</v>
          </cell>
          <cell r="CL311">
            <v>0</v>
          </cell>
          <cell r="CM311">
            <v>0</v>
          </cell>
          <cell r="CN311">
            <v>0</v>
          </cell>
        </row>
        <row r="312">
          <cell r="B312" t="str">
            <v>SS442</v>
          </cell>
          <cell r="CH312">
            <v>0</v>
          </cell>
          <cell r="CI312">
            <v>0</v>
          </cell>
          <cell r="CJ312">
            <v>0</v>
          </cell>
          <cell r="CK312">
            <v>0</v>
          </cell>
          <cell r="CL312">
            <v>0</v>
          </cell>
          <cell r="CM312">
            <v>0</v>
          </cell>
          <cell r="CN312">
            <v>0</v>
          </cell>
        </row>
        <row r="313">
          <cell r="B313" t="str">
            <v>SS443</v>
          </cell>
          <cell r="CH313">
            <v>2.3791285885613824E-4</v>
          </cell>
          <cell r="CI313">
            <v>2.9989915561329412E-4</v>
          </cell>
          <cell r="CJ313">
            <v>3.8236148425405212E-4</v>
          </cell>
          <cell r="CK313">
            <v>4.0992249494446661E-4</v>
          </cell>
          <cell r="CL313">
            <v>4.428762165829749E-4</v>
          </cell>
          <cell r="CM313">
            <v>4.8213697306199717E-4</v>
          </cell>
          <cell r="CN313">
            <v>5.2525448646868213E-4</v>
          </cell>
        </row>
        <row r="314">
          <cell r="B314" t="str">
            <v>SS444</v>
          </cell>
          <cell r="CH314">
            <v>1.2818039747823457E-3</v>
          </cell>
          <cell r="CI314">
            <v>1.3175622450396754E-3</v>
          </cell>
          <cell r="CJ314">
            <v>1.6552022411428693E-3</v>
          </cell>
          <cell r="CK314">
            <v>1.7651975662544171E-3</v>
          </cell>
          <cell r="CL314">
            <v>1.8971864072223931E-3</v>
          </cell>
          <cell r="CM314">
            <v>2.0553880858862499E-3</v>
          </cell>
          <cell r="CN314">
            <v>2.2294253179316352E-3</v>
          </cell>
        </row>
        <row r="315">
          <cell r="B315" t="str">
            <v>SS445</v>
          </cell>
          <cell r="CH315">
            <v>5.8189256307617621E-2</v>
          </cell>
          <cell r="CI315">
            <v>7.4140818676959708E-2</v>
          </cell>
          <cell r="CJ315">
            <v>0.11637403316803113</v>
          </cell>
          <cell r="CK315">
            <v>0.1454208605581144</v>
          </cell>
          <cell r="CL315">
            <v>0.18166318457472608</v>
          </cell>
          <cell r="CM315">
            <v>0.23212566796454714</v>
          </cell>
          <cell r="CN315">
            <v>0.27919878425092504</v>
          </cell>
        </row>
        <row r="316">
          <cell r="B316" t="str">
            <v>SS446</v>
          </cell>
          <cell r="CH316">
            <v>7.7881157512279225E-2</v>
          </cell>
          <cell r="CI316">
            <v>0.10648207656081396</v>
          </cell>
          <cell r="CJ316">
            <v>0.15349437909532132</v>
          </cell>
          <cell r="CK316">
            <v>0.18748952951280223</v>
          </cell>
          <cell r="CL316">
            <v>0.23284443491543699</v>
          </cell>
          <cell r="CM316">
            <v>0.29439582769953571</v>
          </cell>
          <cell r="CN316">
            <v>0.34682130153622026</v>
          </cell>
        </row>
        <row r="317">
          <cell r="B317" t="str">
            <v>SS449</v>
          </cell>
          <cell r="CH317">
            <v>2.2291775252745994E-4</v>
          </cell>
          <cell r="CI317">
            <v>2.7334870809210093E-4</v>
          </cell>
          <cell r="CJ317">
            <v>3.4323541233181881E-4</v>
          </cell>
          <cell r="CK317">
            <v>3.6592500041879078E-4</v>
          </cell>
          <cell r="CL317">
            <v>3.9321033662387663E-4</v>
          </cell>
          <cell r="CM317">
            <v>4.2589897140556533E-4</v>
          </cell>
          <cell r="CN317">
            <v>4.6184734850102571E-4</v>
          </cell>
        </row>
        <row r="318">
          <cell r="B318" t="str">
            <v>SS459</v>
          </cell>
          <cell r="CH318">
            <v>4.7997943496028032E-2</v>
          </cell>
          <cell r="CI318">
            <v>3.6193580724677848E-2</v>
          </cell>
          <cell r="CJ318">
            <v>2.0724831787157883E-2</v>
          </cell>
          <cell r="CK318">
            <v>1.7768996560456957E-2</v>
          </cell>
          <cell r="CL318">
            <v>1.5617097667311146E-2</v>
          </cell>
          <cell r="CM318">
            <v>1.293836775334576E-2</v>
          </cell>
          <cell r="CN318">
            <v>6.174087162574152E-3</v>
          </cell>
        </row>
        <row r="319">
          <cell r="B319" t="str">
            <v>SS460</v>
          </cell>
          <cell r="CH319">
            <v>6.8821694884064366E-2</v>
          </cell>
          <cell r="CI319">
            <v>4.0073003724364932E-2</v>
          </cell>
          <cell r="CJ319">
            <v>2.1323593991954104E-2</v>
          </cell>
          <cell r="CK319">
            <v>1.8219842253390454E-2</v>
          </cell>
          <cell r="CL319">
            <v>1.5964288010516456E-2</v>
          </cell>
          <cell r="CM319">
            <v>1.3184747684782007E-2</v>
          </cell>
          <cell r="CN319">
            <v>5.3242097067142339E-3</v>
          </cell>
        </row>
        <row r="320">
          <cell r="B320" t="str">
            <v>SS461</v>
          </cell>
          <cell r="CH320">
            <v>0.56356642961557191</v>
          </cell>
          <cell r="CI320">
            <v>0.48017051283008827</v>
          </cell>
          <cell r="CJ320">
            <v>0.45368685809816223</v>
          </cell>
          <cell r="CK320">
            <v>0.3837405259510186</v>
          </cell>
          <cell r="CL320">
            <v>0.33259904336473534</v>
          </cell>
          <cell r="CM320">
            <v>0.27212216373146386</v>
          </cell>
          <cell r="CN320">
            <v>0.23305235623248768</v>
          </cell>
        </row>
        <row r="321">
          <cell r="B321" t="str">
            <v>SS462</v>
          </cell>
          <cell r="CH321">
            <v>0.65344367022099648</v>
          </cell>
          <cell r="CI321">
            <v>0.63481680371019722</v>
          </cell>
          <cell r="CJ321">
            <v>0.60124923245843853</v>
          </cell>
          <cell r="CK321">
            <v>0.50770932494457632</v>
          </cell>
          <cell r="CL321">
            <v>0.43900323090829835</v>
          </cell>
          <cell r="CM321">
            <v>0.36029818730235397</v>
          </cell>
          <cell r="CN321">
            <v>0.30746067515512027</v>
          </cell>
        </row>
        <row r="322">
          <cell r="B322" t="str">
            <v>SS463</v>
          </cell>
          <cell r="CH322">
            <v>0</v>
          </cell>
          <cell r="CI322">
            <v>0</v>
          </cell>
          <cell r="CJ322">
            <v>0</v>
          </cell>
          <cell r="CK322">
            <v>0</v>
          </cell>
          <cell r="CL322">
            <v>0</v>
          </cell>
          <cell r="CM322">
            <v>0</v>
          </cell>
          <cell r="CN322">
            <v>0</v>
          </cell>
        </row>
        <row r="323">
          <cell r="B323" t="str">
            <v>SS465</v>
          </cell>
          <cell r="CH323">
            <v>1.5603711165398916E-2</v>
          </cell>
          <cell r="CI323">
            <v>1.0163468640584988E-2</v>
          </cell>
          <cell r="CJ323">
            <v>3.363515849161195E-3</v>
          </cell>
          <cell r="CK323">
            <v>2.8758409731540796E-3</v>
          </cell>
          <cell r="CL323">
            <v>2.5202705178080194E-3</v>
          </cell>
          <cell r="CM323">
            <v>2.0824474911065815E-3</v>
          </cell>
          <cell r="CN323">
            <v>0</v>
          </cell>
        </row>
        <row r="324">
          <cell r="B324" t="str">
            <v>SS466</v>
          </cell>
          <cell r="CH324">
            <v>4.2050365884105489E-2</v>
          </cell>
          <cell r="CI324">
            <v>1.4589269597038542E-2</v>
          </cell>
          <cell r="CJ324">
            <v>5.948377008036773E-3</v>
          </cell>
          <cell r="CK324">
            <v>5.0589047221831565E-3</v>
          </cell>
          <cell r="CL324">
            <v>4.4123565602720068E-3</v>
          </cell>
          <cell r="CM324">
            <v>3.6262126935304498E-3</v>
          </cell>
          <cell r="CN324">
            <v>3.23819930776156E-4</v>
          </cell>
        </row>
        <row r="325">
          <cell r="B325" t="str">
            <v>SS467</v>
          </cell>
          <cell r="CH325">
            <v>0.12897710633310916</v>
          </cell>
          <cell r="CI325">
            <v>0.11328222159027715</v>
          </cell>
          <cell r="CJ325">
            <v>0.10005340528432394</v>
          </cell>
          <cell r="CK325">
            <v>8.4017554144603518E-2</v>
          </cell>
          <cell r="CL325">
            <v>7.1960130907567144E-2</v>
          </cell>
          <cell r="CM325">
            <v>5.9357765912144901E-2</v>
          </cell>
          <cell r="CN325">
            <v>4.7363083674663582E-2</v>
          </cell>
        </row>
        <row r="326">
          <cell r="B326" t="str">
            <v>SS468</v>
          </cell>
          <cell r="CH326">
            <v>0.24541105652529105</v>
          </cell>
          <cell r="CI326">
            <v>0.22195816260077639</v>
          </cell>
          <cell r="CJ326">
            <v>0.19205925870107238</v>
          </cell>
          <cell r="CK326">
            <v>0.15252601699123533</v>
          </cell>
          <cell r="CL326">
            <v>0.13207752145858773</v>
          </cell>
          <cell r="CM326">
            <v>0.11049773468888391</v>
          </cell>
          <cell r="CN326">
            <v>8.3228630726431357E-2</v>
          </cell>
        </row>
        <row r="327">
          <cell r="B327" t="str">
            <v>SS469</v>
          </cell>
          <cell r="CH327">
            <v>5.1586411449069232E-2</v>
          </cell>
          <cell r="CI327">
            <v>6.1905720025003795E-2</v>
          </cell>
          <cell r="CJ327">
            <v>8.1948090522406924E-2</v>
          </cell>
          <cell r="CK327">
            <v>8.1311858671467688E-2</v>
          </cell>
          <cell r="CL327">
            <v>8.9970560569749794E-2</v>
          </cell>
          <cell r="CM327">
            <v>0.10704053722454807</v>
          </cell>
          <cell r="CN327">
            <v>0.10888611778210848</v>
          </cell>
        </row>
        <row r="328">
          <cell r="B328" t="str">
            <v>SS470</v>
          </cell>
          <cell r="CH328">
            <v>8.382679719030825E-2</v>
          </cell>
          <cell r="CI328">
            <v>6.6662555895669093E-2</v>
          </cell>
          <cell r="CJ328">
            <v>8.6250290286532291E-2</v>
          </cell>
          <cell r="CK328">
            <v>8.4758648953383683E-2</v>
          </cell>
          <cell r="CL328">
            <v>9.4258793572279495E-2</v>
          </cell>
          <cell r="CM328">
            <v>0.10591344667208946</v>
          </cell>
          <cell r="CN328">
            <v>0.1084375410761077</v>
          </cell>
        </row>
        <row r="329">
          <cell r="B329" t="str">
            <v>SS139</v>
          </cell>
          <cell r="CH329">
            <v>5.433285358226577</v>
          </cell>
          <cell r="CI329">
            <v>4.4774372035322791</v>
          </cell>
          <cell r="CJ329">
            <v>3.7415575977475006</v>
          </cell>
          <cell r="CK329">
            <v>3.0987099764930539</v>
          </cell>
          <cell r="CL329">
            <v>2.5967648910194105</v>
          </cell>
          <cell r="CM329">
            <v>2.2191898798541532</v>
          </cell>
          <cell r="CN329">
            <v>1.569115221550156</v>
          </cell>
        </row>
        <row r="330">
          <cell r="B330" t="str">
            <v>SS140</v>
          </cell>
          <cell r="CH330">
            <v>12.953659826439926</v>
          </cell>
          <cell r="CI330">
            <v>10.039572569645129</v>
          </cell>
          <cell r="CJ330">
            <v>9.3995962378577076</v>
          </cell>
          <cell r="CK330">
            <v>8.1502522179158756</v>
          </cell>
          <cell r="CL330">
            <v>6.8813311786850289</v>
          </cell>
          <cell r="CM330">
            <v>5.7293238933762574</v>
          </cell>
          <cell r="CN330">
            <v>4.7249091231866851</v>
          </cell>
        </row>
        <row r="331">
          <cell r="B331" t="str">
            <v>SS147</v>
          </cell>
          <cell r="CH331">
            <v>2.3044966815849204</v>
          </cell>
          <cell r="CI331">
            <v>2.1966741502726612</v>
          </cell>
          <cell r="CJ331">
            <v>2.3350940260020723</v>
          </cell>
          <cell r="CK331">
            <v>2.1198293106856063</v>
          </cell>
          <cell r="CL331">
            <v>1.9301767195187058</v>
          </cell>
          <cell r="CM331">
            <v>1.8479988694040506</v>
          </cell>
          <cell r="CN331">
            <v>1.4363989681003404</v>
          </cell>
        </row>
        <row r="332">
          <cell r="B332" t="str">
            <v>SS148</v>
          </cell>
          <cell r="CH332">
            <v>4.5363520794809506</v>
          </cell>
          <cell r="CI332">
            <v>4.9084250035032611</v>
          </cell>
          <cell r="CJ332">
            <v>5.8133627570186999</v>
          </cell>
          <cell r="CK332">
            <v>5.5452923630562188</v>
          </cell>
          <cell r="CL332">
            <v>5.0670918370304587</v>
          </cell>
          <cell r="CM332">
            <v>4.7553095612295424</v>
          </cell>
          <cell r="CN332">
            <v>4.4053577686520242</v>
          </cell>
        </row>
        <row r="333">
          <cell r="B333" t="str">
            <v>SS171</v>
          </cell>
          <cell r="CH333">
            <v>0.441545981641357</v>
          </cell>
          <cell r="CI333">
            <v>0.56142108527598122</v>
          </cell>
          <cell r="CJ333">
            <v>0.64052433374297446</v>
          </cell>
          <cell r="CK333">
            <v>0.29053616172587604</v>
          </cell>
          <cell r="CL333">
            <v>4.770864925378876E-2</v>
          </cell>
          <cell r="CM333">
            <v>4.2785528742582589E-2</v>
          </cell>
          <cell r="CN333">
            <v>0</v>
          </cell>
        </row>
        <row r="334">
          <cell r="B334" t="str">
            <v>SS172</v>
          </cell>
          <cell r="CH334">
            <v>2.4423570307262716</v>
          </cell>
          <cell r="CI334">
            <v>2.298356313422925</v>
          </cell>
          <cell r="CJ334">
            <v>1.3944890825105201</v>
          </cell>
          <cell r="CK334">
            <v>0.35119695463342332</v>
          </cell>
          <cell r="CL334">
            <v>7.2523196546649626E-2</v>
          </cell>
          <cell r="CM334">
            <v>0</v>
          </cell>
          <cell r="CN334">
            <v>0</v>
          </cell>
        </row>
        <row r="335">
          <cell r="B335" t="str">
            <v>SS239</v>
          </cell>
          <cell r="CH335">
            <v>8.4789075519154213</v>
          </cell>
          <cell r="CI335">
            <v>8.2223925184424971</v>
          </cell>
          <cell r="CJ335">
            <v>8.2128320818316851</v>
          </cell>
          <cell r="CK335">
            <v>8.073697617913524</v>
          </cell>
          <cell r="CL335">
            <v>7.9500524010490885</v>
          </cell>
          <cell r="CM335">
            <v>7.8039179629416608</v>
          </cell>
          <cell r="CN335">
            <v>7.5974769980127572</v>
          </cell>
        </row>
        <row r="336">
          <cell r="B336" t="str">
            <v>SS240</v>
          </cell>
          <cell r="CH336">
            <v>44.717034104119243</v>
          </cell>
          <cell r="CI336">
            <v>43.293473825098275</v>
          </cell>
          <cell r="CJ336">
            <v>46.177453875585904</v>
          </cell>
          <cell r="CK336">
            <v>46.058737700231518</v>
          </cell>
          <cell r="CL336">
            <v>45.085199310013692</v>
          </cell>
          <cell r="CM336">
            <v>43.960828785414897</v>
          </cell>
          <cell r="CN336">
            <v>44.199121979037315</v>
          </cell>
        </row>
        <row r="337">
          <cell r="B337" t="str">
            <v>SS247</v>
          </cell>
          <cell r="CH337">
            <v>3.5117215194120703</v>
          </cell>
          <cell r="CI337">
            <v>3.2614077063902198</v>
          </cell>
          <cell r="CJ337">
            <v>4.1548343202606546</v>
          </cell>
          <cell r="CK337">
            <v>4.4030351787911748</v>
          </cell>
          <cell r="CL337">
            <v>4.8005553769102027</v>
          </cell>
          <cell r="CM337">
            <v>5.1533228871084065</v>
          </cell>
          <cell r="CN337">
            <v>5.6450071451485933</v>
          </cell>
        </row>
        <row r="338">
          <cell r="B338" t="str">
            <v>SS248</v>
          </cell>
          <cell r="CH338">
            <v>7.4242837912652933</v>
          </cell>
          <cell r="CI338">
            <v>9.9888222024080804</v>
          </cell>
          <cell r="CJ338">
            <v>13.814763459866338</v>
          </cell>
          <cell r="CK338">
            <v>14.789963187692264</v>
          </cell>
          <cell r="CL338">
            <v>16.231441418009108</v>
          </cell>
          <cell r="CM338">
            <v>17.448617832081247</v>
          </cell>
          <cell r="CN338">
            <v>19.84427323429145</v>
          </cell>
        </row>
        <row r="339">
          <cell r="B339" t="str">
            <v>SS271</v>
          </cell>
          <cell r="CH339">
            <v>0.3582602139022712</v>
          </cell>
          <cell r="CI339">
            <v>0.54117796022611342</v>
          </cell>
          <cell r="CJ339">
            <v>0.62166064523932996</v>
          </cell>
          <cell r="CK339">
            <v>0.28391913979094496</v>
          </cell>
          <cell r="CL339">
            <v>4.694214121438238E-2</v>
          </cell>
          <cell r="CM339">
            <v>4.2389698068968362E-2</v>
          </cell>
          <cell r="CN339">
            <v>0</v>
          </cell>
        </row>
        <row r="340">
          <cell r="B340" t="str">
            <v>SS272</v>
          </cell>
          <cell r="CH340">
            <v>1.516739809739204</v>
          </cell>
          <cell r="CI340">
            <v>1.3922770859010682</v>
          </cell>
          <cell r="CJ340">
            <v>0.8455774088845468</v>
          </cell>
          <cell r="CK340">
            <v>0.21308752734062955</v>
          </cell>
          <cell r="CL340">
            <v>4.4054641918383167E-2</v>
          </cell>
          <cell r="CM340">
            <v>0</v>
          </cell>
          <cell r="CN340">
            <v>0</v>
          </cell>
        </row>
        <row r="341">
          <cell r="B341" t="str">
            <v>SS339</v>
          </cell>
          <cell r="CH341">
            <v>0.39041705800414495</v>
          </cell>
          <cell r="CI341">
            <v>0.65107924092106662</v>
          </cell>
          <cell r="CJ341">
            <v>0.64619945158322389</v>
          </cell>
          <cell r="CK341">
            <v>0.63438410082834673</v>
          </cell>
          <cell r="CL341">
            <v>0.62437714263020538</v>
          </cell>
          <cell r="CM341">
            <v>0.61055853076269573</v>
          </cell>
          <cell r="CN341">
            <v>0.59323504683061656</v>
          </cell>
        </row>
        <row r="342">
          <cell r="B342" t="str">
            <v>SS340</v>
          </cell>
          <cell r="CH342">
            <v>2.1295233415400885</v>
          </cell>
          <cell r="CI342">
            <v>4.8664578017092026</v>
          </cell>
          <cell r="CJ342">
            <v>5.2173733457329163</v>
          </cell>
          <cell r="CK342">
            <v>5.1888637681676313</v>
          </cell>
          <cell r="CL342">
            <v>5.0959497738242749</v>
          </cell>
          <cell r="CM342">
            <v>4.976581625631459</v>
          </cell>
          <cell r="CN342">
            <v>4.9955737738370489</v>
          </cell>
        </row>
        <row r="343">
          <cell r="B343" t="str">
            <v>SS347</v>
          </cell>
          <cell r="CH343">
            <v>0.10960162147892002</v>
          </cell>
          <cell r="CI343">
            <v>0.23110356716106883</v>
          </cell>
          <cell r="CJ343">
            <v>0.29224792257939874</v>
          </cell>
          <cell r="CK343">
            <v>0.31120973247674488</v>
          </cell>
          <cell r="CL343">
            <v>0.33853330153165562</v>
          </cell>
          <cell r="CM343">
            <v>0.36937998216715301</v>
          </cell>
          <cell r="CN343">
            <v>0.40735587203235446</v>
          </cell>
        </row>
        <row r="344">
          <cell r="B344" t="str">
            <v>SS348</v>
          </cell>
          <cell r="CH344">
            <v>0.28534062547800854</v>
          </cell>
          <cell r="CI344">
            <v>0.71526976535237619</v>
          </cell>
          <cell r="CJ344">
            <v>0.96278618085361922</v>
          </cell>
          <cell r="CK344">
            <v>1.0618366398311316</v>
          </cell>
          <cell r="CL344">
            <v>1.127843982968356</v>
          </cell>
          <cell r="CM344">
            <v>1.2246720097371431</v>
          </cell>
          <cell r="CN344">
            <v>1.3909709823466843</v>
          </cell>
        </row>
        <row r="345">
          <cell r="B345" t="str">
            <v>SS371</v>
          </cell>
          <cell r="CH345">
            <v>1.4165427264460347E-2</v>
          </cell>
          <cell r="CI345">
            <v>3.4233299033028894E-2</v>
          </cell>
          <cell r="CJ345">
            <v>3.9049817654215509E-2</v>
          </cell>
          <cell r="CK345">
            <v>1.7706695157538872E-2</v>
          </cell>
          <cell r="CL345">
            <v>2.906861426219493E-3</v>
          </cell>
          <cell r="CM345">
            <v>2.6061951658082729E-3</v>
          </cell>
          <cell r="CN345">
            <v>0</v>
          </cell>
        </row>
        <row r="346">
          <cell r="B346" t="str">
            <v>SS372</v>
          </cell>
          <cell r="CH346">
            <v>4.780131135828837E-2</v>
          </cell>
          <cell r="CI346">
            <v>8.1640332427476217E-2</v>
          </cell>
          <cell r="CJ346">
            <v>4.9317489954844543E-2</v>
          </cell>
          <cell r="CK346">
            <v>1.2357852890540342E-2</v>
          </cell>
          <cell r="CL346">
            <v>2.5403998475180814E-3</v>
          </cell>
          <cell r="CM346">
            <v>0</v>
          </cell>
          <cell r="CN346">
            <v>0</v>
          </cell>
        </row>
        <row r="347">
          <cell r="B347" t="str">
            <v>SS439</v>
          </cell>
          <cell r="CH347">
            <v>0.24317617708519859</v>
          </cell>
          <cell r="CI347">
            <v>0.24427634793997377</v>
          </cell>
          <cell r="CJ347">
            <v>0.24281348805526842</v>
          </cell>
          <cell r="CK347">
            <v>0.23848524790523332</v>
          </cell>
          <cell r="CL347">
            <v>0.23388478425397935</v>
          </cell>
          <cell r="CM347">
            <v>0.22865357060830924</v>
          </cell>
          <cell r="CN347">
            <v>0.22219781922200041</v>
          </cell>
        </row>
        <row r="348">
          <cell r="B348" t="str">
            <v>SS440</v>
          </cell>
          <cell r="CH348">
            <v>1.5955306114372256</v>
          </cell>
          <cell r="CI348">
            <v>2.0679947421710452</v>
          </cell>
          <cell r="CJ348">
            <v>2.2069506933056258</v>
          </cell>
          <cell r="CK348">
            <v>2.2024938350206358</v>
          </cell>
          <cell r="CL348">
            <v>2.1652816928428944</v>
          </cell>
          <cell r="CM348">
            <v>2.1153411974934522</v>
          </cell>
          <cell r="CN348">
            <v>2.1309972292233499</v>
          </cell>
        </row>
        <row r="349">
          <cell r="B349" t="str">
            <v>SS447</v>
          </cell>
          <cell r="CH349">
            <v>1.1491540156117619E-2</v>
          </cell>
          <cell r="CI349">
            <v>1.2045654188959809E-2</v>
          </cell>
          <cell r="CJ349">
            <v>1.5350070948965698E-2</v>
          </cell>
          <cell r="CK349">
            <v>1.6455784644370523E-2</v>
          </cell>
          <cell r="CL349">
            <v>1.7775606964645682E-2</v>
          </cell>
          <cell r="CM349">
            <v>1.9346851514393054E-2</v>
          </cell>
          <cell r="CN349">
            <v>2.1072968340321192E-2</v>
          </cell>
        </row>
        <row r="350">
          <cell r="B350" t="str">
            <v>SS448</v>
          </cell>
          <cell r="CH350">
            <v>7.0078928273404228E-2</v>
          </cell>
          <cell r="CI350">
            <v>9.2951903259232388E-2</v>
          </cell>
          <cell r="CJ350">
            <v>0.12391437070317377</v>
          </cell>
          <cell r="CK350">
            <v>0.13359784562822313</v>
          </cell>
          <cell r="CL350">
            <v>0.14319226564645576</v>
          </cell>
          <cell r="CM350">
            <v>0.15417419203670468</v>
          </cell>
          <cell r="CN350">
            <v>0.17236694014708398</v>
          </cell>
        </row>
        <row r="351">
          <cell r="B351" t="str">
            <v>SS471</v>
          </cell>
          <cell r="CH351">
            <v>2.4173294265771288E-2</v>
          </cell>
          <cell r="CI351">
            <v>3.4338880976598707E-2</v>
          </cell>
          <cell r="CJ351">
            <v>3.9194235762841804E-2</v>
          </cell>
          <cell r="CK351">
            <v>1.7785103719515676E-2</v>
          </cell>
          <cell r="CL351">
            <v>2.9219898754909591E-3</v>
          </cell>
          <cell r="CM351">
            <v>2.6215934773048881E-3</v>
          </cell>
          <cell r="CN351">
            <v>0</v>
          </cell>
        </row>
        <row r="352">
          <cell r="B352" t="str">
            <v>SS472</v>
          </cell>
          <cell r="CH352">
            <v>6.9668451161186029E-2</v>
          </cell>
          <cell r="CI352">
            <v>7.6418904920885836E-2</v>
          </cell>
          <cell r="CJ352">
            <v>4.6292754528427418E-2</v>
          </cell>
          <cell r="CK352">
            <v>1.1636480534113872E-2</v>
          </cell>
          <cell r="CL352">
            <v>2.3988464516053478E-3</v>
          </cell>
          <cell r="CM352">
            <v>0</v>
          </cell>
          <cell r="CN352">
            <v>0</v>
          </cell>
        </row>
        <row r="353">
          <cell r="B353" t="str">
            <v>SS900</v>
          </cell>
          <cell r="CH353">
            <v>0</v>
          </cell>
          <cell r="CI353">
            <v>0</v>
          </cell>
          <cell r="CJ353">
            <v>0</v>
          </cell>
          <cell r="CK353">
            <v>0</v>
          </cell>
          <cell r="CL353">
            <v>0</v>
          </cell>
          <cell r="CM353">
            <v>0</v>
          </cell>
          <cell r="CN353">
            <v>0</v>
          </cell>
        </row>
        <row r="354">
          <cell r="B354" t="str">
            <v>SS901</v>
          </cell>
          <cell r="CH354">
            <v>0</v>
          </cell>
          <cell r="CI354">
            <v>0</v>
          </cell>
          <cell r="CJ354">
            <v>0</v>
          </cell>
          <cell r="CK354">
            <v>0</v>
          </cell>
          <cell r="CL354">
            <v>0</v>
          </cell>
          <cell r="CM354">
            <v>0</v>
          </cell>
          <cell r="CN354">
            <v>0</v>
          </cell>
        </row>
        <row r="355">
          <cell r="B355" t="str">
            <v>SS902</v>
          </cell>
          <cell r="CH355">
            <v>0</v>
          </cell>
          <cell r="CI355">
            <v>0</v>
          </cell>
          <cell r="CJ355">
            <v>0</v>
          </cell>
          <cell r="CK355">
            <v>0</v>
          </cell>
          <cell r="CL355">
            <v>0</v>
          </cell>
          <cell r="CM355">
            <v>0</v>
          </cell>
          <cell r="CN355">
            <v>0</v>
          </cell>
        </row>
        <row r="356">
          <cell r="B356" t="str">
            <v>SS903</v>
          </cell>
          <cell r="CH356">
            <v>0</v>
          </cell>
          <cell r="CI356">
            <v>0</v>
          </cell>
          <cell r="CJ356">
            <v>0</v>
          </cell>
          <cell r="CK356">
            <v>0</v>
          </cell>
          <cell r="CL356">
            <v>0</v>
          </cell>
          <cell r="CM356">
            <v>0</v>
          </cell>
          <cell r="CN356">
            <v>0</v>
          </cell>
        </row>
        <row r="357">
          <cell r="B357" t="str">
            <v>SS910</v>
          </cell>
          <cell r="CH357">
            <v>0</v>
          </cell>
          <cell r="CI357">
            <v>0</v>
          </cell>
          <cell r="CJ357">
            <v>0</v>
          </cell>
          <cell r="CK357">
            <v>0</v>
          </cell>
          <cell r="CL357">
            <v>0</v>
          </cell>
          <cell r="CM357">
            <v>0</v>
          </cell>
          <cell r="CN357">
            <v>0</v>
          </cell>
        </row>
        <row r="358">
          <cell r="B358" t="str">
            <v>SS911</v>
          </cell>
          <cell r="CH358">
            <v>0</v>
          </cell>
          <cell r="CI358">
            <v>0</v>
          </cell>
          <cell r="CJ358">
            <v>0</v>
          </cell>
          <cell r="CK358">
            <v>0</v>
          </cell>
          <cell r="CL358">
            <v>0</v>
          </cell>
          <cell r="CM358">
            <v>0</v>
          </cell>
          <cell r="CN358">
            <v>0</v>
          </cell>
        </row>
        <row r="359">
          <cell r="B359" t="str">
            <v>SS065</v>
          </cell>
          <cell r="CH359">
            <v>0.51563669855718919</v>
          </cell>
          <cell r="CI359">
            <v>0.43410794242901496</v>
          </cell>
          <cell r="CJ359">
            <v>0.5023134613707243</v>
          </cell>
          <cell r="CK359">
            <v>0.48548579630208083</v>
          </cell>
          <cell r="CL359">
            <v>0.47174267722069219</v>
          </cell>
          <cell r="CM359">
            <v>0.47343382677186624</v>
          </cell>
          <cell r="CN359">
            <v>0.44020603549844561</v>
          </cell>
        </row>
        <row r="360">
          <cell r="B360" t="str">
            <v>SS066</v>
          </cell>
          <cell r="CH360">
            <v>0.30286086164694903</v>
          </cell>
          <cell r="CI360">
            <v>0.29080243862904576</v>
          </cell>
          <cell r="CJ360">
            <v>0.33757916308128177</v>
          </cell>
          <cell r="CK360">
            <v>0.33253011041886776</v>
          </cell>
          <cell r="CL360">
            <v>0.32937231048942134</v>
          </cell>
          <cell r="CM360">
            <v>0.32372676342908019</v>
          </cell>
          <cell r="CN360">
            <v>0.31482070758051239</v>
          </cell>
        </row>
        <row r="361">
          <cell r="B361" t="str">
            <v>SS067</v>
          </cell>
          <cell r="CH361">
            <v>10.156541558317191</v>
          </cell>
          <cell r="CI361">
            <v>11.498742094498525</v>
          </cell>
          <cell r="CJ361">
            <v>12.575664407517039</v>
          </cell>
          <cell r="CK361">
            <v>11.438058442137848</v>
          </cell>
          <cell r="CL361">
            <v>10.288979834095937</v>
          </cell>
          <cell r="CM361">
            <v>9.3668891694042529</v>
          </cell>
          <cell r="CN361">
            <v>7.5620807438093012</v>
          </cell>
        </row>
        <row r="362">
          <cell r="B362" t="str">
            <v>SS068</v>
          </cell>
          <cell r="CH362">
            <v>2.7276769071763889</v>
          </cell>
          <cell r="CI362">
            <v>2.5168464763080065</v>
          </cell>
          <cell r="CJ362">
            <v>2.8658053577406815</v>
          </cell>
          <cell r="CK362">
            <v>2.6312823845208388</v>
          </cell>
          <cell r="CL362">
            <v>2.4545769998403557</v>
          </cell>
          <cell r="CM362">
            <v>2.2663581456265951</v>
          </cell>
          <cell r="CN362">
            <v>2.0266745762579692</v>
          </cell>
        </row>
        <row r="363">
          <cell r="B363" t="str">
            <v>SS071</v>
          </cell>
          <cell r="CH363">
            <v>4.0250788240114325E-3</v>
          </cell>
          <cell r="CI363">
            <v>3.4090097729412056E-3</v>
          </cell>
          <cell r="CJ363">
            <v>3.5916124949261293E-3</v>
          </cell>
          <cell r="CK363">
            <v>3.8916335188808192E-3</v>
          </cell>
          <cell r="CL363">
            <v>4.2304283819659177E-3</v>
          </cell>
          <cell r="CM363">
            <v>4.5091988947779287E-3</v>
          </cell>
          <cell r="CN363">
            <v>4.6588001185736919E-3</v>
          </cell>
        </row>
        <row r="364">
          <cell r="B364" t="str">
            <v>SS073</v>
          </cell>
          <cell r="CH364">
            <v>1.2175240361457964E-3</v>
          </cell>
          <cell r="CI364">
            <v>3.0578592006500951E-3</v>
          </cell>
          <cell r="CJ364">
            <v>1.7817106232788534E-3</v>
          </cell>
          <cell r="CK364">
            <v>2.9205760121741647E-3</v>
          </cell>
          <cell r="CL364">
            <v>3.0657241661607012E-3</v>
          </cell>
          <cell r="CM364">
            <v>3.4384995134344896E-3</v>
          </cell>
          <cell r="CN364">
            <v>3.3959260517225417E-3</v>
          </cell>
        </row>
        <row r="365">
          <cell r="B365" t="str">
            <v>SS075</v>
          </cell>
          <cell r="CH365">
            <v>0.14008474844118368</v>
          </cell>
          <cell r="CI365">
            <v>0.15149103298318323</v>
          </cell>
          <cell r="CJ365">
            <v>0.17476359505279124</v>
          </cell>
          <cell r="CK365">
            <v>0.16974069456340624</v>
          </cell>
          <cell r="CL365">
            <v>0.16542058844126928</v>
          </cell>
          <cell r="CM365">
            <v>0.16392415491518811</v>
          </cell>
          <cell r="CN365">
            <v>0.15666143873362126</v>
          </cell>
        </row>
        <row r="366">
          <cell r="B366" t="str">
            <v>SS076</v>
          </cell>
          <cell r="CH366">
            <v>5.0618732839011693E-2</v>
          </cell>
          <cell r="CI366">
            <v>4.9792624172068672E-2</v>
          </cell>
          <cell r="CJ366">
            <v>6.2752265034270685E-2</v>
          </cell>
          <cell r="CK366">
            <v>6.7634871378541669E-2</v>
          </cell>
          <cell r="CL366">
            <v>7.3827711987911257E-2</v>
          </cell>
          <cell r="CM366">
            <v>8.0347534380636521E-2</v>
          </cell>
          <cell r="CN366">
            <v>8.6219457315409712E-2</v>
          </cell>
        </row>
        <row r="367">
          <cell r="B367" t="str">
            <v>SS077</v>
          </cell>
          <cell r="CH367">
            <v>1.9853841587723502</v>
          </cell>
          <cell r="CI367">
            <v>1.7943905364603228</v>
          </cell>
          <cell r="CJ367">
            <v>2.0000810272951139</v>
          </cell>
          <cell r="CK367">
            <v>1.7840986884021013</v>
          </cell>
          <cell r="CL367">
            <v>1.6239604995477412</v>
          </cell>
          <cell r="CM367">
            <v>1.4806991902589721</v>
          </cell>
          <cell r="CN367">
            <v>1.1677983758192529</v>
          </cell>
        </row>
        <row r="368">
          <cell r="B368" t="str">
            <v>SS078</v>
          </cell>
          <cell r="CH368">
            <v>0.53264815486433048</v>
          </cell>
          <cell r="CI368">
            <v>0.46953683431131676</v>
          </cell>
          <cell r="CJ368">
            <v>0.54788219020943663</v>
          </cell>
          <cell r="CK368">
            <v>0.51400638345494731</v>
          </cell>
          <cell r="CL368">
            <v>0.47819074103694004</v>
          </cell>
          <cell r="CM368">
            <v>0.44713867108729977</v>
          </cell>
          <cell r="CN368">
            <v>0.39243396414758203</v>
          </cell>
        </row>
        <row r="369">
          <cell r="B369" t="str">
            <v>SS081</v>
          </cell>
          <cell r="CH369">
            <v>6.9762363157414489E-3</v>
          </cell>
          <cell r="CI369">
            <v>7.5461029581102455E-3</v>
          </cell>
          <cell r="CJ369">
            <v>8.2142351978546895E-3</v>
          </cell>
          <cell r="CK369">
            <v>9.1296672961289939E-3</v>
          </cell>
          <cell r="CL369">
            <v>1.0221795066519958E-2</v>
          </cell>
          <cell r="CM369">
            <v>1.1228997059058722E-2</v>
          </cell>
          <cell r="CN369">
            <v>1.1739902265792431E-2</v>
          </cell>
        </row>
        <row r="370">
          <cell r="B370" t="str">
            <v>SS082</v>
          </cell>
          <cell r="CH370">
            <v>4.320354443051821E-4</v>
          </cell>
          <cell r="CI370">
            <v>3.891434615164893E-4</v>
          </cell>
          <cell r="CJ370">
            <v>3.9007149065321031E-4</v>
          </cell>
          <cell r="CK370">
            <v>3.9530011926685639E-4</v>
          </cell>
          <cell r="CL370">
            <v>4.0509610749403573E-4</v>
          </cell>
          <cell r="CM370">
            <v>4.1298013013848828E-4</v>
          </cell>
          <cell r="CN370">
            <v>4.1237830073879002E-4</v>
          </cell>
        </row>
        <row r="371">
          <cell r="B371" t="str">
            <v>SS085</v>
          </cell>
          <cell r="CH371">
            <v>5.7995082195455558E-2</v>
          </cell>
          <cell r="CI371">
            <v>7.3686103702530731E-2</v>
          </cell>
          <cell r="CJ371">
            <v>8.6065478143269591E-2</v>
          </cell>
          <cell r="CK371">
            <v>8.3144770027067202E-2</v>
          </cell>
          <cell r="CL371">
            <v>8.1343644913096286E-2</v>
          </cell>
          <cell r="CM371">
            <v>8.0649162298357446E-2</v>
          </cell>
          <cell r="CN371">
            <v>7.6313755335782468E-2</v>
          </cell>
        </row>
        <row r="372">
          <cell r="B372" t="str">
            <v>SS086</v>
          </cell>
          <cell r="CH372">
            <v>2.0455043184660272E-2</v>
          </cell>
          <cell r="CI372">
            <v>2.8111219427790199E-2</v>
          </cell>
          <cell r="CJ372">
            <v>3.2640793116327935E-2</v>
          </cell>
          <cell r="CK372">
            <v>3.1709798404252636E-2</v>
          </cell>
          <cell r="CL372">
            <v>3.1144202245537593E-2</v>
          </cell>
          <cell r="CM372">
            <v>3.0912514319714524E-2</v>
          </cell>
          <cell r="CN372">
            <v>2.9820324024081246E-2</v>
          </cell>
        </row>
        <row r="373">
          <cell r="B373" t="str">
            <v>SS087</v>
          </cell>
          <cell r="CH373">
            <v>0.63154811328954263</v>
          </cell>
          <cell r="CI373">
            <v>0.58901434649095497</v>
          </cell>
          <cell r="CJ373">
            <v>0.64815259438644235</v>
          </cell>
          <cell r="CK373">
            <v>0.57964020581596687</v>
          </cell>
          <cell r="CL373">
            <v>0.52445683018200073</v>
          </cell>
          <cell r="CM373">
            <v>0.47742774413801037</v>
          </cell>
          <cell r="CN373">
            <v>0.37884608625051641</v>
          </cell>
        </row>
        <row r="374">
          <cell r="B374" t="str">
            <v>SS088</v>
          </cell>
          <cell r="CH374">
            <v>0.16235766929054291</v>
          </cell>
          <cell r="CI374">
            <v>0.21110535378693274</v>
          </cell>
          <cell r="CJ374">
            <v>0.23964289445864412</v>
          </cell>
          <cell r="CK374">
            <v>0.22145827613904798</v>
          </cell>
          <cell r="CL374">
            <v>0.20556818349624578</v>
          </cell>
          <cell r="CM374">
            <v>0.19054660395755124</v>
          </cell>
          <cell r="CN374">
            <v>0.16720279001722127</v>
          </cell>
        </row>
        <row r="375">
          <cell r="B375" t="str">
            <v>SS600</v>
          </cell>
          <cell r="CH375">
            <v>0</v>
          </cell>
          <cell r="CI375">
            <v>0</v>
          </cell>
          <cell r="CJ375">
            <v>0</v>
          </cell>
          <cell r="CK375">
            <v>0</v>
          </cell>
          <cell r="CL375">
            <v>0</v>
          </cell>
          <cell r="CM375">
            <v>0</v>
          </cell>
          <cell r="CN375">
            <v>0</v>
          </cell>
        </row>
        <row r="376">
          <cell r="B376" t="str">
            <v>SS602</v>
          </cell>
          <cell r="CH376">
            <v>0</v>
          </cell>
          <cell r="CI376">
            <v>0</v>
          </cell>
          <cell r="CJ376">
            <v>0</v>
          </cell>
          <cell r="CK376">
            <v>0</v>
          </cell>
          <cell r="CL376">
            <v>0</v>
          </cell>
          <cell r="CM376">
            <v>0</v>
          </cell>
          <cell r="CN376">
            <v>0</v>
          </cell>
        </row>
        <row r="377">
          <cell r="B377" t="str">
            <v>SS608</v>
          </cell>
          <cell r="CH377">
            <v>0</v>
          </cell>
          <cell r="CI377">
            <v>0</v>
          </cell>
          <cell r="CJ377">
            <v>0</v>
          </cell>
          <cell r="CK377">
            <v>0</v>
          </cell>
          <cell r="CL377">
            <v>0</v>
          </cell>
          <cell r="CM377">
            <v>0</v>
          </cell>
          <cell r="CN377">
            <v>0</v>
          </cell>
        </row>
        <row r="378">
          <cell r="B378" t="str">
            <v>SS610</v>
          </cell>
          <cell r="CH378">
            <v>0</v>
          </cell>
          <cell r="CI378">
            <v>0</v>
          </cell>
          <cell r="CJ378">
            <v>0</v>
          </cell>
          <cell r="CK378">
            <v>0</v>
          </cell>
          <cell r="CL378">
            <v>0</v>
          </cell>
          <cell r="CM378">
            <v>0</v>
          </cell>
          <cell r="CN378">
            <v>0</v>
          </cell>
        </row>
        <row r="379">
          <cell r="B379" t="str">
            <v>SS611</v>
          </cell>
          <cell r="CH379">
            <v>0</v>
          </cell>
          <cell r="CI379">
            <v>0</v>
          </cell>
          <cell r="CJ379">
            <v>0</v>
          </cell>
          <cell r="CK379">
            <v>0</v>
          </cell>
          <cell r="CL379">
            <v>0</v>
          </cell>
          <cell r="CM379">
            <v>0</v>
          </cell>
          <cell r="CN379">
            <v>0</v>
          </cell>
        </row>
        <row r="380">
          <cell r="B380" t="str">
            <v>SS612</v>
          </cell>
          <cell r="CH380">
            <v>0</v>
          </cell>
          <cell r="CI380">
            <v>0</v>
          </cell>
          <cell r="CJ380">
            <v>0</v>
          </cell>
          <cell r="CK380">
            <v>0</v>
          </cell>
          <cell r="CL380">
            <v>0</v>
          </cell>
          <cell r="CM380">
            <v>0</v>
          </cell>
          <cell r="CN380">
            <v>0</v>
          </cell>
        </row>
        <row r="381">
          <cell r="B381" t="str">
            <v>SS614</v>
          </cell>
          <cell r="CH381">
            <v>0</v>
          </cell>
          <cell r="CI381">
            <v>0</v>
          </cell>
          <cell r="CJ381">
            <v>0</v>
          </cell>
          <cell r="CK381">
            <v>0</v>
          </cell>
          <cell r="CL381">
            <v>0</v>
          </cell>
          <cell r="CM381">
            <v>0</v>
          </cell>
          <cell r="CN381">
            <v>0</v>
          </cell>
        </row>
        <row r="382">
          <cell r="B382" t="str">
            <v>SS618</v>
          </cell>
          <cell r="CH382">
            <v>0.32047264634639555</v>
          </cell>
          <cell r="CI382">
            <v>0.22736916119934228</v>
          </cell>
          <cell r="CJ382">
            <v>0.19097557273130678</v>
          </cell>
          <cell r="CK382">
            <v>0.19963203269928659</v>
          </cell>
          <cell r="CL382">
            <v>0.19408640566956964</v>
          </cell>
          <cell r="CM382">
            <v>0.1510918176096705</v>
          </cell>
          <cell r="CN382">
            <v>0.23339444443032986</v>
          </cell>
        </row>
        <row r="383">
          <cell r="B383" t="str">
            <v>SS619</v>
          </cell>
          <cell r="CH383">
            <v>0.69999480575916129</v>
          </cell>
          <cell r="CI383">
            <v>0.61284028611644303</v>
          </cell>
          <cell r="CJ383">
            <v>0.59259566910377104</v>
          </cell>
          <cell r="CK383">
            <v>0.48687101923556647</v>
          </cell>
          <cell r="CL383">
            <v>0.36001646741706445</v>
          </cell>
          <cell r="CM383">
            <v>0.22627563199545239</v>
          </cell>
          <cell r="CN383">
            <v>0.13869931036474287</v>
          </cell>
        </row>
        <row r="384">
          <cell r="B384" t="str">
            <v>SS620</v>
          </cell>
          <cell r="CH384">
            <v>1.1352546940941317</v>
          </cell>
          <cell r="CI384">
            <v>0.75191150093807546</v>
          </cell>
          <cell r="CJ384">
            <v>0.56512308017131352</v>
          </cell>
          <cell r="CK384">
            <v>0.5749288882189828</v>
          </cell>
          <cell r="CL384">
            <v>0.55689520003591242</v>
          </cell>
          <cell r="CM384">
            <v>0.46073859740447032</v>
          </cell>
          <cell r="CN384">
            <v>0.94272568263642187</v>
          </cell>
        </row>
        <row r="385">
          <cell r="B385" t="str">
            <v>SS621</v>
          </cell>
          <cell r="CH385">
            <v>22.636119341025179</v>
          </cell>
          <cell r="CI385">
            <v>17.37954364548974</v>
          </cell>
          <cell r="CJ385">
            <v>14.987235925061082</v>
          </cell>
          <cell r="CK385">
            <v>11.703203000492838</v>
          </cell>
          <cell r="CL385">
            <v>8.3413912474657348</v>
          </cell>
          <cell r="CM385">
            <v>5.2762536986571629</v>
          </cell>
          <cell r="CN385">
            <v>1.1735444708160883</v>
          </cell>
        </row>
        <row r="386">
          <cell r="B386" t="str">
            <v>SS625</v>
          </cell>
          <cell r="CH386">
            <v>3.2230042564376598E-4</v>
          </cell>
          <cell r="CI386">
            <v>2.5302359805289064E-4</v>
          </cell>
          <cell r="CJ386">
            <v>2.1014074243016603E-4</v>
          </cell>
          <cell r="CK386">
            <v>1.6026585647712461E-4</v>
          </cell>
          <cell r="CL386">
            <v>1.2088859964379253E-4</v>
          </cell>
          <cell r="CM386">
            <v>8.842189058157535E-5</v>
          </cell>
          <cell r="CN386">
            <v>4.8205883999650414E-5</v>
          </cell>
        </row>
        <row r="387">
          <cell r="B387" t="str">
            <v>SS626</v>
          </cell>
          <cell r="CH387">
            <v>3.8326287563852441E-4</v>
          </cell>
          <cell r="CI387">
            <v>3.5686646852320483E-4</v>
          </cell>
          <cell r="CJ387">
            <v>3.0225775149981946E-4</v>
          </cell>
          <cell r="CK387">
            <v>2.3904436132546293E-4</v>
          </cell>
          <cell r="CL387">
            <v>1.8866153730523995E-4</v>
          </cell>
          <cell r="CM387">
            <v>1.4726474002445033E-4</v>
          </cell>
          <cell r="CN387">
            <v>9.5630204160963693E-5</v>
          </cell>
        </row>
        <row r="388">
          <cell r="B388" t="str">
            <v>SS627</v>
          </cell>
          <cell r="CH388">
            <v>3.1647752492152278E-3</v>
          </cell>
          <cell r="CI388">
            <v>3.0106569883954089E-3</v>
          </cell>
          <cell r="CJ388">
            <v>2.7692179563479531E-3</v>
          </cell>
          <cell r="CK388">
            <v>2.5126060164352582E-3</v>
          </cell>
          <cell r="CL388">
            <v>2.2804923314596361E-3</v>
          </cell>
          <cell r="CM388">
            <v>2.0707145593347434E-3</v>
          </cell>
          <cell r="CN388">
            <v>1.831353298446421E-3</v>
          </cell>
        </row>
        <row r="389">
          <cell r="B389" t="str">
            <v>SS628</v>
          </cell>
          <cell r="CH389">
            <v>5.6243644827888573E-3</v>
          </cell>
          <cell r="CI389">
            <v>4.4526228043279287E-3</v>
          </cell>
          <cell r="CJ389">
            <v>4.0677667312504374E-3</v>
          </cell>
          <cell r="CK389">
            <v>3.6692975763005721E-3</v>
          </cell>
          <cell r="CL389">
            <v>3.3078527201392247E-3</v>
          </cell>
          <cell r="CM389">
            <v>2.9890138875763241E-3</v>
          </cell>
          <cell r="CN389">
            <v>2.6200498438478819E-3</v>
          </cell>
        </row>
        <row r="390">
          <cell r="B390" t="str">
            <v>SS629</v>
          </cell>
          <cell r="CH390">
            <v>5.5935456280517331E-3</v>
          </cell>
          <cell r="CI390">
            <v>6.7984334747809121E-3</v>
          </cell>
          <cell r="CJ390">
            <v>7.0478629454568684E-3</v>
          </cell>
          <cell r="CK390">
            <v>7.066184395839138E-3</v>
          </cell>
          <cell r="CL390">
            <v>6.9746416905641226E-3</v>
          </cell>
          <cell r="CM390">
            <v>6.7216432297908055E-3</v>
          </cell>
          <cell r="CN390">
            <v>6.7400623477427641E-3</v>
          </cell>
        </row>
        <row r="391">
          <cell r="B391" t="str">
            <v>SS630</v>
          </cell>
          <cell r="CH391">
            <v>1.3742007380373712E-2</v>
          </cell>
          <cell r="CI391">
            <v>1.2798174451238466E-2</v>
          </cell>
          <cell r="CJ391">
            <v>1.210980396938011E-2</v>
          </cell>
          <cell r="CK391">
            <v>1.1319512509044295E-2</v>
          </cell>
          <cell r="CL391">
            <v>1.058470983301836E-2</v>
          </cell>
          <cell r="CM391">
            <v>9.8764001602842186E-3</v>
          </cell>
          <cell r="CN391">
            <v>9.1202596766977676E-3</v>
          </cell>
        </row>
        <row r="392">
          <cell r="B392" t="str">
            <v>SS631</v>
          </cell>
          <cell r="CH392">
            <v>5.4965508797933283E-4</v>
          </cell>
          <cell r="CI392">
            <v>6.6490771311332009E-4</v>
          </cell>
          <cell r="CJ392">
            <v>5.9925851613405853E-4</v>
          </cell>
          <cell r="CK392">
            <v>5.3203387066550639E-4</v>
          </cell>
          <cell r="CL392">
            <v>4.7233039999095434E-4</v>
          </cell>
          <cell r="CM392">
            <v>4.1439062645907867E-4</v>
          </cell>
          <cell r="CN392">
            <v>3.5426909920569937E-4</v>
          </cell>
        </row>
        <row r="393">
          <cell r="B393" t="str">
            <v>SS632</v>
          </cell>
          <cell r="CH393">
            <v>1.4169436970827621E-3</v>
          </cell>
          <cell r="CI393">
            <v>1.1772373160778683E-3</v>
          </cell>
          <cell r="CJ393">
            <v>1.053925791587811E-3</v>
          </cell>
          <cell r="CK393">
            <v>9.1994516330033498E-4</v>
          </cell>
          <cell r="CL393">
            <v>8.0759344785393797E-4</v>
          </cell>
          <cell r="CM393">
            <v>7.089518477950543E-4</v>
          </cell>
          <cell r="CN393">
            <v>5.9138796106990082E-4</v>
          </cell>
        </row>
        <row r="394">
          <cell r="B394" t="str">
            <v>SS633</v>
          </cell>
          <cell r="CH394">
            <v>6.1272936304104138E-2</v>
          </cell>
          <cell r="CI394">
            <v>5.3279189196762805E-2</v>
          </cell>
          <cell r="CJ394">
            <v>4.8265064373255992E-2</v>
          </cell>
          <cell r="CK394">
            <v>4.2722938080409868E-2</v>
          </cell>
          <cell r="CL394">
            <v>3.7857182848654837E-2</v>
          </cell>
          <cell r="CM394">
            <v>3.3479176577496265E-2</v>
          </cell>
          <cell r="CN394">
            <v>2.8649607849881711E-2</v>
          </cell>
        </row>
        <row r="395">
          <cell r="B395" t="str">
            <v>SS634</v>
          </cell>
          <cell r="CH395">
            <v>0.12653496292595023</v>
          </cell>
          <cell r="CI395">
            <v>9.600570043588913E-2</v>
          </cell>
          <cell r="CJ395">
            <v>8.5829600137156042E-2</v>
          </cell>
          <cell r="CK395">
            <v>7.4793568130652924E-2</v>
          </cell>
          <cell r="CL395">
            <v>6.5643102061705524E-2</v>
          </cell>
          <cell r="CM395">
            <v>5.7654702623057635E-2</v>
          </cell>
          <cell r="CN395">
            <v>4.803380391878416E-2</v>
          </cell>
        </row>
        <row r="396">
          <cell r="B396" t="str">
            <v>SS635</v>
          </cell>
          <cell r="CH396">
            <v>0.58137173088109528</v>
          </cell>
          <cell r="CI396">
            <v>0.51620894151649166</v>
          </cell>
          <cell r="CJ396">
            <v>0.45714665920955438</v>
          </cell>
          <cell r="CK396">
            <v>0.38417807909300872</v>
          </cell>
          <cell r="CL396">
            <v>0.32208644939296849</v>
          </cell>
          <cell r="CM396">
            <v>0.26602389316728858</v>
          </cell>
          <cell r="CN396">
            <v>0.20712214252538227</v>
          </cell>
        </row>
        <row r="397">
          <cell r="B397" t="str">
            <v>SS636</v>
          </cell>
          <cell r="CH397">
            <v>2.1385395645977474</v>
          </cell>
          <cell r="CI397">
            <v>2.1281202577803873</v>
          </cell>
          <cell r="CJ397">
            <v>1.8113696037989351</v>
          </cell>
          <cell r="CK397">
            <v>1.4700669031291471</v>
          </cell>
          <cell r="CL397">
            <v>1.1963960658331489</v>
          </cell>
          <cell r="CM397">
            <v>0.97095514664448968</v>
          </cell>
          <cell r="CN397">
            <v>0.68009373316976085</v>
          </cell>
        </row>
        <row r="398">
          <cell r="B398" t="str">
            <v>SS637</v>
          </cell>
          <cell r="CH398">
            <v>0.63594188591833956</v>
          </cell>
          <cell r="CI398">
            <v>0.5494276596896448</v>
          </cell>
          <cell r="CJ398">
            <v>0.50462319255518839</v>
          </cell>
          <cell r="CK398">
            <v>0.47793785489046248</v>
          </cell>
          <cell r="CL398">
            <v>0.46055685198340129</v>
          </cell>
          <cell r="CM398">
            <v>0.44733844766604458</v>
          </cell>
          <cell r="CN398">
            <v>0.4112727141030415</v>
          </cell>
        </row>
        <row r="399">
          <cell r="B399" t="str">
            <v>SS638</v>
          </cell>
          <cell r="CH399">
            <v>0.55114090433395135</v>
          </cell>
          <cell r="CI399">
            <v>0.51351700529313149</v>
          </cell>
          <cell r="CJ399">
            <v>0.50127917775469588</v>
          </cell>
          <cell r="CK399">
            <v>0.48173740474987203</v>
          </cell>
          <cell r="CL399">
            <v>0.45315267171631085</v>
          </cell>
          <cell r="CM399">
            <v>0.43140012197973909</v>
          </cell>
          <cell r="CN399">
            <v>0.40910744487436063</v>
          </cell>
        </row>
        <row r="400">
          <cell r="B400" t="str">
            <v>SS641</v>
          </cell>
          <cell r="CH400">
            <v>0</v>
          </cell>
          <cell r="CI400">
            <v>0</v>
          </cell>
          <cell r="CJ400">
            <v>0</v>
          </cell>
          <cell r="CK400">
            <v>0</v>
          </cell>
          <cell r="CL400">
            <v>0</v>
          </cell>
          <cell r="CM400">
            <v>0</v>
          </cell>
          <cell r="CN400">
            <v>0</v>
          </cell>
        </row>
        <row r="401">
          <cell r="B401" t="str">
            <v>SS643</v>
          </cell>
          <cell r="CH401">
            <v>0</v>
          </cell>
          <cell r="CI401">
            <v>0</v>
          </cell>
          <cell r="CJ401">
            <v>0</v>
          </cell>
          <cell r="CK401">
            <v>0</v>
          </cell>
          <cell r="CL401">
            <v>0</v>
          </cell>
          <cell r="CM401">
            <v>0</v>
          </cell>
          <cell r="CN401">
            <v>0</v>
          </cell>
        </row>
        <row r="402">
          <cell r="B402" t="str">
            <v>SS644</v>
          </cell>
          <cell r="CH402">
            <v>4.6752267186883772E-3</v>
          </cell>
          <cell r="CI402">
            <v>3.3116554905432668E-3</v>
          </cell>
          <cell r="CJ402">
            <v>3.1407129465992664E-3</v>
          </cell>
          <cell r="CK402">
            <v>3.3301592879384084E-3</v>
          </cell>
          <cell r="CL402">
            <v>3.2207555536003015E-3</v>
          </cell>
          <cell r="CM402">
            <v>2.3548075336296236E-3</v>
          </cell>
          <cell r="CN402">
            <v>2.1120584093243942E-3</v>
          </cell>
        </row>
        <row r="403">
          <cell r="B403" t="str">
            <v>SS645</v>
          </cell>
          <cell r="CH403">
            <v>0.45242225357399768</v>
          </cell>
          <cell r="CI403">
            <v>0.53518114640389047</v>
          </cell>
          <cell r="CJ403">
            <v>0.66787735585795815</v>
          </cell>
          <cell r="CK403">
            <v>0.6916225011049506</v>
          </cell>
          <cell r="CL403">
            <v>0.72618634748008182</v>
          </cell>
          <cell r="CM403">
            <v>0.77298488951739219</v>
          </cell>
          <cell r="CN403">
            <v>0.8144926668337098</v>
          </cell>
        </row>
        <row r="404">
          <cell r="B404" t="str">
            <v>SS646</v>
          </cell>
          <cell r="CH404">
            <v>0.59314856886198153</v>
          </cell>
          <cell r="CI404">
            <v>0.55529295293051462</v>
          </cell>
          <cell r="CJ404">
            <v>0.64681099130360087</v>
          </cell>
          <cell r="CK404">
            <v>0.66838160712022998</v>
          </cell>
          <cell r="CL404">
            <v>0.7258848771771611</v>
          </cell>
          <cell r="CM404">
            <v>0.78134810250382469</v>
          </cell>
          <cell r="CN404">
            <v>0.81607135605264913</v>
          </cell>
        </row>
        <row r="405">
          <cell r="B405" t="str">
            <v>SS649</v>
          </cell>
          <cell r="CH405">
            <v>0</v>
          </cell>
          <cell r="CI405">
            <v>0</v>
          </cell>
          <cell r="CJ405">
            <v>0</v>
          </cell>
          <cell r="CK405">
            <v>0</v>
          </cell>
          <cell r="CL405">
            <v>0</v>
          </cell>
          <cell r="CM405">
            <v>0</v>
          </cell>
          <cell r="CN405">
            <v>0</v>
          </cell>
        </row>
        <row r="406">
          <cell r="B406" t="str">
            <v>SS653</v>
          </cell>
          <cell r="CH406">
            <v>0</v>
          </cell>
          <cell r="CI406">
            <v>0</v>
          </cell>
          <cell r="CJ406">
            <v>0</v>
          </cell>
          <cell r="CK406">
            <v>0</v>
          </cell>
          <cell r="CL406">
            <v>0</v>
          </cell>
          <cell r="CM406">
            <v>0</v>
          </cell>
          <cell r="CN406">
            <v>0</v>
          </cell>
        </row>
        <row r="407">
          <cell r="B407" t="str">
            <v>SS654</v>
          </cell>
          <cell r="CH407">
            <v>0</v>
          </cell>
          <cell r="CI407">
            <v>0</v>
          </cell>
          <cell r="CJ407">
            <v>0</v>
          </cell>
          <cell r="CK407">
            <v>0</v>
          </cell>
          <cell r="CL407">
            <v>0</v>
          </cell>
          <cell r="CM407">
            <v>0</v>
          </cell>
          <cell r="CN407">
            <v>0</v>
          </cell>
        </row>
        <row r="408">
          <cell r="B408" t="str">
            <v>SS655</v>
          </cell>
          <cell r="CH408">
            <v>2.902743078123779E-2</v>
          </cell>
          <cell r="CI408">
            <v>2.7649713240190992E-4</v>
          </cell>
          <cell r="CJ408">
            <v>5.0297770084947379E-5</v>
          </cell>
          <cell r="CK408">
            <v>0</v>
          </cell>
          <cell r="CL408">
            <v>0</v>
          </cell>
          <cell r="CM408">
            <v>0</v>
          </cell>
          <cell r="CN408">
            <v>0</v>
          </cell>
        </row>
        <row r="409">
          <cell r="B409" t="str">
            <v>SS656</v>
          </cell>
          <cell r="CH409">
            <v>0.17892105017156432</v>
          </cell>
          <cell r="CI409">
            <v>7.954287011121576E-2</v>
          </cell>
          <cell r="CJ409">
            <v>4.9719182722964611E-3</v>
          </cell>
          <cell r="CK409">
            <v>0</v>
          </cell>
          <cell r="CL409">
            <v>0</v>
          </cell>
          <cell r="CM409">
            <v>0</v>
          </cell>
          <cell r="CN409">
            <v>0</v>
          </cell>
        </row>
        <row r="410">
          <cell r="B410" t="str">
            <v>SS659</v>
          </cell>
          <cell r="CH410">
            <v>0</v>
          </cell>
          <cell r="CI410">
            <v>0</v>
          </cell>
          <cell r="CJ410">
            <v>0</v>
          </cell>
          <cell r="CK410">
            <v>0</v>
          </cell>
          <cell r="CL410">
            <v>0</v>
          </cell>
          <cell r="CM410">
            <v>0</v>
          </cell>
          <cell r="CN410">
            <v>0</v>
          </cell>
        </row>
        <row r="411">
          <cell r="B411" t="str">
            <v>SS660</v>
          </cell>
          <cell r="CH411">
            <v>4.8491270906400293E-4</v>
          </cell>
          <cell r="CI411">
            <v>7.828646993452016E-5</v>
          </cell>
          <cell r="CJ411">
            <v>1.0766425110690105E-5</v>
          </cell>
          <cell r="CK411">
            <v>6.6756436500055809E-6</v>
          </cell>
          <cell r="CL411">
            <v>4.2442952635848233E-6</v>
          </cell>
          <cell r="CM411">
            <v>2.2824670858086866E-6</v>
          </cell>
          <cell r="CN411">
            <v>0</v>
          </cell>
        </row>
        <row r="412">
          <cell r="B412" t="str">
            <v>SS661</v>
          </cell>
          <cell r="CH412">
            <v>8.5976829479446609E-4</v>
          </cell>
          <cell r="CI412">
            <v>5.1098035519653263E-4</v>
          </cell>
          <cell r="CJ412">
            <v>4.305512574848699E-4</v>
          </cell>
          <cell r="CK412">
            <v>3.2207940799119748E-4</v>
          </cell>
          <cell r="CL412">
            <v>2.4232331328496542E-4</v>
          </cell>
          <cell r="CM412">
            <v>1.3076229127174791E-4</v>
          </cell>
          <cell r="CN412">
            <v>7.2764552808661962E-5</v>
          </cell>
        </row>
        <row r="413">
          <cell r="B413" t="str">
            <v>SS662</v>
          </cell>
          <cell r="CH413">
            <v>1.5268533655374565E-3</v>
          </cell>
          <cell r="CI413">
            <v>4.8081474362230689E-4</v>
          </cell>
          <cell r="CJ413">
            <v>1.5069526021339836E-4</v>
          </cell>
          <cell r="CK413">
            <v>9.347811826020034E-5</v>
          </cell>
          <cell r="CL413">
            <v>5.9442245652576796E-5</v>
          </cell>
          <cell r="CM413">
            <v>3.1981098375094303E-5</v>
          </cell>
          <cell r="CN413">
            <v>0</v>
          </cell>
        </row>
        <row r="414">
          <cell r="B414" t="str">
            <v>SS665</v>
          </cell>
          <cell r="CH414">
            <v>1.4094220166139973E-3</v>
          </cell>
          <cell r="CI414">
            <v>7.4301152734087953E-4</v>
          </cell>
          <cell r="CJ414">
            <v>3.8221751189900129E-4</v>
          </cell>
          <cell r="CK414">
            <v>2.7572956799803581E-4</v>
          </cell>
          <cell r="CL414">
            <v>1.9725815120599772E-4</v>
          </cell>
          <cell r="CM414">
            <v>1.0637891027920853E-4</v>
          </cell>
          <cell r="CN414">
            <v>0</v>
          </cell>
        </row>
        <row r="415">
          <cell r="B415" t="str">
            <v>SS666</v>
          </cell>
          <cell r="CH415">
            <v>2.1668935273547782E-2</v>
          </cell>
          <cell r="CI415">
            <v>7.2824445410183737E-4</v>
          </cell>
          <cell r="CJ415">
            <v>1.0018512856006008E-4</v>
          </cell>
          <cell r="CK415">
            <v>6.2139214920393517E-5</v>
          </cell>
          <cell r="CL415">
            <v>3.9520249729474561E-5</v>
          </cell>
          <cell r="CM415">
            <v>2.1258337993288623E-5</v>
          </cell>
          <cell r="CN415">
            <v>0</v>
          </cell>
        </row>
        <row r="416">
          <cell r="B416" t="str">
            <v>SS667</v>
          </cell>
          <cell r="CH416">
            <v>2.7596303879322222E-2</v>
          </cell>
          <cell r="CI416">
            <v>2.2561454665023593E-2</v>
          </cell>
          <cell r="CJ416">
            <v>1.836895967629058E-2</v>
          </cell>
          <cell r="CK416">
            <v>1.2909895027861492E-2</v>
          </cell>
          <cell r="CL416">
            <v>8.8093312910182409E-3</v>
          </cell>
          <cell r="CM416">
            <v>4.7541981816493521E-3</v>
          </cell>
          <cell r="CN416">
            <v>1.4219657394656977E-3</v>
          </cell>
        </row>
        <row r="417">
          <cell r="B417" t="str">
            <v>SS668</v>
          </cell>
          <cell r="CH417">
            <v>0.10903933542519287</v>
          </cell>
          <cell r="CI417">
            <v>2.3259182615619205E-2</v>
          </cell>
          <cell r="CJ417">
            <v>7.2783759070951509E-3</v>
          </cell>
          <cell r="CK417">
            <v>4.5093027471596681E-3</v>
          </cell>
          <cell r="CL417">
            <v>2.8640557813437435E-3</v>
          </cell>
          <cell r="CM417">
            <v>1.5391875473569001E-3</v>
          </cell>
          <cell r="CN417">
            <v>0</v>
          </cell>
        </row>
        <row r="418">
          <cell r="B418" t="str">
            <v>SS669</v>
          </cell>
          <cell r="CH418">
            <v>2.9833057785624999E-2</v>
          </cell>
          <cell r="CI418">
            <v>1.698220655559975E-2</v>
          </cell>
          <cell r="CJ418">
            <v>1.4713577220943215E-2</v>
          </cell>
          <cell r="CK418">
            <v>2.0409814379624244E-2</v>
          </cell>
          <cell r="CL418">
            <v>2.1905321974335604E-2</v>
          </cell>
          <cell r="CM418">
            <v>2.2357892061127118E-2</v>
          </cell>
          <cell r="CN418">
            <v>2.3865581283860727E-2</v>
          </cell>
        </row>
        <row r="419">
          <cell r="B419" t="str">
            <v>SS670</v>
          </cell>
          <cell r="CH419">
            <v>1.2460109420961468E-2</v>
          </cell>
          <cell r="CI419">
            <v>9.0209999664505915E-3</v>
          </cell>
          <cell r="CJ419">
            <v>4.460585303375811E-3</v>
          </cell>
          <cell r="CK419">
            <v>4.9035685239395355E-3</v>
          </cell>
          <cell r="CL419">
            <v>4.6511313649365378E-3</v>
          </cell>
          <cell r="CM419">
            <v>0</v>
          </cell>
          <cell r="CN419">
            <v>0</v>
          </cell>
        </row>
        <row r="420">
          <cell r="B420" t="str">
            <v>SS701</v>
          </cell>
          <cell r="CH420">
            <v>0</v>
          </cell>
          <cell r="CI420">
            <v>0</v>
          </cell>
          <cell r="CJ420">
            <v>0</v>
          </cell>
          <cell r="CK420">
            <v>0</v>
          </cell>
          <cell r="CL420">
            <v>0</v>
          </cell>
          <cell r="CM420">
            <v>0</v>
          </cell>
          <cell r="CN420">
            <v>0</v>
          </cell>
        </row>
        <row r="421">
          <cell r="B421" t="str">
            <v>SS703</v>
          </cell>
          <cell r="CH421">
            <v>0</v>
          </cell>
          <cell r="CI421">
            <v>0</v>
          </cell>
          <cell r="CJ421">
            <v>0</v>
          </cell>
          <cell r="CK421">
            <v>0</v>
          </cell>
          <cell r="CL421">
            <v>0</v>
          </cell>
          <cell r="CM421">
            <v>0</v>
          </cell>
          <cell r="CN421">
            <v>0</v>
          </cell>
        </row>
        <row r="422">
          <cell r="B422" t="str">
            <v>SS705</v>
          </cell>
          <cell r="CH422">
            <v>0</v>
          </cell>
          <cell r="CI422">
            <v>0</v>
          </cell>
          <cell r="CJ422">
            <v>0</v>
          </cell>
          <cell r="CK422">
            <v>0</v>
          </cell>
          <cell r="CL422">
            <v>0</v>
          </cell>
          <cell r="CM422">
            <v>0</v>
          </cell>
          <cell r="CN422">
            <v>0</v>
          </cell>
        </row>
        <row r="423">
          <cell r="B423" t="str">
            <v>SS708</v>
          </cell>
          <cell r="CH423">
            <v>0</v>
          </cell>
          <cell r="CI423">
            <v>0</v>
          </cell>
          <cell r="CJ423">
            <v>0</v>
          </cell>
          <cell r="CK423">
            <v>0</v>
          </cell>
          <cell r="CL423">
            <v>0</v>
          </cell>
          <cell r="CM423">
            <v>0</v>
          </cell>
          <cell r="CN423">
            <v>0</v>
          </cell>
        </row>
        <row r="424">
          <cell r="B424" t="str">
            <v>SS710</v>
          </cell>
          <cell r="CH424">
            <v>0</v>
          </cell>
          <cell r="CI424">
            <v>0</v>
          </cell>
          <cell r="CJ424">
            <v>0</v>
          </cell>
          <cell r="CK424">
            <v>0</v>
          </cell>
          <cell r="CL424">
            <v>0</v>
          </cell>
          <cell r="CM424">
            <v>0</v>
          </cell>
          <cell r="CN424">
            <v>0</v>
          </cell>
        </row>
        <row r="425">
          <cell r="B425" t="str">
            <v>SS711</v>
          </cell>
          <cell r="CH425">
            <v>0</v>
          </cell>
          <cell r="CI425">
            <v>0</v>
          </cell>
          <cell r="CJ425">
            <v>0</v>
          </cell>
          <cell r="CK425">
            <v>0</v>
          </cell>
          <cell r="CL425">
            <v>0</v>
          </cell>
          <cell r="CM425">
            <v>0</v>
          </cell>
          <cell r="CN425">
            <v>0</v>
          </cell>
        </row>
        <row r="426">
          <cell r="B426" t="str">
            <v>SS712</v>
          </cell>
          <cell r="CH426">
            <v>0</v>
          </cell>
          <cell r="CI426">
            <v>0</v>
          </cell>
          <cell r="CJ426">
            <v>0</v>
          </cell>
          <cell r="CK426">
            <v>0</v>
          </cell>
          <cell r="CL426">
            <v>0</v>
          </cell>
          <cell r="CM426">
            <v>0</v>
          </cell>
          <cell r="CN426">
            <v>0</v>
          </cell>
        </row>
        <row r="427">
          <cell r="B427" t="str">
            <v>SS714</v>
          </cell>
          <cell r="CH427">
            <v>0</v>
          </cell>
          <cell r="CI427">
            <v>0</v>
          </cell>
          <cell r="CJ427">
            <v>0</v>
          </cell>
          <cell r="CK427">
            <v>0</v>
          </cell>
          <cell r="CL427">
            <v>0</v>
          </cell>
          <cell r="CM427">
            <v>0</v>
          </cell>
          <cell r="CN427">
            <v>0</v>
          </cell>
        </row>
        <row r="428">
          <cell r="B428" t="str">
            <v>SS716</v>
          </cell>
          <cell r="CH428">
            <v>0</v>
          </cell>
          <cell r="CI428">
            <v>0</v>
          </cell>
          <cell r="CJ428">
            <v>0</v>
          </cell>
          <cell r="CK428">
            <v>0</v>
          </cell>
          <cell r="CL428">
            <v>0</v>
          </cell>
          <cell r="CM428">
            <v>0</v>
          </cell>
          <cell r="CN428">
            <v>0</v>
          </cell>
        </row>
        <row r="429">
          <cell r="B429" t="str">
            <v>SS718</v>
          </cell>
          <cell r="CH429">
            <v>0.2039525062488915</v>
          </cell>
          <cell r="CI429">
            <v>0.14047039486931684</v>
          </cell>
          <cell r="CJ429">
            <v>0.1204612111394518</v>
          </cell>
          <cell r="CK429">
            <v>0.1257665761126992</v>
          </cell>
          <cell r="CL429">
            <v>0.12382949036546609</v>
          </cell>
          <cell r="CM429">
            <v>9.6403613747379976E-2</v>
          </cell>
          <cell r="CN429">
            <v>0.14618998654350493</v>
          </cell>
        </row>
        <row r="430">
          <cell r="B430" t="str">
            <v>SS719</v>
          </cell>
          <cell r="CH430">
            <v>0.30990212461686928</v>
          </cell>
          <cell r="CI430">
            <v>0.3359063908350951</v>
          </cell>
          <cell r="CJ430">
            <v>0.32930976455188465</v>
          </cell>
          <cell r="CK430">
            <v>0.27137689839313506</v>
          </cell>
          <cell r="CL430">
            <v>0.20037506886843964</v>
          </cell>
          <cell r="CM430">
            <v>0.12453453711832393</v>
          </cell>
          <cell r="CN430">
            <v>7.1919876880121067E-2</v>
          </cell>
        </row>
        <row r="431">
          <cell r="B431" t="str">
            <v>SS720</v>
          </cell>
          <cell r="CH431">
            <v>0.97366626416446755</v>
          </cell>
          <cell r="CI431">
            <v>0.63612375279073674</v>
          </cell>
          <cell r="CJ431">
            <v>0.47555578187166919</v>
          </cell>
          <cell r="CK431">
            <v>0.47798017898407624</v>
          </cell>
          <cell r="CL431">
            <v>0.45842891030473087</v>
          </cell>
          <cell r="CM431">
            <v>0.37371815715237133</v>
          </cell>
          <cell r="CN431">
            <v>0.72840384761267518</v>
          </cell>
        </row>
        <row r="432">
          <cell r="B432" t="str">
            <v>SS721</v>
          </cell>
          <cell r="CH432">
            <v>17.692459461800368</v>
          </cell>
          <cell r="CI432">
            <v>15.756457601930904</v>
          </cell>
          <cell r="CJ432">
            <v>13.647807955820831</v>
          </cell>
          <cell r="CK432">
            <v>10.412878826924509</v>
          </cell>
          <cell r="CL432">
            <v>7.1218983277872692</v>
          </cell>
          <cell r="CM432">
            <v>4.1135907879180271</v>
          </cell>
          <cell r="CN432">
            <v>0</v>
          </cell>
        </row>
        <row r="433">
          <cell r="B433" t="str">
            <v>SS726</v>
          </cell>
          <cell r="CH433">
            <v>3.017763195684229E-4</v>
          </cell>
          <cell r="CI433">
            <v>2.4678547936209778E-4</v>
          </cell>
          <cell r="CJ433">
            <v>2.0926733543445304E-4</v>
          </cell>
          <cell r="CK433">
            <v>1.6556262843517929E-4</v>
          </cell>
          <cell r="CL433">
            <v>1.3114451910062317E-4</v>
          </cell>
          <cell r="CM433">
            <v>1.0215532969745254E-4</v>
          </cell>
          <cell r="CN433">
            <v>6.6542123165427104E-5</v>
          </cell>
        </row>
        <row r="434">
          <cell r="B434" t="str">
            <v>SS727</v>
          </cell>
          <cell r="CH434">
            <v>4.9869675309718506E-4</v>
          </cell>
          <cell r="CI434">
            <v>5.1218461300736975E-4</v>
          </cell>
          <cell r="CJ434">
            <v>4.7205322901066758E-4</v>
          </cell>
          <cell r="CK434">
            <v>4.2860624746309054E-4</v>
          </cell>
          <cell r="CL434">
            <v>3.8920585120349674E-4</v>
          </cell>
          <cell r="CM434">
            <v>3.5393533126639441E-4</v>
          </cell>
          <cell r="CN434">
            <v>3.1350754798433172E-4</v>
          </cell>
        </row>
        <row r="435">
          <cell r="B435" t="str">
            <v>SS728</v>
          </cell>
          <cell r="CH435">
            <v>8.1594945586443372E-4</v>
          </cell>
          <cell r="CI435">
            <v>8.604924990382952E-4</v>
          </cell>
          <cell r="CJ435">
            <v>7.8561356069670261E-4</v>
          </cell>
          <cell r="CK435">
            <v>7.0761635246848094E-4</v>
          </cell>
          <cell r="CL435">
            <v>6.3853914728767471E-4</v>
          </cell>
          <cell r="CM435">
            <v>5.7786533010026483E-4</v>
          </cell>
          <cell r="CN435">
            <v>5.0567918370341791E-4</v>
          </cell>
        </row>
        <row r="436">
          <cell r="B436" t="str">
            <v>SS729</v>
          </cell>
          <cell r="CH436">
            <v>1.0046086268135097E-3</v>
          </cell>
          <cell r="CI436">
            <v>1.0019563898550007E-3</v>
          </cell>
          <cell r="CJ436">
            <v>1.0383328362103394E-3</v>
          </cell>
          <cell r="CK436">
            <v>1.0371238105010175E-3</v>
          </cell>
          <cell r="CL436">
            <v>1.0240060416410034E-3</v>
          </cell>
          <cell r="CM436">
            <v>9.8598351073660856E-4</v>
          </cell>
          <cell r="CN436">
            <v>9.8791341876337097E-4</v>
          </cell>
        </row>
        <row r="437">
          <cell r="B437" t="str">
            <v>SS730</v>
          </cell>
          <cell r="CH437">
            <v>1.7565129243491365E-3</v>
          </cell>
          <cell r="CI437">
            <v>2.1147511732410099E-3</v>
          </cell>
          <cell r="CJ437">
            <v>2.0039886515378397E-3</v>
          </cell>
          <cell r="CK437">
            <v>1.8735772998202641E-3</v>
          </cell>
          <cell r="CL437">
            <v>1.7501796678067335E-3</v>
          </cell>
          <cell r="CM437">
            <v>1.634430060531592E-3</v>
          </cell>
          <cell r="CN437">
            <v>1.5063707884479163E-3</v>
          </cell>
        </row>
        <row r="438">
          <cell r="B438" t="str">
            <v>SS731</v>
          </cell>
          <cell r="CH438">
            <v>0</v>
          </cell>
          <cell r="CI438">
            <v>0</v>
          </cell>
          <cell r="CJ438">
            <v>0</v>
          </cell>
          <cell r="CK438">
            <v>0</v>
          </cell>
          <cell r="CL438">
            <v>0</v>
          </cell>
          <cell r="CM438">
            <v>0</v>
          </cell>
          <cell r="CN438">
            <v>0</v>
          </cell>
        </row>
        <row r="439">
          <cell r="B439" t="str">
            <v>SS732</v>
          </cell>
          <cell r="CH439">
            <v>3.0465618361306666E-3</v>
          </cell>
          <cell r="CI439">
            <v>3.2794791570635012E-3</v>
          </cell>
          <cell r="CJ439">
            <v>2.9356831292940825E-3</v>
          </cell>
          <cell r="CK439">
            <v>2.5672679595853628E-3</v>
          </cell>
          <cell r="CL439">
            <v>2.2507782533066714E-3</v>
          </cell>
          <cell r="CM439">
            <v>1.9808439121751713E-3</v>
          </cell>
          <cell r="CN439">
            <v>1.6514064780222017E-3</v>
          </cell>
        </row>
        <row r="440">
          <cell r="B440" t="str">
            <v>SS733</v>
          </cell>
          <cell r="CH440">
            <v>1.6691423890549277E-2</v>
          </cell>
          <cell r="CI440">
            <v>1.5372054867877792E-2</v>
          </cell>
          <cell r="CJ440">
            <v>1.3965378207909197E-2</v>
          </cell>
          <cell r="CK440">
            <v>1.2358067527963602E-2</v>
          </cell>
          <cell r="CL440">
            <v>1.0980120387148601E-2</v>
          </cell>
          <cell r="CM440">
            <v>9.7299368684737753E-3</v>
          </cell>
          <cell r="CN440">
            <v>8.3206893517118203E-3</v>
          </cell>
        </row>
        <row r="441">
          <cell r="B441" t="str">
            <v>SS734</v>
          </cell>
          <cell r="CH441">
            <v>5.1938806715215106E-2</v>
          </cell>
          <cell r="CI441">
            <v>5.4597795448335644E-2</v>
          </cell>
          <cell r="CJ441">
            <v>4.8859802468421629E-2</v>
          </cell>
          <cell r="CK441">
            <v>4.2690079741523626E-2</v>
          </cell>
          <cell r="CL441">
            <v>3.7414587393880143E-2</v>
          </cell>
          <cell r="CM441">
            <v>3.2915812629062485E-2</v>
          </cell>
          <cell r="CN441">
            <v>2.7501558752125951E-2</v>
          </cell>
        </row>
        <row r="442">
          <cell r="B442" t="str">
            <v>SS735</v>
          </cell>
          <cell r="CH442">
            <v>0.13346669799616051</v>
          </cell>
          <cell r="CI442">
            <v>0.12791669170123543</v>
          </cell>
          <cell r="CJ442">
            <v>0.11355294142403469</v>
          </cell>
          <cell r="CK442">
            <v>9.5526716991773744E-2</v>
          </cell>
          <cell r="CL442">
            <v>8.0095851568516313E-2</v>
          </cell>
          <cell r="CM442">
            <v>6.6168435118842767E-2</v>
          </cell>
          <cell r="CN442">
            <v>5.153802888417084E-2</v>
          </cell>
        </row>
        <row r="443">
          <cell r="B443" t="str">
            <v>SS736</v>
          </cell>
          <cell r="CH443">
            <v>0.41801744873501245</v>
          </cell>
          <cell r="CI443">
            <v>0.42784761310288338</v>
          </cell>
          <cell r="CJ443">
            <v>0.36379168459319655</v>
          </cell>
          <cell r="CK443">
            <v>0.2946860921305034</v>
          </cell>
          <cell r="CL443">
            <v>0.23990273449667956</v>
          </cell>
          <cell r="CM443">
            <v>0.1937753727423282</v>
          </cell>
          <cell r="CN443">
            <v>0.13597798222651297</v>
          </cell>
        </row>
        <row r="444">
          <cell r="B444" t="str">
            <v>SS737</v>
          </cell>
          <cell r="CH444">
            <v>0.55201793064415361</v>
          </cell>
          <cell r="CI444">
            <v>0.54372995032325944</v>
          </cell>
          <cell r="CJ444">
            <v>0.49387230833087881</v>
          </cell>
          <cell r="CK444">
            <v>0.46347707367757196</v>
          </cell>
          <cell r="CL444">
            <v>0.4418075077597326</v>
          </cell>
          <cell r="CM444">
            <v>0.42413883335647934</v>
          </cell>
          <cell r="CN444">
            <v>0.38520418111206106</v>
          </cell>
        </row>
        <row r="445">
          <cell r="B445" t="str">
            <v>SS738</v>
          </cell>
          <cell r="CH445">
            <v>0.44180894618954841</v>
          </cell>
          <cell r="CI445">
            <v>0.45702509148841181</v>
          </cell>
          <cell r="CJ445">
            <v>0.44300770536340145</v>
          </cell>
          <cell r="CK445">
            <v>0.41736196896625594</v>
          </cell>
          <cell r="CL445">
            <v>0.37619276913295757</v>
          </cell>
          <cell r="CM445">
            <v>0.32807920816721653</v>
          </cell>
          <cell r="CN445">
            <v>0.30679300957600769</v>
          </cell>
        </row>
        <row r="446">
          <cell r="B446" t="str">
            <v>SS741</v>
          </cell>
          <cell r="CH446">
            <v>0</v>
          </cell>
          <cell r="CI446">
            <v>0</v>
          </cell>
          <cell r="CJ446">
            <v>0</v>
          </cell>
          <cell r="CK446">
            <v>0</v>
          </cell>
          <cell r="CL446">
            <v>0</v>
          </cell>
          <cell r="CM446">
            <v>0</v>
          </cell>
          <cell r="CN446">
            <v>0</v>
          </cell>
        </row>
        <row r="447">
          <cell r="B447" t="str">
            <v>SS743</v>
          </cell>
          <cell r="CH447">
            <v>0</v>
          </cell>
          <cell r="CI447">
            <v>0</v>
          </cell>
          <cell r="CJ447">
            <v>0</v>
          </cell>
          <cell r="CK447">
            <v>0</v>
          </cell>
          <cell r="CL447">
            <v>0</v>
          </cell>
          <cell r="CM447">
            <v>0</v>
          </cell>
          <cell r="CN447">
            <v>0</v>
          </cell>
        </row>
        <row r="448">
          <cell r="B448" t="str">
            <v>SS744</v>
          </cell>
          <cell r="CH448">
            <v>0</v>
          </cell>
          <cell r="CI448">
            <v>0</v>
          </cell>
          <cell r="CJ448">
            <v>0</v>
          </cell>
          <cell r="CK448">
            <v>0</v>
          </cell>
          <cell r="CL448">
            <v>0</v>
          </cell>
          <cell r="CM448">
            <v>0</v>
          </cell>
          <cell r="CN448">
            <v>0</v>
          </cell>
        </row>
        <row r="449">
          <cell r="B449" t="str">
            <v>SS745</v>
          </cell>
          <cell r="CH449">
            <v>0.27669767165995379</v>
          </cell>
          <cell r="CI449">
            <v>0.33440957132877935</v>
          </cell>
          <cell r="CJ449">
            <v>0.41789902325842199</v>
          </cell>
          <cell r="CK449">
            <v>0.43380940759187947</v>
          </cell>
          <cell r="CL449">
            <v>0.43603179129960323</v>
          </cell>
          <cell r="CM449">
            <v>0.43010184575410171</v>
          </cell>
          <cell r="CN449">
            <v>0.45843913902736255</v>
          </cell>
        </row>
        <row r="450">
          <cell r="B450" t="str">
            <v>SS746</v>
          </cell>
          <cell r="CH450">
            <v>0.39496536913105185</v>
          </cell>
          <cell r="CI450">
            <v>0.35117995507570532</v>
          </cell>
          <cell r="CJ450">
            <v>0.40827531498296299</v>
          </cell>
          <cell r="CK450">
            <v>0.41692470357441724</v>
          </cell>
          <cell r="CL450">
            <v>0.44251158794282963</v>
          </cell>
          <cell r="CM450">
            <v>0.47405404760713782</v>
          </cell>
          <cell r="CN450">
            <v>0.48128903055456052</v>
          </cell>
        </row>
        <row r="451">
          <cell r="B451" t="str">
            <v>SS749</v>
          </cell>
          <cell r="CH451">
            <v>0</v>
          </cell>
          <cell r="CI451">
            <v>0</v>
          </cell>
          <cell r="CJ451">
            <v>0</v>
          </cell>
          <cell r="CK451">
            <v>0</v>
          </cell>
          <cell r="CL451">
            <v>0</v>
          </cell>
          <cell r="CM451">
            <v>0</v>
          </cell>
          <cell r="CN451">
            <v>0</v>
          </cell>
        </row>
        <row r="452">
          <cell r="B452" t="str">
            <v>SS753</v>
          </cell>
          <cell r="CH452">
            <v>0</v>
          </cell>
          <cell r="CI452">
            <v>0</v>
          </cell>
          <cell r="CJ452">
            <v>0</v>
          </cell>
          <cell r="CK452">
            <v>0</v>
          </cell>
          <cell r="CL452">
            <v>0</v>
          </cell>
          <cell r="CM452">
            <v>0</v>
          </cell>
          <cell r="CN452">
            <v>0</v>
          </cell>
        </row>
        <row r="453">
          <cell r="B453" t="str">
            <v>SS754</v>
          </cell>
          <cell r="CH453">
            <v>0</v>
          </cell>
          <cell r="CI453">
            <v>0</v>
          </cell>
          <cell r="CJ453">
            <v>0</v>
          </cell>
          <cell r="CK453">
            <v>0</v>
          </cell>
          <cell r="CL453">
            <v>0</v>
          </cell>
          <cell r="CM453">
            <v>0</v>
          </cell>
          <cell r="CN453">
            <v>0</v>
          </cell>
        </row>
        <row r="454">
          <cell r="B454" t="str">
            <v>SS755</v>
          </cell>
          <cell r="CH454">
            <v>1.2461249236076236E-2</v>
          </cell>
          <cell r="CI454">
            <v>9.7198365268739029E-5</v>
          </cell>
          <cell r="CJ454">
            <v>1.1912245558924984E-5</v>
          </cell>
          <cell r="CK454">
            <v>0</v>
          </cell>
          <cell r="CL454">
            <v>0</v>
          </cell>
          <cell r="CM454">
            <v>0</v>
          </cell>
          <cell r="CN454">
            <v>0</v>
          </cell>
        </row>
        <row r="455">
          <cell r="B455" t="str">
            <v>SS756</v>
          </cell>
          <cell r="CH455">
            <v>0.11686045319315363</v>
          </cell>
          <cell r="CI455">
            <v>5.4058273091804845E-2</v>
          </cell>
          <cell r="CJ455">
            <v>4.3951417466896233E-3</v>
          </cell>
          <cell r="CK455">
            <v>0</v>
          </cell>
          <cell r="CL455">
            <v>0</v>
          </cell>
          <cell r="CM455">
            <v>0</v>
          </cell>
          <cell r="CN455">
            <v>0</v>
          </cell>
        </row>
        <row r="456">
          <cell r="B456" t="str">
            <v>SS762</v>
          </cell>
          <cell r="CH456">
            <v>0</v>
          </cell>
          <cell r="CI456">
            <v>0</v>
          </cell>
          <cell r="CJ456">
            <v>0</v>
          </cell>
          <cell r="CK456">
            <v>0</v>
          </cell>
          <cell r="CL456">
            <v>0</v>
          </cell>
          <cell r="CM456">
            <v>0</v>
          </cell>
          <cell r="CN456">
            <v>0</v>
          </cell>
        </row>
        <row r="457">
          <cell r="B457" t="str">
            <v>SS765</v>
          </cell>
          <cell r="CH457">
            <v>1.5180854878660422E-3</v>
          </cell>
          <cell r="CI457">
            <v>7.9811027785180069E-4</v>
          </cell>
          <cell r="CJ457">
            <v>4.1132939473645895E-4</v>
          </cell>
          <cell r="CK457">
            <v>2.9729796411583884E-4</v>
          </cell>
          <cell r="CL457">
            <v>2.130573755804198E-4</v>
          </cell>
          <cell r="CM457">
            <v>1.1512472104805231E-4</v>
          </cell>
          <cell r="CN457">
            <v>0</v>
          </cell>
        </row>
        <row r="458">
          <cell r="B458" t="str">
            <v>SS766</v>
          </cell>
          <cell r="CH458">
            <v>0</v>
          </cell>
          <cell r="CI458">
            <v>0</v>
          </cell>
          <cell r="CJ458">
            <v>0</v>
          </cell>
          <cell r="CK458">
            <v>0</v>
          </cell>
          <cell r="CL458">
            <v>0</v>
          </cell>
          <cell r="CM458">
            <v>0</v>
          </cell>
          <cell r="CN458">
            <v>0</v>
          </cell>
        </row>
        <row r="459">
          <cell r="B459" t="str">
            <v>SS767</v>
          </cell>
          <cell r="CH459">
            <v>1.3203252573139061E-2</v>
          </cell>
          <cell r="CI459">
            <v>1.123814703536199E-2</v>
          </cell>
          <cell r="CJ459">
            <v>9.1507295575494231E-3</v>
          </cell>
          <cell r="CK459">
            <v>6.4335208491849349E-3</v>
          </cell>
          <cell r="CL459">
            <v>4.3906769074378935E-3</v>
          </cell>
          <cell r="CM459">
            <v>2.3701202864694032E-3</v>
          </cell>
          <cell r="CN459">
            <v>7.0916179572264688E-4</v>
          </cell>
        </row>
        <row r="460">
          <cell r="B460" t="str">
            <v>SS768</v>
          </cell>
          <cell r="CH460">
            <v>2.1589876200603032E-2</v>
          </cell>
          <cell r="CI460">
            <v>3.166858703697263E-3</v>
          </cell>
          <cell r="CJ460">
            <v>9.8495754455134939E-4</v>
          </cell>
          <cell r="CK460">
            <v>6.1624262837085527E-4</v>
          </cell>
          <cell r="CL460">
            <v>3.8934407100638888E-4</v>
          </cell>
          <cell r="CM460">
            <v>2.09535936942879E-4</v>
          </cell>
          <cell r="CN460">
            <v>0</v>
          </cell>
        </row>
        <row r="461">
          <cell r="B461" t="str">
            <v>SS769</v>
          </cell>
          <cell r="CH461">
            <v>3.0156930797672572E-2</v>
          </cell>
          <cell r="CI461">
            <v>2.0777037992389863E-2</v>
          </cell>
          <cell r="CJ461">
            <v>1.2105112786178422E-2</v>
          </cell>
          <cell r="CK461">
            <v>1.9815810758012344E-2</v>
          </cell>
          <cell r="CL461">
            <v>2.0778667518664386E-2</v>
          </cell>
          <cell r="CM461">
            <v>2.331852076231317E-2</v>
          </cell>
          <cell r="CN461">
            <v>2.3027858250125655E-2</v>
          </cell>
        </row>
        <row r="462">
          <cell r="B462" t="str">
            <v>SS770</v>
          </cell>
          <cell r="CH462">
            <v>1.2801272451871092E-2</v>
          </cell>
          <cell r="CI462">
            <v>1.0577794673633439E-2</v>
          </cell>
          <cell r="CJ462">
            <v>6.0949661652636286E-3</v>
          </cell>
          <cell r="CK462">
            <v>9.9362178064502527E-3</v>
          </cell>
          <cell r="CL462">
            <v>1.0395608176295059E-2</v>
          </cell>
          <cell r="CM462">
            <v>1.1621553816387305E-2</v>
          </cell>
          <cell r="CN462">
            <v>1.1368095632868351E-2</v>
          </cell>
        </row>
        <row r="463">
          <cell r="B463" t="str">
            <v>SS800</v>
          </cell>
          <cell r="CH463">
            <v>0</v>
          </cell>
          <cell r="CI463">
            <v>0</v>
          </cell>
          <cell r="CJ463">
            <v>0</v>
          </cell>
          <cell r="CK463">
            <v>0</v>
          </cell>
          <cell r="CL463">
            <v>0</v>
          </cell>
          <cell r="CM463">
            <v>0</v>
          </cell>
          <cell r="CN463">
            <v>0</v>
          </cell>
        </row>
        <row r="464">
          <cell r="B464" t="str">
            <v>SS801</v>
          </cell>
          <cell r="CH464">
            <v>0</v>
          </cell>
          <cell r="CI464">
            <v>0</v>
          </cell>
          <cell r="CJ464">
            <v>0</v>
          </cell>
          <cell r="CK464">
            <v>0</v>
          </cell>
          <cell r="CL464">
            <v>0</v>
          </cell>
          <cell r="CM464">
            <v>0</v>
          </cell>
          <cell r="CN464">
            <v>0</v>
          </cell>
        </row>
        <row r="465">
          <cell r="B465" t="str">
            <v>SS803</v>
          </cell>
          <cell r="CH465">
            <v>0</v>
          </cell>
          <cell r="CI465">
            <v>0</v>
          </cell>
          <cell r="CJ465">
            <v>0</v>
          </cell>
          <cell r="CK465">
            <v>0</v>
          </cell>
          <cell r="CL465">
            <v>0</v>
          </cell>
          <cell r="CM465">
            <v>0</v>
          </cell>
          <cell r="CN465">
            <v>0</v>
          </cell>
        </row>
        <row r="466">
          <cell r="B466" t="str">
            <v>SS805</v>
          </cell>
          <cell r="CH466">
            <v>0</v>
          </cell>
          <cell r="CI466">
            <v>0</v>
          </cell>
          <cell r="CJ466">
            <v>0</v>
          </cell>
          <cell r="CK466">
            <v>0</v>
          </cell>
          <cell r="CL466">
            <v>0</v>
          </cell>
          <cell r="CM466">
            <v>0</v>
          </cell>
          <cell r="CN466">
            <v>0</v>
          </cell>
        </row>
        <row r="467">
          <cell r="B467" t="str">
            <v>SS806</v>
          </cell>
          <cell r="CH467">
            <v>0</v>
          </cell>
          <cell r="CI467">
            <v>0</v>
          </cell>
          <cell r="CJ467">
            <v>0</v>
          </cell>
          <cell r="CK467">
            <v>0</v>
          </cell>
          <cell r="CL467">
            <v>0</v>
          </cell>
          <cell r="CM467">
            <v>0</v>
          </cell>
          <cell r="CN467">
            <v>0</v>
          </cell>
        </row>
        <row r="468">
          <cell r="B468" t="str">
            <v>SS807</v>
          </cell>
          <cell r="CH468">
            <v>0</v>
          </cell>
          <cell r="CI468">
            <v>0</v>
          </cell>
          <cell r="CJ468">
            <v>0</v>
          </cell>
          <cell r="CK468">
            <v>0</v>
          </cell>
          <cell r="CL468">
            <v>0</v>
          </cell>
          <cell r="CM468">
            <v>0</v>
          </cell>
          <cell r="CN468">
            <v>0</v>
          </cell>
        </row>
        <row r="469">
          <cell r="B469" t="str">
            <v>SS808</v>
          </cell>
          <cell r="CH469">
            <v>0</v>
          </cell>
          <cell r="CI469">
            <v>0</v>
          </cell>
          <cell r="CJ469">
            <v>0</v>
          </cell>
          <cell r="CK469">
            <v>0</v>
          </cell>
          <cell r="CL469">
            <v>0</v>
          </cell>
          <cell r="CM469">
            <v>0</v>
          </cell>
          <cell r="CN469">
            <v>0</v>
          </cell>
        </row>
        <row r="470">
          <cell r="B470" t="str">
            <v>SS810</v>
          </cell>
          <cell r="CH470">
            <v>0</v>
          </cell>
          <cell r="CI470">
            <v>0</v>
          </cell>
          <cell r="CJ470">
            <v>0</v>
          </cell>
          <cell r="CK470">
            <v>0</v>
          </cell>
          <cell r="CL470">
            <v>0</v>
          </cell>
          <cell r="CM470">
            <v>0</v>
          </cell>
          <cell r="CN470">
            <v>0</v>
          </cell>
        </row>
        <row r="471">
          <cell r="B471" t="str">
            <v>SS811</v>
          </cell>
          <cell r="CH471">
            <v>0</v>
          </cell>
          <cell r="CI471">
            <v>0</v>
          </cell>
          <cell r="CJ471">
            <v>0</v>
          </cell>
          <cell r="CK471">
            <v>0</v>
          </cell>
          <cell r="CL471">
            <v>0</v>
          </cell>
          <cell r="CM471">
            <v>0</v>
          </cell>
          <cell r="CN471">
            <v>0</v>
          </cell>
        </row>
        <row r="472">
          <cell r="B472" t="str">
            <v>SS812</v>
          </cell>
          <cell r="CH472">
            <v>0</v>
          </cell>
          <cell r="CI472">
            <v>0</v>
          </cell>
          <cell r="CJ472">
            <v>0</v>
          </cell>
          <cell r="CK472">
            <v>0</v>
          </cell>
          <cell r="CL472">
            <v>0</v>
          </cell>
          <cell r="CM472">
            <v>0</v>
          </cell>
          <cell r="CN472">
            <v>0</v>
          </cell>
        </row>
        <row r="473">
          <cell r="B473" t="str">
            <v>SS813</v>
          </cell>
          <cell r="CH473">
            <v>0</v>
          </cell>
          <cell r="CI473">
            <v>0</v>
          </cell>
          <cell r="CJ473">
            <v>0</v>
          </cell>
          <cell r="CK473">
            <v>0</v>
          </cell>
          <cell r="CL473">
            <v>0</v>
          </cell>
          <cell r="CM473">
            <v>0</v>
          </cell>
          <cell r="CN473">
            <v>0</v>
          </cell>
        </row>
        <row r="474">
          <cell r="B474" t="str">
            <v>SS814</v>
          </cell>
          <cell r="CH474">
            <v>0</v>
          </cell>
          <cell r="CI474">
            <v>0</v>
          </cell>
          <cell r="CJ474">
            <v>0</v>
          </cell>
          <cell r="CK474">
            <v>0</v>
          </cell>
          <cell r="CL474">
            <v>0</v>
          </cell>
          <cell r="CM474">
            <v>0</v>
          </cell>
          <cell r="CN474">
            <v>0</v>
          </cell>
        </row>
        <row r="475">
          <cell r="B475" t="str">
            <v>SS816</v>
          </cell>
          <cell r="CH475">
            <v>0</v>
          </cell>
          <cell r="CI475">
            <v>0</v>
          </cell>
          <cell r="CJ475">
            <v>0</v>
          </cell>
          <cell r="CK475">
            <v>0</v>
          </cell>
          <cell r="CL475">
            <v>0</v>
          </cell>
          <cell r="CM475">
            <v>0</v>
          </cell>
          <cell r="CN475">
            <v>0</v>
          </cell>
        </row>
        <row r="476">
          <cell r="B476" t="str">
            <v>SS818</v>
          </cell>
          <cell r="CH476">
            <v>0.18072838361651186</v>
          </cell>
          <cell r="CI476">
            <v>0.12861015484782945</v>
          </cell>
          <cell r="CJ476">
            <v>0.10684218037402382</v>
          </cell>
          <cell r="CK476">
            <v>0.11141427193565515</v>
          </cell>
          <cell r="CL476">
            <v>0.10902032494596185</v>
          </cell>
          <cell r="CM476">
            <v>8.5982988730561094E-2</v>
          </cell>
          <cell r="CN476">
            <v>0.14183426140646496</v>
          </cell>
        </row>
        <row r="477">
          <cell r="B477" t="str">
            <v>SS819</v>
          </cell>
          <cell r="CH477">
            <v>0.47315871009571231</v>
          </cell>
          <cell r="CI477">
            <v>0.41556563094170806</v>
          </cell>
          <cell r="CJ477">
            <v>0.40005034527265571</v>
          </cell>
          <cell r="CK477">
            <v>0.3275910167440283</v>
          </cell>
          <cell r="CL477">
            <v>0.24320259589968563</v>
          </cell>
          <cell r="CM477">
            <v>0.15515365608781312</v>
          </cell>
          <cell r="CN477">
            <v>9.9581373411040119E-2</v>
          </cell>
        </row>
        <row r="478">
          <cell r="B478" t="str">
            <v>SS820</v>
          </cell>
          <cell r="CH478">
            <v>0.65807078556887821</v>
          </cell>
          <cell r="CI478">
            <v>0.60326795405624656</v>
          </cell>
          <cell r="CJ478">
            <v>0.46565014897983115</v>
          </cell>
          <cell r="CK478">
            <v>0.48059752487272295</v>
          </cell>
          <cell r="CL478">
            <v>0.47679370907280288</v>
          </cell>
          <cell r="CM478">
            <v>0.40453243153115481</v>
          </cell>
          <cell r="CN478">
            <v>0.90023317226437893</v>
          </cell>
        </row>
        <row r="479">
          <cell r="B479" t="str">
            <v>SS821</v>
          </cell>
          <cell r="CH479">
            <v>16.865791660341952</v>
          </cell>
          <cell r="CI479">
            <v>16.362895965836778</v>
          </cell>
          <cell r="CJ479">
            <v>14.632780614978781</v>
          </cell>
          <cell r="CK479">
            <v>11.840277028245453</v>
          </cell>
          <cell r="CL479">
            <v>8.8856306484944554</v>
          </cell>
          <cell r="CM479">
            <v>6.0592194843358289</v>
          </cell>
          <cell r="CN479">
            <v>5.1272879022542694</v>
          </cell>
        </row>
        <row r="480">
          <cell r="B480" t="str">
            <v>SS826</v>
          </cell>
          <cell r="CH480">
            <v>3.7292493711217883E-3</v>
          </cell>
          <cell r="CI480">
            <v>3.7131861414043499E-3</v>
          </cell>
          <cell r="CJ480">
            <v>3.1458332745373237E-3</v>
          </cell>
          <cell r="CK480">
            <v>2.4873893969814759E-3</v>
          </cell>
          <cell r="CL480">
            <v>1.9660689592749525E-3</v>
          </cell>
          <cell r="CM480">
            <v>1.5335011458733599E-3</v>
          </cell>
          <cell r="CN480">
            <v>9.9838688752388791E-4</v>
          </cell>
        </row>
        <row r="481">
          <cell r="B481" t="str">
            <v>SS827</v>
          </cell>
          <cell r="CH481">
            <v>5.1290262664022959E-4</v>
          </cell>
          <cell r="CI481">
            <v>6.0327406891333847E-4</v>
          </cell>
          <cell r="CJ481">
            <v>5.5543531601543708E-4</v>
          </cell>
          <cell r="CK481">
            <v>5.0392161384636084E-4</v>
          </cell>
          <cell r="CL481">
            <v>4.5756903366955272E-4</v>
          </cell>
          <cell r="CM481">
            <v>4.1580539727858085E-4</v>
          </cell>
          <cell r="CN481">
            <v>3.683035559415086E-4</v>
          </cell>
        </row>
        <row r="482">
          <cell r="B482" t="str">
            <v>SS828</v>
          </cell>
          <cell r="CH482">
            <v>7.7953233702028448E-3</v>
          </cell>
          <cell r="CI482">
            <v>9.3300221609144644E-3</v>
          </cell>
          <cell r="CJ482">
            <v>8.5245746719284227E-3</v>
          </cell>
          <cell r="CK482">
            <v>7.6830601273394691E-3</v>
          </cell>
          <cell r="CL482">
            <v>6.9341772266993474E-3</v>
          </cell>
          <cell r="CM482">
            <v>6.2711944543669034E-3</v>
          </cell>
          <cell r="CN482">
            <v>5.4911054991409513E-3</v>
          </cell>
        </row>
        <row r="483">
          <cell r="B483" t="str">
            <v>SS829</v>
          </cell>
          <cell r="CH483">
            <v>4.0210547028527634E-3</v>
          </cell>
          <cell r="CI483">
            <v>3.9691806785103964E-3</v>
          </cell>
          <cell r="CJ483">
            <v>4.1151181049088109E-3</v>
          </cell>
          <cell r="CK483">
            <v>4.1229880038267663E-3</v>
          </cell>
          <cell r="CL483">
            <v>4.0708972029286474E-3</v>
          </cell>
          <cell r="CM483">
            <v>3.922210511349309E-3</v>
          </cell>
          <cell r="CN483">
            <v>3.9306124567512367E-3</v>
          </cell>
        </row>
        <row r="484">
          <cell r="B484" t="str">
            <v>SS830</v>
          </cell>
          <cell r="CH484">
            <v>9.5945407628294441E-3</v>
          </cell>
          <cell r="CI484">
            <v>9.4938741325271397E-3</v>
          </cell>
          <cell r="CJ484">
            <v>8.9755302088337478E-3</v>
          </cell>
          <cell r="CK484">
            <v>8.3757542509995241E-3</v>
          </cell>
          <cell r="CL484">
            <v>7.822310362370171E-3</v>
          </cell>
          <cell r="CM484">
            <v>7.2992362998607081E-3</v>
          </cell>
          <cell r="CN484">
            <v>6.7281602426407915E-3</v>
          </cell>
        </row>
        <row r="485">
          <cell r="B485" t="str">
            <v>SS832</v>
          </cell>
          <cell r="CH485">
            <v>2.426199008209146E-3</v>
          </cell>
          <cell r="CI485">
            <v>2.5019179550564898E-3</v>
          </cell>
          <cell r="CJ485">
            <v>2.2390035927182142E-3</v>
          </cell>
          <cell r="CK485">
            <v>1.9556812201168903E-3</v>
          </cell>
          <cell r="CL485">
            <v>1.7153239765749337E-3</v>
          </cell>
          <cell r="CM485">
            <v>1.5085371488857506E-3</v>
          </cell>
          <cell r="CN485">
            <v>1.2586470420703131E-3</v>
          </cell>
        </row>
        <row r="486">
          <cell r="B486" t="str">
            <v>SS833</v>
          </cell>
          <cell r="CH486">
            <v>8.6816621888473455E-3</v>
          </cell>
          <cell r="CI486">
            <v>1.0170725894986432E-2</v>
          </cell>
          <cell r="CJ486">
            <v>9.2335040955979879E-3</v>
          </cell>
          <cell r="CK486">
            <v>8.1729178391015903E-3</v>
          </cell>
          <cell r="CL486">
            <v>7.2496694873245377E-3</v>
          </cell>
          <cell r="CM486">
            <v>6.426071069723171E-3</v>
          </cell>
          <cell r="CN486">
            <v>5.4993900550656429E-3</v>
          </cell>
        </row>
        <row r="487">
          <cell r="B487" t="str">
            <v>SS834</v>
          </cell>
          <cell r="CH487">
            <v>4.9697430371540195E-2</v>
          </cell>
          <cell r="CI487">
            <v>4.9206788888720612E-2</v>
          </cell>
          <cell r="CJ487">
            <v>4.4035754101536283E-2</v>
          </cell>
          <cell r="CK487">
            <v>3.8474612243202339E-2</v>
          </cell>
          <cell r="CL487">
            <v>3.3748295549282242E-2</v>
          </cell>
          <cell r="CM487">
            <v>2.9679805347548632E-2</v>
          </cell>
          <cell r="CN487">
            <v>2.4756845818962005E-2</v>
          </cell>
        </row>
        <row r="488">
          <cell r="B488" t="str">
            <v>SS835</v>
          </cell>
          <cell r="CH488">
            <v>7.5047014958823113E-2</v>
          </cell>
          <cell r="CI488">
            <v>8.0729059261082564E-2</v>
          </cell>
          <cell r="CJ488">
            <v>7.1405850153880582E-2</v>
          </cell>
          <cell r="CK488">
            <v>6.0110558436050475E-2</v>
          </cell>
          <cell r="CL488">
            <v>5.0290303616361796E-2</v>
          </cell>
          <cell r="CM488">
            <v>4.1666058939931264E-2</v>
          </cell>
          <cell r="CN488">
            <v>3.2345951264239996E-2</v>
          </cell>
        </row>
        <row r="489">
          <cell r="B489" t="str">
            <v>SS836</v>
          </cell>
          <cell r="CH489">
            <v>0.14514813394143131</v>
          </cell>
          <cell r="CI489">
            <v>0.1540413507845475</v>
          </cell>
          <cell r="CJ489">
            <v>0.13106463640156707</v>
          </cell>
          <cell r="CK489">
            <v>0.10635174554099017</v>
          </cell>
          <cell r="CL489">
            <v>8.6549401198643766E-2</v>
          </cell>
          <cell r="CM489">
            <v>7.0100382659701338E-2</v>
          </cell>
          <cell r="CN489">
            <v>4.9183819857271396E-2</v>
          </cell>
        </row>
        <row r="490">
          <cell r="B490" t="str">
            <v>SS837</v>
          </cell>
          <cell r="CH490">
            <v>0.36229031115013616</v>
          </cell>
          <cell r="CI490">
            <v>0.35359964285109258</v>
          </cell>
          <cell r="CJ490">
            <v>0.33143937504987364</v>
          </cell>
          <cell r="CK490">
            <v>0.31858839755768009</v>
          </cell>
          <cell r="CL490">
            <v>0.31256733269591752</v>
          </cell>
          <cell r="CM490">
            <v>0.30892794173140747</v>
          </cell>
          <cell r="CN490">
            <v>0.29012945057416012</v>
          </cell>
        </row>
        <row r="491">
          <cell r="B491" t="str">
            <v>SS838</v>
          </cell>
          <cell r="CH491">
            <v>0.19551638499676779</v>
          </cell>
          <cell r="CI491">
            <v>0.24382092611409101</v>
          </cell>
          <cell r="CJ491">
            <v>0.24426862375980529</v>
          </cell>
          <cell r="CK491">
            <v>0.24291319020014138</v>
          </cell>
          <cell r="CL491">
            <v>0.2396946587419379</v>
          </cell>
          <cell r="CM491">
            <v>0.2446406517628826</v>
          </cell>
          <cell r="CN491">
            <v>0.23840972219299184</v>
          </cell>
        </row>
        <row r="492">
          <cell r="B492" t="str">
            <v>SS841</v>
          </cell>
          <cell r="CH492">
            <v>0</v>
          </cell>
          <cell r="CI492">
            <v>0</v>
          </cell>
          <cell r="CJ492">
            <v>0</v>
          </cell>
          <cell r="CK492">
            <v>0</v>
          </cell>
          <cell r="CL492">
            <v>0</v>
          </cell>
          <cell r="CM492">
            <v>0</v>
          </cell>
          <cell r="CN492">
            <v>0</v>
          </cell>
        </row>
        <row r="493">
          <cell r="B493" t="str">
            <v>SS842</v>
          </cell>
          <cell r="CH493">
            <v>0</v>
          </cell>
          <cell r="CI493">
            <v>0</v>
          </cell>
          <cell r="CJ493">
            <v>0</v>
          </cell>
          <cell r="CK493">
            <v>0</v>
          </cell>
          <cell r="CL493">
            <v>0</v>
          </cell>
          <cell r="CM493">
            <v>0</v>
          </cell>
          <cell r="CN493">
            <v>0</v>
          </cell>
        </row>
        <row r="494">
          <cell r="B494" t="str">
            <v>SS843</v>
          </cell>
          <cell r="CH494">
            <v>0</v>
          </cell>
          <cell r="CI494">
            <v>0</v>
          </cell>
          <cell r="CJ494">
            <v>0</v>
          </cell>
          <cell r="CK494">
            <v>0</v>
          </cell>
          <cell r="CL494">
            <v>0</v>
          </cell>
          <cell r="CM494">
            <v>0</v>
          </cell>
          <cell r="CN494">
            <v>0</v>
          </cell>
        </row>
        <row r="495">
          <cell r="B495" t="str">
            <v>SS844</v>
          </cell>
          <cell r="CH495">
            <v>0</v>
          </cell>
          <cell r="CI495">
            <v>0</v>
          </cell>
          <cell r="CJ495">
            <v>0</v>
          </cell>
          <cell r="CK495">
            <v>0</v>
          </cell>
          <cell r="CL495">
            <v>0</v>
          </cell>
          <cell r="CM495">
            <v>0</v>
          </cell>
          <cell r="CN495">
            <v>0</v>
          </cell>
        </row>
        <row r="496">
          <cell r="B496" t="str">
            <v>SS845</v>
          </cell>
          <cell r="CH496">
            <v>0.1498426351214463</v>
          </cell>
          <cell r="CI496">
            <v>0.18224000380188429</v>
          </cell>
          <cell r="CJ496">
            <v>0.23396157011606811</v>
          </cell>
          <cell r="CK496">
            <v>0.25492272059177923</v>
          </cell>
          <cell r="CL496">
            <v>0.27838058989376702</v>
          </cell>
          <cell r="CM496">
            <v>0.3178411809307472</v>
          </cell>
          <cell r="CN496">
            <v>0.34880517176729531</v>
          </cell>
        </row>
        <row r="497">
          <cell r="B497" t="str">
            <v>SS846</v>
          </cell>
          <cell r="CH497">
            <v>0.22017973776842134</v>
          </cell>
          <cell r="CI497">
            <v>0.22385292295925119</v>
          </cell>
          <cell r="CJ497">
            <v>0.27463784289020754</v>
          </cell>
          <cell r="CK497">
            <v>0.2916630756290346</v>
          </cell>
          <cell r="CL497">
            <v>0.31917793448901499</v>
          </cell>
          <cell r="CM497">
            <v>0.35550652111549064</v>
          </cell>
          <cell r="CN497">
            <v>0.37850236414931987</v>
          </cell>
        </row>
        <row r="498">
          <cell r="B498" t="str">
            <v>SS849</v>
          </cell>
          <cell r="CH498">
            <v>0</v>
          </cell>
          <cell r="CI498">
            <v>0</v>
          </cell>
          <cell r="CJ498">
            <v>0</v>
          </cell>
          <cell r="CK498">
            <v>0</v>
          </cell>
          <cell r="CL498">
            <v>0</v>
          </cell>
          <cell r="CM498">
            <v>0</v>
          </cell>
          <cell r="CN498">
            <v>0</v>
          </cell>
        </row>
        <row r="499">
          <cell r="B499" t="str">
            <v>SS853</v>
          </cell>
          <cell r="CH499">
            <v>0</v>
          </cell>
          <cell r="CI499">
            <v>0</v>
          </cell>
          <cell r="CJ499">
            <v>0</v>
          </cell>
          <cell r="CK499">
            <v>0</v>
          </cell>
          <cell r="CL499">
            <v>0</v>
          </cell>
          <cell r="CM499">
            <v>0</v>
          </cell>
          <cell r="CN499">
            <v>0</v>
          </cell>
        </row>
        <row r="500">
          <cell r="B500" t="str">
            <v>SS855</v>
          </cell>
          <cell r="CH500">
            <v>4.1122828690453098E-3</v>
          </cell>
          <cell r="CI500">
            <v>4.3624245327446869E-5</v>
          </cell>
          <cell r="CJ500">
            <v>9.1697238625980222E-6</v>
          </cell>
          <cell r="CK500">
            <v>0</v>
          </cell>
          <cell r="CL500">
            <v>0</v>
          </cell>
          <cell r="CM500">
            <v>0</v>
          </cell>
          <cell r="CN500">
            <v>0</v>
          </cell>
        </row>
        <row r="501">
          <cell r="B501" t="str">
            <v>SS856</v>
          </cell>
          <cell r="CH501">
            <v>0.13770486714665012</v>
          </cell>
          <cell r="CI501">
            <v>6.7009729091257061E-2</v>
          </cell>
          <cell r="CJ501">
            <v>8.3745037501555836E-3</v>
          </cell>
          <cell r="CK501">
            <v>0</v>
          </cell>
          <cell r="CL501">
            <v>0</v>
          </cell>
          <cell r="CM501">
            <v>0</v>
          </cell>
          <cell r="CN501">
            <v>0</v>
          </cell>
        </row>
        <row r="502">
          <cell r="B502" t="str">
            <v>SS859</v>
          </cell>
          <cell r="CH502">
            <v>0</v>
          </cell>
          <cell r="CI502">
            <v>0</v>
          </cell>
          <cell r="CJ502">
            <v>0</v>
          </cell>
          <cell r="CK502">
            <v>0</v>
          </cell>
          <cell r="CL502">
            <v>0</v>
          </cell>
          <cell r="CM502">
            <v>0</v>
          </cell>
          <cell r="CN502">
            <v>0</v>
          </cell>
        </row>
        <row r="503">
          <cell r="B503" t="str">
            <v>SS860</v>
          </cell>
          <cell r="CH503">
            <v>9.466249610376985E-4</v>
          </cell>
          <cell r="CI503">
            <v>1.8143073548853827E-4</v>
          </cell>
          <cell r="CJ503">
            <v>2.4954417667298945E-5</v>
          </cell>
          <cell r="CK503">
            <v>1.5473935732661128E-5</v>
          </cell>
          <cell r="CL503">
            <v>9.8392036750188758E-6</v>
          </cell>
          <cell r="CM503">
            <v>5.2919689806054211E-6</v>
          </cell>
          <cell r="CN503">
            <v>0</v>
          </cell>
        </row>
        <row r="504">
          <cell r="B504" t="str">
            <v>SS861</v>
          </cell>
          <cell r="CH504">
            <v>0</v>
          </cell>
          <cell r="CI504">
            <v>0</v>
          </cell>
          <cell r="CJ504">
            <v>0</v>
          </cell>
          <cell r="CK504">
            <v>0</v>
          </cell>
          <cell r="CL504">
            <v>0</v>
          </cell>
          <cell r="CM504">
            <v>0</v>
          </cell>
          <cell r="CN504">
            <v>0</v>
          </cell>
        </row>
        <row r="505">
          <cell r="B505" t="str">
            <v>SS862</v>
          </cell>
          <cell r="CH505">
            <v>1.9751882572058722E-3</v>
          </cell>
          <cell r="CI505">
            <v>8.7675424451777765E-4</v>
          </cell>
          <cell r="CJ505">
            <v>2.7459777937076808E-4</v>
          </cell>
          <cell r="CK505">
            <v>1.7024233691800817E-4</v>
          </cell>
          <cell r="CL505">
            <v>1.0819847617473649E-4</v>
          </cell>
          <cell r="CM505">
            <v>5.8187312633852817E-5</v>
          </cell>
          <cell r="CN505">
            <v>0</v>
          </cell>
        </row>
        <row r="506">
          <cell r="B506" t="str">
            <v>SS865</v>
          </cell>
          <cell r="CH506">
            <v>3.8823740357221015E-4</v>
          </cell>
          <cell r="CI506">
            <v>2.0720802808155101E-4</v>
          </cell>
          <cell r="CJ506">
            <v>1.0680538707412094E-4</v>
          </cell>
          <cell r="CK506">
            <v>7.7204063131182914E-5</v>
          </cell>
          <cell r="CL506">
            <v>5.5336935127687118E-5</v>
          </cell>
          <cell r="CM506">
            <v>2.9905796550876029E-5</v>
          </cell>
          <cell r="CN506">
            <v>0</v>
          </cell>
        </row>
        <row r="507">
          <cell r="B507" t="str">
            <v>SS866</v>
          </cell>
          <cell r="CH507">
            <v>5.5749711789214863E-4</v>
          </cell>
          <cell r="CI507">
            <v>2.9985372273846276E-5</v>
          </cell>
          <cell r="CJ507">
            <v>4.1175733589683563E-6</v>
          </cell>
          <cell r="CK507">
            <v>2.551058264259875E-6</v>
          </cell>
          <cell r="CL507">
            <v>1.6203355552639087E-6</v>
          </cell>
          <cell r="CM507">
            <v>8.7080129998648998E-7</v>
          </cell>
          <cell r="CN507">
            <v>0</v>
          </cell>
        </row>
        <row r="508">
          <cell r="B508" t="str">
            <v>SS867</v>
          </cell>
          <cell r="CH508">
            <v>7.1123446500133986E-3</v>
          </cell>
          <cell r="CI508">
            <v>7.1068281635884786E-3</v>
          </cell>
          <cell r="CJ508">
            <v>5.7834919904947981E-3</v>
          </cell>
          <cell r="CK508">
            <v>4.0634845548435964E-3</v>
          </cell>
          <cell r="CL508">
            <v>2.7720693243859736E-3</v>
          </cell>
          <cell r="CM508">
            <v>1.4956428089744648E-3</v>
          </cell>
          <cell r="CN508">
            <v>4.4723067946658934E-4</v>
          </cell>
        </row>
        <row r="509">
          <cell r="B509" t="str">
            <v>SS868</v>
          </cell>
          <cell r="CH509">
            <v>5.8641859633952178E-3</v>
          </cell>
          <cell r="CI509">
            <v>1.2321761681014212E-3</v>
          </cell>
          <cell r="CJ509">
            <v>3.8618924294518068E-4</v>
          </cell>
          <cell r="CK509">
            <v>2.3945165615397838E-4</v>
          </cell>
          <cell r="CL509">
            <v>1.5224319022314557E-4</v>
          </cell>
          <cell r="CM509">
            <v>8.1875766492843396E-5</v>
          </cell>
          <cell r="CN509">
            <v>0</v>
          </cell>
        </row>
        <row r="510">
          <cell r="B510" t="str">
            <v>SS869</v>
          </cell>
          <cell r="CH510">
            <v>2.3948242127313897E-2</v>
          </cell>
          <cell r="CI510">
            <v>1.5905244106532931E-2</v>
          </cell>
          <cell r="CJ510">
            <v>1.5907415273163202E-2</v>
          </cell>
          <cell r="CK510">
            <v>2.1543421427056047E-2</v>
          </cell>
          <cell r="CL510">
            <v>2.5055282822650335E-2</v>
          </cell>
          <cell r="CM510">
            <v>2.3977777169686368E-2</v>
          </cell>
          <cell r="CN510">
            <v>2.6910679940737155E-2</v>
          </cell>
        </row>
        <row r="511">
          <cell r="B511" t="str">
            <v>SS870</v>
          </cell>
          <cell r="CH511">
            <v>9.3885664414464411E-3</v>
          </cell>
          <cell r="CI511">
            <v>7.2247213994266887E-3</v>
          </cell>
          <cell r="CJ511">
            <v>7.1488443517296338E-3</v>
          </cell>
          <cell r="CK511">
            <v>9.6443874813663174E-3</v>
          </cell>
          <cell r="CL511">
            <v>1.1193784358087086E-2</v>
          </cell>
          <cell r="CM511">
            <v>1.0674109861087641E-2</v>
          </cell>
          <cell r="CN511">
            <v>1.1882313730453812E-2</v>
          </cell>
        </row>
        <row r="512">
          <cell r="B512" t="str">
            <v>SS639</v>
          </cell>
          <cell r="CH512">
            <v>5.7717614091354745</v>
          </cell>
          <cell r="CI512">
            <v>4.807382184749537</v>
          </cell>
          <cell r="CJ512">
            <v>4.8557394591262479</v>
          </cell>
          <cell r="CK512">
            <v>4.7006347908672232</v>
          </cell>
          <cell r="CL512">
            <v>4.4140656719269922</v>
          </cell>
          <cell r="CM512">
            <v>4.1329644935133025</v>
          </cell>
          <cell r="CN512">
            <v>3.9822247335120231</v>
          </cell>
        </row>
        <row r="513">
          <cell r="B513" t="str">
            <v>SS640</v>
          </cell>
          <cell r="CH513">
            <v>3.8470821410500298</v>
          </cell>
          <cell r="CI513">
            <v>3.1537134295933571</v>
          </cell>
          <cell r="CJ513">
            <v>3.1751742577867628</v>
          </cell>
          <cell r="CK513">
            <v>3.1496390304000279</v>
          </cell>
          <cell r="CL513">
            <v>3.054167431052667</v>
          </cell>
          <cell r="CM513">
            <v>2.7887460363422245</v>
          </cell>
          <cell r="CN513">
            <v>2.7588982013225745</v>
          </cell>
        </row>
        <row r="514">
          <cell r="B514" t="str">
            <v>SS647</v>
          </cell>
          <cell r="CH514">
            <v>3.849019041044075</v>
          </cell>
          <cell r="CI514">
            <v>3.8945690104728721</v>
          </cell>
          <cell r="CJ514">
            <v>4.9258522224688317</v>
          </cell>
          <cell r="CK514">
            <v>5.2651842796127042</v>
          </cell>
          <cell r="CL514">
            <v>5.3574302203813602</v>
          </cell>
          <cell r="CM514">
            <v>5.6609055292563415</v>
          </cell>
          <cell r="CN514">
            <v>6.1446994854502908</v>
          </cell>
        </row>
        <row r="515">
          <cell r="B515" t="str">
            <v>SS648</v>
          </cell>
          <cell r="CH515">
            <v>2.0310232495586256</v>
          </cell>
          <cell r="CI515">
            <v>2.5197279046086161</v>
          </cell>
          <cell r="CJ515">
            <v>3.2997658321569077</v>
          </cell>
          <cell r="CK515">
            <v>3.5524347753403864</v>
          </cell>
          <cell r="CL515">
            <v>3.8734481611195544</v>
          </cell>
          <cell r="CM515">
            <v>3.901213659561038</v>
          </cell>
          <cell r="CN515">
            <v>4.3766683095135601</v>
          </cell>
        </row>
        <row r="516">
          <cell r="B516" t="str">
            <v>SS671</v>
          </cell>
          <cell r="CH516">
            <v>4.7365507370424983E-2</v>
          </cell>
          <cell r="CI516">
            <v>6.7190238329271748E-2</v>
          </cell>
          <cell r="CJ516">
            <v>6.3784813262584672E-2</v>
          </cell>
          <cell r="CK516">
            <v>2.8463222718916048E-2</v>
          </cell>
          <cell r="CL516">
            <v>4.1432094049773608E-3</v>
          </cell>
          <cell r="CM516">
            <v>3.8063307241284631E-3</v>
          </cell>
          <cell r="CN516">
            <v>0</v>
          </cell>
        </row>
        <row r="517">
          <cell r="B517" t="str">
            <v>SS672</v>
          </cell>
          <cell r="CH517">
            <v>0.4129543673373437</v>
          </cell>
          <cell r="CI517">
            <v>0.3348217681197857</v>
          </cell>
          <cell r="CJ517">
            <v>0.14542202900092929</v>
          </cell>
          <cell r="CK517">
            <v>0.10004149041400637</v>
          </cell>
          <cell r="CL517">
            <v>7.37956981520555E-2</v>
          </cell>
          <cell r="CM517">
            <v>0</v>
          </cell>
          <cell r="CN517">
            <v>0</v>
          </cell>
        </row>
        <row r="518">
          <cell r="B518" t="str">
            <v>SS739</v>
          </cell>
          <cell r="CH518">
            <v>3.4151414696153841</v>
          </cell>
          <cell r="CI518">
            <v>3.9440842259215074</v>
          </cell>
          <cell r="CJ518">
            <v>3.9431720851568071</v>
          </cell>
          <cell r="CK518">
            <v>3.7843473400457892</v>
          </cell>
          <cell r="CL518">
            <v>3.516861825916453</v>
          </cell>
          <cell r="CM518">
            <v>3.2537298162648449</v>
          </cell>
          <cell r="CN518">
            <v>3.1038117867164039</v>
          </cell>
        </row>
        <row r="519">
          <cell r="B519" t="str">
            <v>SS740</v>
          </cell>
          <cell r="CH519">
            <v>2.6408289066213726</v>
          </cell>
          <cell r="CI519">
            <v>3.058320624040566</v>
          </cell>
          <cell r="CJ519">
            <v>3.0572936063944449</v>
          </cell>
          <cell r="CK519">
            <v>2.9727089893375687</v>
          </cell>
          <cell r="CL519">
            <v>2.7622758444907229</v>
          </cell>
          <cell r="CM519">
            <v>2.3107902636185553</v>
          </cell>
          <cell r="CN519">
            <v>2.2671526848535009</v>
          </cell>
        </row>
        <row r="520">
          <cell r="B520" t="str">
            <v>SS747</v>
          </cell>
          <cell r="CH520">
            <v>1.7425422005343685</v>
          </cell>
          <cell r="CI520">
            <v>1.71569644542202</v>
          </cell>
          <cell r="CJ520">
            <v>2.2000753397981665</v>
          </cell>
          <cell r="CK520">
            <v>2.298583256579644</v>
          </cell>
          <cell r="CL520">
            <v>2.3733208159439148</v>
          </cell>
          <cell r="CM520">
            <v>2.46493638877363</v>
          </cell>
          <cell r="CN520">
            <v>2.6174931762548503</v>
          </cell>
        </row>
        <row r="521">
          <cell r="B521" t="str">
            <v>SS748</v>
          </cell>
          <cell r="CH521">
            <v>1.4917664487984836</v>
          </cell>
          <cell r="CI521">
            <v>1.9277626956304399</v>
          </cell>
          <cell r="CJ521">
            <v>2.4426689360123688</v>
          </cell>
          <cell r="CK521">
            <v>2.5631964873096402</v>
          </cell>
          <cell r="CL521">
            <v>2.647020247481517</v>
          </cell>
          <cell r="CM521">
            <v>2.470256148830221</v>
          </cell>
          <cell r="CN521">
            <v>2.6972926085656539</v>
          </cell>
        </row>
        <row r="522">
          <cell r="B522" t="str">
            <v>SS771</v>
          </cell>
          <cell r="CH522">
            <v>0.10008404720873956</v>
          </cell>
          <cell r="CI522">
            <v>0.12635942857874119</v>
          </cell>
          <cell r="CJ522">
            <v>8.0870325355805822E-2</v>
          </cell>
          <cell r="CK522">
            <v>4.2680740951576902E-2</v>
          </cell>
          <cell r="CL522">
            <v>6.0828614776278671E-3</v>
          </cell>
          <cell r="CM522">
            <v>6.1588069398262639E-3</v>
          </cell>
          <cell r="CN522">
            <v>0</v>
          </cell>
        </row>
        <row r="523">
          <cell r="B523" t="str">
            <v>SS772</v>
          </cell>
          <cell r="CH523">
            <v>0.96011887610992575</v>
          </cell>
          <cell r="CI523">
            <v>0.69222110828992467</v>
          </cell>
          <cell r="CJ523">
            <v>0.39099766435229394</v>
          </cell>
          <cell r="CK523">
            <v>0.24394068980062522</v>
          </cell>
          <cell r="CL523">
            <v>0.14968337933822787</v>
          </cell>
          <cell r="CM523">
            <v>0</v>
          </cell>
          <cell r="CN523">
            <v>0</v>
          </cell>
        </row>
        <row r="524">
          <cell r="B524" t="str">
            <v>SS839</v>
          </cell>
          <cell r="CH524">
            <v>2.271561187276494</v>
          </cell>
          <cell r="CI524">
            <v>3.026885406621779</v>
          </cell>
          <cell r="CJ524">
            <v>3.127388829100151</v>
          </cell>
          <cell r="CK524">
            <v>3.0766573612451946</v>
          </cell>
          <cell r="CL524">
            <v>2.9437050273370087</v>
          </cell>
          <cell r="CM524">
            <v>2.807780167346035</v>
          </cell>
          <cell r="CN524">
            <v>2.7580168915207981</v>
          </cell>
        </row>
        <row r="525">
          <cell r="B525" t="str">
            <v>SS840</v>
          </cell>
          <cell r="CH525">
            <v>2.0857873846090347</v>
          </cell>
          <cell r="CI525">
            <v>2.1443283035221237</v>
          </cell>
          <cell r="CJ525">
            <v>2.2158509183114115</v>
          </cell>
          <cell r="CK525">
            <v>2.2736978117048663</v>
          </cell>
          <cell r="CL525">
            <v>2.3126897148487497</v>
          </cell>
          <cell r="CM525">
            <v>2.2635321350227233</v>
          </cell>
          <cell r="CN525">
            <v>2.2877048995784235</v>
          </cell>
        </row>
        <row r="526">
          <cell r="B526" t="str">
            <v>SS847</v>
          </cell>
          <cell r="CH526">
            <v>0.91795916167243785</v>
          </cell>
          <cell r="CI526">
            <v>0.97239706620542132</v>
          </cell>
          <cell r="CJ526">
            <v>1.2728183716832944</v>
          </cell>
          <cell r="CK526">
            <v>1.3635530553027504</v>
          </cell>
          <cell r="CL526">
            <v>1.436224413319914</v>
          </cell>
          <cell r="CM526">
            <v>1.5273933479528945</v>
          </cell>
          <cell r="CN526">
            <v>1.6878122557090878</v>
          </cell>
        </row>
        <row r="527">
          <cell r="B527" t="str">
            <v>SS848</v>
          </cell>
          <cell r="CH527">
            <v>1.132870370168646</v>
          </cell>
          <cell r="CI527">
            <v>1.1914320658421569</v>
          </cell>
          <cell r="CJ527">
            <v>1.5656028586816988</v>
          </cell>
          <cell r="CK527">
            <v>1.7510872572791703</v>
          </cell>
          <cell r="CL527">
            <v>1.9630354024926859</v>
          </cell>
          <cell r="CM527">
            <v>2.1446318814605236</v>
          </cell>
          <cell r="CN527">
            <v>2.4412559047414004</v>
          </cell>
        </row>
        <row r="528">
          <cell r="B528" t="str">
            <v>SS871</v>
          </cell>
          <cell r="CH528">
            <v>0.30953361100010057</v>
          </cell>
          <cell r="CI528">
            <v>0.35964189005793967</v>
          </cell>
          <cell r="CJ528">
            <v>0.39501326049578922</v>
          </cell>
          <cell r="CK528">
            <v>0.17242244415450608</v>
          </cell>
          <cell r="CL528">
            <v>2.7250168994370529E-2</v>
          </cell>
          <cell r="CM528">
            <v>2.3520074753252292E-2</v>
          </cell>
          <cell r="CN528">
            <v>0</v>
          </cell>
        </row>
        <row r="529">
          <cell r="B529" t="str">
            <v>SS872</v>
          </cell>
          <cell r="CH529">
            <v>0.19608072635391985</v>
          </cell>
          <cell r="CI529">
            <v>0.16980476919865511</v>
          </cell>
          <cell r="CJ529">
            <v>0.14737527940013367</v>
          </cell>
          <cell r="CK529">
            <v>0.12423411222027041</v>
          </cell>
          <cell r="CL529">
            <v>0.11199038116944066</v>
          </cell>
          <cell r="CM529">
            <v>3.7713547368240549E-2</v>
          </cell>
          <cell r="CN529">
            <v>3.3809723742053439E-2</v>
          </cell>
        </row>
        <row r="530">
          <cell r="B530" t="str">
            <v>SS500</v>
          </cell>
          <cell r="CH530">
            <v>0</v>
          </cell>
          <cell r="CI530">
            <v>0</v>
          </cell>
          <cell r="CJ530">
            <v>0</v>
          </cell>
          <cell r="CK530">
            <v>0</v>
          </cell>
          <cell r="CL530">
            <v>0</v>
          </cell>
          <cell r="CM530">
            <v>0</v>
          </cell>
          <cell r="CN530">
            <v>0</v>
          </cell>
        </row>
        <row r="531">
          <cell r="B531" t="str">
            <v>SS501</v>
          </cell>
          <cell r="CH531">
            <v>0</v>
          </cell>
          <cell r="CI531">
            <v>0</v>
          </cell>
          <cell r="CJ531">
            <v>0</v>
          </cell>
          <cell r="CK531">
            <v>0</v>
          </cell>
          <cell r="CL531">
            <v>0</v>
          </cell>
          <cell r="CM531">
            <v>0</v>
          </cell>
          <cell r="CN531">
            <v>0</v>
          </cell>
        </row>
        <row r="532">
          <cell r="B532" t="str">
            <v>SS502</v>
          </cell>
          <cell r="CH532">
            <v>0</v>
          </cell>
          <cell r="CI532">
            <v>0</v>
          </cell>
          <cell r="CJ532">
            <v>0</v>
          </cell>
          <cell r="CK532">
            <v>0</v>
          </cell>
          <cell r="CL532">
            <v>0</v>
          </cell>
          <cell r="CM532">
            <v>0</v>
          </cell>
          <cell r="CN532">
            <v>0</v>
          </cell>
        </row>
        <row r="533">
          <cell r="B533" t="str">
            <v>SS503</v>
          </cell>
          <cell r="CH533">
            <v>0</v>
          </cell>
          <cell r="CI533">
            <v>0</v>
          </cell>
          <cell r="CJ533">
            <v>0</v>
          </cell>
          <cell r="CK533">
            <v>0</v>
          </cell>
          <cell r="CL533">
            <v>0</v>
          </cell>
          <cell r="CM533">
            <v>0</v>
          </cell>
          <cell r="CN533">
            <v>0</v>
          </cell>
        </row>
        <row r="534">
          <cell r="B534" t="str">
            <v>SS504</v>
          </cell>
          <cell r="CH534">
            <v>0</v>
          </cell>
          <cell r="CI534">
            <v>0</v>
          </cell>
          <cell r="CJ534">
            <v>0</v>
          </cell>
          <cell r="CK534">
            <v>0</v>
          </cell>
          <cell r="CL534">
            <v>0</v>
          </cell>
          <cell r="CM534">
            <v>0</v>
          </cell>
          <cell r="CN534">
            <v>0</v>
          </cell>
        </row>
        <row r="535">
          <cell r="B535" t="str">
            <v>SS505</v>
          </cell>
          <cell r="CH535">
            <v>0</v>
          </cell>
          <cell r="CI535">
            <v>0</v>
          </cell>
          <cell r="CJ535">
            <v>0</v>
          </cell>
          <cell r="CK535">
            <v>0</v>
          </cell>
          <cell r="CL535">
            <v>0</v>
          </cell>
          <cell r="CM535">
            <v>0</v>
          </cell>
          <cell r="CN535">
            <v>0</v>
          </cell>
        </row>
        <row r="536">
          <cell r="B536" t="str">
            <v>SS506</v>
          </cell>
          <cell r="CH536">
            <v>0</v>
          </cell>
          <cell r="CI536">
            <v>0</v>
          </cell>
          <cell r="CJ536">
            <v>0</v>
          </cell>
          <cell r="CK536">
            <v>0</v>
          </cell>
          <cell r="CL536">
            <v>0</v>
          </cell>
          <cell r="CM536">
            <v>0</v>
          </cell>
          <cell r="CN536">
            <v>0</v>
          </cell>
        </row>
        <row r="537">
          <cell r="B537" t="str">
            <v>SS507</v>
          </cell>
          <cell r="CH537">
            <v>0</v>
          </cell>
          <cell r="CI537">
            <v>0</v>
          </cell>
          <cell r="CJ537">
            <v>0</v>
          </cell>
          <cell r="CK537">
            <v>0</v>
          </cell>
          <cell r="CL537">
            <v>0</v>
          </cell>
          <cell r="CM537">
            <v>0</v>
          </cell>
          <cell r="CN537">
            <v>0</v>
          </cell>
        </row>
        <row r="538">
          <cell r="B538" t="str">
            <v>SS508</v>
          </cell>
          <cell r="CH538">
            <v>0</v>
          </cell>
          <cell r="CI538">
            <v>0</v>
          </cell>
          <cell r="CJ538">
            <v>0</v>
          </cell>
          <cell r="CK538">
            <v>0</v>
          </cell>
          <cell r="CL538">
            <v>0</v>
          </cell>
          <cell r="CM538">
            <v>0</v>
          </cell>
          <cell r="CN538">
            <v>0</v>
          </cell>
        </row>
        <row r="539">
          <cell r="B539" t="str">
            <v>SS509</v>
          </cell>
          <cell r="CH539">
            <v>0</v>
          </cell>
          <cell r="CI539">
            <v>0</v>
          </cell>
          <cell r="CJ539">
            <v>0</v>
          </cell>
          <cell r="CK539">
            <v>0</v>
          </cell>
          <cell r="CL539">
            <v>0</v>
          </cell>
          <cell r="CM539">
            <v>0</v>
          </cell>
          <cell r="CN539">
            <v>0</v>
          </cell>
        </row>
        <row r="540">
          <cell r="B540" t="str">
            <v>SS510</v>
          </cell>
          <cell r="CH540">
            <v>0</v>
          </cell>
          <cell r="CI540">
            <v>0</v>
          </cell>
          <cell r="CJ540">
            <v>0</v>
          </cell>
          <cell r="CK540">
            <v>0</v>
          </cell>
          <cell r="CL540">
            <v>0</v>
          </cell>
          <cell r="CM540">
            <v>0</v>
          </cell>
          <cell r="CN540">
            <v>0</v>
          </cell>
        </row>
        <row r="541">
          <cell r="B541" t="str">
            <v>SS511</v>
          </cell>
          <cell r="CH541">
            <v>0</v>
          </cell>
          <cell r="CI541">
            <v>0</v>
          </cell>
          <cell r="CJ541">
            <v>0</v>
          </cell>
          <cell r="CK541">
            <v>0</v>
          </cell>
          <cell r="CL541">
            <v>0</v>
          </cell>
          <cell r="CM541">
            <v>0</v>
          </cell>
          <cell r="CN541">
            <v>0</v>
          </cell>
        </row>
        <row r="542">
          <cell r="B542">
            <v>0</v>
          </cell>
          <cell r="CH542">
            <v>0</v>
          </cell>
          <cell r="CI542">
            <v>0</v>
          </cell>
          <cell r="CJ542">
            <v>0</v>
          </cell>
          <cell r="CK542">
            <v>0</v>
          </cell>
          <cell r="CL542">
            <v>0</v>
          </cell>
          <cell r="CM542">
            <v>0</v>
          </cell>
          <cell r="CN542">
            <v>0</v>
          </cell>
        </row>
        <row r="543">
          <cell r="B543">
            <v>0</v>
          </cell>
          <cell r="CH543">
            <v>0</v>
          </cell>
          <cell r="CI543">
            <v>0</v>
          </cell>
          <cell r="CJ543">
            <v>0</v>
          </cell>
          <cell r="CK543">
            <v>0</v>
          </cell>
          <cell r="CL543">
            <v>0</v>
          </cell>
          <cell r="CM543">
            <v>0</v>
          </cell>
          <cell r="CN543">
            <v>0</v>
          </cell>
        </row>
        <row r="544">
          <cell r="B544">
            <v>0</v>
          </cell>
          <cell r="CH544">
            <v>0</v>
          </cell>
          <cell r="CI544">
            <v>0</v>
          </cell>
          <cell r="CJ544">
            <v>0</v>
          </cell>
          <cell r="CK544">
            <v>0</v>
          </cell>
          <cell r="CL544">
            <v>0</v>
          </cell>
          <cell r="CM544">
            <v>0</v>
          </cell>
          <cell r="CN544">
            <v>0</v>
          </cell>
        </row>
        <row r="545">
          <cell r="B545">
            <v>0</v>
          </cell>
          <cell r="CH545">
            <v>0</v>
          </cell>
          <cell r="CI545">
            <v>0</v>
          </cell>
          <cell r="CJ545">
            <v>0</v>
          </cell>
          <cell r="CK545">
            <v>0</v>
          </cell>
          <cell r="CL545">
            <v>0</v>
          </cell>
          <cell r="CM545">
            <v>0</v>
          </cell>
          <cell r="CN545">
            <v>0</v>
          </cell>
        </row>
        <row r="546">
          <cell r="B546">
            <v>0</v>
          </cell>
          <cell r="CH546">
            <v>0</v>
          </cell>
          <cell r="CI546">
            <v>0</v>
          </cell>
          <cell r="CJ546">
            <v>0</v>
          </cell>
          <cell r="CK546">
            <v>0</v>
          </cell>
          <cell r="CL546">
            <v>0</v>
          </cell>
          <cell r="CM546">
            <v>0</v>
          </cell>
          <cell r="CN546">
            <v>0</v>
          </cell>
        </row>
        <row r="547">
          <cell r="B547">
            <v>0</v>
          </cell>
          <cell r="CH547">
            <v>0</v>
          </cell>
          <cell r="CI547">
            <v>0</v>
          </cell>
          <cell r="CJ547">
            <v>0</v>
          </cell>
          <cell r="CK547">
            <v>0</v>
          </cell>
          <cell r="CL547">
            <v>0</v>
          </cell>
          <cell r="CM547">
            <v>0</v>
          </cell>
          <cell r="CN547">
            <v>0</v>
          </cell>
        </row>
        <row r="548">
          <cell r="B548">
            <v>0</v>
          </cell>
          <cell r="CH548">
            <v>0</v>
          </cell>
          <cell r="CI548">
            <v>0</v>
          </cell>
          <cell r="CJ548">
            <v>0</v>
          </cell>
          <cell r="CK548">
            <v>0</v>
          </cell>
          <cell r="CL548">
            <v>0</v>
          </cell>
          <cell r="CM548">
            <v>0</v>
          </cell>
          <cell r="CN548">
            <v>0</v>
          </cell>
        </row>
        <row r="549">
          <cell r="B549">
            <v>0</v>
          </cell>
          <cell r="CH549">
            <v>0</v>
          </cell>
          <cell r="CI549">
            <v>0</v>
          </cell>
          <cell r="CJ549">
            <v>0</v>
          </cell>
          <cell r="CK549">
            <v>0</v>
          </cell>
          <cell r="CL549">
            <v>0</v>
          </cell>
          <cell r="CM549">
            <v>0</v>
          </cell>
          <cell r="CN549">
            <v>0</v>
          </cell>
        </row>
        <row r="550">
          <cell r="B550">
            <v>0</v>
          </cell>
          <cell r="CH550">
            <v>0</v>
          </cell>
          <cell r="CI550">
            <v>0</v>
          </cell>
          <cell r="CJ550">
            <v>0</v>
          </cell>
          <cell r="CK550">
            <v>0</v>
          </cell>
          <cell r="CL550">
            <v>0</v>
          </cell>
          <cell r="CM550">
            <v>0</v>
          </cell>
          <cell r="CN550">
            <v>0</v>
          </cell>
        </row>
        <row r="551">
          <cell r="B551">
            <v>0</v>
          </cell>
          <cell r="CH551">
            <v>0</v>
          </cell>
          <cell r="CI551">
            <v>0</v>
          </cell>
          <cell r="CJ551">
            <v>0</v>
          </cell>
          <cell r="CK551">
            <v>0</v>
          </cell>
          <cell r="CL551">
            <v>0</v>
          </cell>
          <cell r="CM551">
            <v>0</v>
          </cell>
          <cell r="CN551">
            <v>0</v>
          </cell>
        </row>
        <row r="552">
          <cell r="B552">
            <v>0</v>
          </cell>
          <cell r="CH552">
            <v>0</v>
          </cell>
          <cell r="CI552">
            <v>0</v>
          </cell>
          <cell r="CJ552">
            <v>0</v>
          </cell>
          <cell r="CK552">
            <v>0</v>
          </cell>
          <cell r="CL552">
            <v>0</v>
          </cell>
          <cell r="CM552">
            <v>0</v>
          </cell>
          <cell r="CN552">
            <v>0</v>
          </cell>
        </row>
        <row r="553">
          <cell r="B553">
            <v>0</v>
          </cell>
          <cell r="CH553">
            <v>0</v>
          </cell>
          <cell r="CI553">
            <v>0</v>
          </cell>
          <cell r="CJ553">
            <v>0</v>
          </cell>
          <cell r="CK553">
            <v>0</v>
          </cell>
          <cell r="CL553">
            <v>0</v>
          </cell>
          <cell r="CM553">
            <v>0</v>
          </cell>
          <cell r="CN553">
            <v>0</v>
          </cell>
        </row>
        <row r="554">
          <cell r="B554">
            <v>0</v>
          </cell>
          <cell r="CH554">
            <v>0</v>
          </cell>
          <cell r="CI554">
            <v>0</v>
          </cell>
          <cell r="CJ554">
            <v>0</v>
          </cell>
          <cell r="CK554">
            <v>0</v>
          </cell>
          <cell r="CL554">
            <v>0</v>
          </cell>
          <cell r="CM554">
            <v>0</v>
          </cell>
          <cell r="CN554">
            <v>0</v>
          </cell>
        </row>
        <row r="555">
          <cell r="B555">
            <v>0</v>
          </cell>
          <cell r="CH555">
            <v>0</v>
          </cell>
          <cell r="CI555">
            <v>0</v>
          </cell>
          <cell r="CJ555">
            <v>0</v>
          </cell>
          <cell r="CK555">
            <v>0</v>
          </cell>
          <cell r="CL555">
            <v>0</v>
          </cell>
          <cell r="CM555">
            <v>0</v>
          </cell>
          <cell r="CN555">
            <v>0</v>
          </cell>
        </row>
        <row r="556">
          <cell r="B556">
            <v>0</v>
          </cell>
          <cell r="CH556">
            <v>0</v>
          </cell>
          <cell r="CI556">
            <v>0</v>
          </cell>
          <cell r="CJ556">
            <v>0</v>
          </cell>
          <cell r="CK556">
            <v>0</v>
          </cell>
          <cell r="CL556">
            <v>0</v>
          </cell>
          <cell r="CM556">
            <v>0</v>
          </cell>
          <cell r="CN556">
            <v>0</v>
          </cell>
        </row>
        <row r="557">
          <cell r="B557">
            <v>0</v>
          </cell>
          <cell r="CH557">
            <v>0</v>
          </cell>
          <cell r="CI557">
            <v>0</v>
          </cell>
          <cell r="CJ557">
            <v>0</v>
          </cell>
          <cell r="CK557">
            <v>0</v>
          </cell>
          <cell r="CL557">
            <v>0</v>
          </cell>
          <cell r="CM557">
            <v>0</v>
          </cell>
          <cell r="CN557">
            <v>0</v>
          </cell>
        </row>
        <row r="558">
          <cell r="B558">
            <v>0</v>
          </cell>
          <cell r="CH558">
            <v>0</v>
          </cell>
          <cell r="CI558">
            <v>0</v>
          </cell>
          <cell r="CJ558">
            <v>0</v>
          </cell>
          <cell r="CK558">
            <v>0</v>
          </cell>
          <cell r="CL558">
            <v>0</v>
          </cell>
          <cell r="CM558">
            <v>0</v>
          </cell>
          <cell r="CN558">
            <v>0</v>
          </cell>
        </row>
        <row r="559">
          <cell r="B559">
            <v>0</v>
          </cell>
          <cell r="CH559">
            <v>0</v>
          </cell>
          <cell r="CI559">
            <v>0</v>
          </cell>
          <cell r="CJ559">
            <v>0</v>
          </cell>
          <cell r="CK559">
            <v>0</v>
          </cell>
          <cell r="CL559">
            <v>0</v>
          </cell>
          <cell r="CM559">
            <v>0</v>
          </cell>
          <cell r="CN559">
            <v>0</v>
          </cell>
        </row>
        <row r="560">
          <cell r="B560">
            <v>0</v>
          </cell>
          <cell r="CH560">
            <v>0</v>
          </cell>
          <cell r="CI560">
            <v>0</v>
          </cell>
          <cell r="CJ560">
            <v>0</v>
          </cell>
          <cell r="CK560">
            <v>0</v>
          </cell>
          <cell r="CL560">
            <v>0</v>
          </cell>
          <cell r="CM560">
            <v>0</v>
          </cell>
          <cell r="CN560">
            <v>0</v>
          </cell>
        </row>
        <row r="561">
          <cell r="B561">
            <v>0</v>
          </cell>
          <cell r="CH561">
            <v>0</v>
          </cell>
          <cell r="CI561">
            <v>0</v>
          </cell>
          <cell r="CJ561">
            <v>0</v>
          </cell>
          <cell r="CK561">
            <v>0</v>
          </cell>
          <cell r="CL561">
            <v>0</v>
          </cell>
          <cell r="CM561">
            <v>0</v>
          </cell>
          <cell r="CN561">
            <v>0</v>
          </cell>
        </row>
        <row r="562">
          <cell r="B562">
            <v>0</v>
          </cell>
          <cell r="CH562">
            <v>0</v>
          </cell>
          <cell r="CI562">
            <v>0</v>
          </cell>
          <cell r="CJ562">
            <v>0</v>
          </cell>
          <cell r="CK562">
            <v>0</v>
          </cell>
          <cell r="CL562">
            <v>0</v>
          </cell>
          <cell r="CM562">
            <v>0</v>
          </cell>
          <cell r="CN562">
            <v>0</v>
          </cell>
        </row>
        <row r="563">
          <cell r="B563">
            <v>0</v>
          </cell>
          <cell r="CH563">
            <v>0</v>
          </cell>
          <cell r="CI563">
            <v>0</v>
          </cell>
          <cell r="CJ563">
            <v>0</v>
          </cell>
          <cell r="CK563">
            <v>0</v>
          </cell>
          <cell r="CL563">
            <v>0</v>
          </cell>
          <cell r="CM563">
            <v>0</v>
          </cell>
          <cell r="CN563">
            <v>0</v>
          </cell>
        </row>
        <row r="564">
          <cell r="B564">
            <v>0</v>
          </cell>
          <cell r="CH564">
            <v>0</v>
          </cell>
          <cell r="CI564">
            <v>0</v>
          </cell>
          <cell r="CJ564">
            <v>0</v>
          </cell>
          <cell r="CK564">
            <v>0</v>
          </cell>
          <cell r="CL564">
            <v>0</v>
          </cell>
          <cell r="CM564">
            <v>0</v>
          </cell>
          <cell r="CN564">
            <v>0</v>
          </cell>
        </row>
        <row r="565">
          <cell r="B565">
            <v>0</v>
          </cell>
          <cell r="CH565">
            <v>0</v>
          </cell>
          <cell r="CI565">
            <v>0</v>
          </cell>
          <cell r="CJ565">
            <v>0</v>
          </cell>
          <cell r="CK565">
            <v>0</v>
          </cell>
          <cell r="CL565">
            <v>0</v>
          </cell>
          <cell r="CM565">
            <v>0</v>
          </cell>
          <cell r="CN565">
            <v>0</v>
          </cell>
        </row>
        <row r="566">
          <cell r="B566">
            <v>0</v>
          </cell>
          <cell r="CH566">
            <v>0</v>
          </cell>
          <cell r="CI566">
            <v>0</v>
          </cell>
          <cell r="CJ566">
            <v>0</v>
          </cell>
          <cell r="CK566">
            <v>0</v>
          </cell>
          <cell r="CL566">
            <v>0</v>
          </cell>
          <cell r="CM566">
            <v>0</v>
          </cell>
          <cell r="CN566">
            <v>0</v>
          </cell>
        </row>
        <row r="567">
          <cell r="B567">
            <v>0</v>
          </cell>
          <cell r="CH567">
            <v>0</v>
          </cell>
          <cell r="CI567">
            <v>0</v>
          </cell>
          <cell r="CJ567">
            <v>0</v>
          </cell>
          <cell r="CK567">
            <v>0</v>
          </cell>
          <cell r="CL567">
            <v>0</v>
          </cell>
          <cell r="CM567">
            <v>0</v>
          </cell>
          <cell r="CN567">
            <v>0</v>
          </cell>
        </row>
        <row r="568">
          <cell r="B568">
            <v>0</v>
          </cell>
          <cell r="CH568">
            <v>0</v>
          </cell>
          <cell r="CI568">
            <v>0</v>
          </cell>
          <cell r="CJ568">
            <v>0</v>
          </cell>
          <cell r="CK568">
            <v>0</v>
          </cell>
          <cell r="CL568">
            <v>0</v>
          </cell>
          <cell r="CM568">
            <v>0</v>
          </cell>
          <cell r="CN568">
            <v>0</v>
          </cell>
        </row>
        <row r="569">
          <cell r="B569">
            <v>0</v>
          </cell>
          <cell r="CH569">
            <v>0</v>
          </cell>
          <cell r="CI569">
            <v>0</v>
          </cell>
          <cell r="CJ569">
            <v>0</v>
          </cell>
          <cell r="CK569">
            <v>0</v>
          </cell>
          <cell r="CL569">
            <v>0</v>
          </cell>
          <cell r="CM569">
            <v>0</v>
          </cell>
          <cell r="CN569">
            <v>0</v>
          </cell>
        </row>
        <row r="570">
          <cell r="B570">
            <v>0</v>
          </cell>
          <cell r="CH570">
            <v>0</v>
          </cell>
          <cell r="CI570">
            <v>0</v>
          </cell>
          <cell r="CJ570">
            <v>0</v>
          </cell>
          <cell r="CK570">
            <v>0</v>
          </cell>
          <cell r="CL570">
            <v>0</v>
          </cell>
          <cell r="CM570">
            <v>0</v>
          </cell>
          <cell r="CN570">
            <v>0</v>
          </cell>
        </row>
        <row r="571">
          <cell r="B571">
            <v>0</v>
          </cell>
          <cell r="CH571">
            <v>0</v>
          </cell>
          <cell r="CI571">
            <v>0</v>
          </cell>
          <cell r="CJ571">
            <v>0</v>
          </cell>
          <cell r="CK571">
            <v>0</v>
          </cell>
          <cell r="CL571">
            <v>0</v>
          </cell>
          <cell r="CM571">
            <v>0</v>
          </cell>
          <cell r="CN571">
            <v>0</v>
          </cell>
        </row>
        <row r="572">
          <cell r="B572">
            <v>0</v>
          </cell>
          <cell r="CH572">
            <v>0</v>
          </cell>
          <cell r="CI572">
            <v>0</v>
          </cell>
          <cell r="CJ572">
            <v>0</v>
          </cell>
          <cell r="CK572">
            <v>0</v>
          </cell>
          <cell r="CL572">
            <v>0</v>
          </cell>
          <cell r="CM572">
            <v>0</v>
          </cell>
          <cell r="CN572">
            <v>0</v>
          </cell>
        </row>
        <row r="573">
          <cell r="B573">
            <v>0</v>
          </cell>
          <cell r="CH573">
            <v>0</v>
          </cell>
          <cell r="CI573">
            <v>0</v>
          </cell>
          <cell r="CJ573">
            <v>0</v>
          </cell>
          <cell r="CK573">
            <v>0</v>
          </cell>
          <cell r="CL573">
            <v>0</v>
          </cell>
          <cell r="CM573">
            <v>0</v>
          </cell>
          <cell r="CN573">
            <v>0</v>
          </cell>
        </row>
        <row r="574">
          <cell r="B574">
            <v>0</v>
          </cell>
          <cell r="CH574">
            <v>0</v>
          </cell>
          <cell r="CI574">
            <v>0</v>
          </cell>
          <cell r="CJ574">
            <v>0</v>
          </cell>
          <cell r="CK574">
            <v>0</v>
          </cell>
          <cell r="CL574">
            <v>0</v>
          </cell>
          <cell r="CM574">
            <v>0</v>
          </cell>
          <cell r="CN574">
            <v>0</v>
          </cell>
        </row>
        <row r="575">
          <cell r="B575">
            <v>0</v>
          </cell>
          <cell r="CH575">
            <v>0</v>
          </cell>
          <cell r="CI575">
            <v>0</v>
          </cell>
          <cell r="CJ575">
            <v>0</v>
          </cell>
          <cell r="CK575">
            <v>0</v>
          </cell>
          <cell r="CL575">
            <v>0</v>
          </cell>
          <cell r="CM575">
            <v>0</v>
          </cell>
          <cell r="CN575">
            <v>0</v>
          </cell>
        </row>
        <row r="576">
          <cell r="B576">
            <v>0</v>
          </cell>
          <cell r="CH576">
            <v>0</v>
          </cell>
          <cell r="CI576">
            <v>0</v>
          </cell>
          <cell r="CJ576">
            <v>0</v>
          </cell>
          <cell r="CK576">
            <v>0</v>
          </cell>
          <cell r="CL576">
            <v>0</v>
          </cell>
          <cell r="CM576">
            <v>0</v>
          </cell>
          <cell r="CN576">
            <v>0</v>
          </cell>
        </row>
        <row r="577">
          <cell r="B577">
            <v>0</v>
          </cell>
          <cell r="CH577">
            <v>0</v>
          </cell>
          <cell r="CI577">
            <v>0</v>
          </cell>
          <cell r="CJ577">
            <v>0</v>
          </cell>
          <cell r="CK577">
            <v>0</v>
          </cell>
          <cell r="CL577">
            <v>0</v>
          </cell>
          <cell r="CM577">
            <v>0</v>
          </cell>
          <cell r="CN577">
            <v>0</v>
          </cell>
        </row>
        <row r="578">
          <cell r="B578">
            <v>0</v>
          </cell>
          <cell r="CH578">
            <v>0</v>
          </cell>
          <cell r="CI578">
            <v>0</v>
          </cell>
          <cell r="CJ578">
            <v>0</v>
          </cell>
          <cell r="CK578">
            <v>0</v>
          </cell>
          <cell r="CL578">
            <v>0</v>
          </cell>
          <cell r="CM578">
            <v>0</v>
          </cell>
          <cell r="CN578">
            <v>0</v>
          </cell>
        </row>
        <row r="579">
          <cell r="B579">
            <v>0</v>
          </cell>
          <cell r="CH579">
            <v>0</v>
          </cell>
          <cell r="CI579">
            <v>0</v>
          </cell>
          <cell r="CJ579">
            <v>0</v>
          </cell>
          <cell r="CK579">
            <v>0</v>
          </cell>
          <cell r="CL579">
            <v>0</v>
          </cell>
          <cell r="CM579">
            <v>0</v>
          </cell>
          <cell r="CN579">
            <v>0</v>
          </cell>
        </row>
        <row r="580">
          <cell r="B580">
            <v>0</v>
          </cell>
          <cell r="CH580">
            <v>0</v>
          </cell>
          <cell r="CI580">
            <v>0</v>
          </cell>
          <cell r="CJ580">
            <v>0</v>
          </cell>
          <cell r="CK580">
            <v>0</v>
          </cell>
          <cell r="CL580">
            <v>0</v>
          </cell>
          <cell r="CM580">
            <v>0</v>
          </cell>
          <cell r="CN580">
            <v>0</v>
          </cell>
        </row>
        <row r="581">
          <cell r="B581">
            <v>0</v>
          </cell>
          <cell r="CH581">
            <v>0</v>
          </cell>
          <cell r="CI581">
            <v>0</v>
          </cell>
          <cell r="CJ581">
            <v>0</v>
          </cell>
          <cell r="CK581">
            <v>0</v>
          </cell>
          <cell r="CL581">
            <v>0</v>
          </cell>
          <cell r="CM581">
            <v>0</v>
          </cell>
          <cell r="CN581">
            <v>0</v>
          </cell>
        </row>
        <row r="582">
          <cell r="B582">
            <v>0</v>
          </cell>
          <cell r="CH582">
            <v>0</v>
          </cell>
          <cell r="CI582">
            <v>0</v>
          </cell>
          <cell r="CJ582">
            <v>0</v>
          </cell>
          <cell r="CK582">
            <v>0</v>
          </cell>
          <cell r="CL582">
            <v>0</v>
          </cell>
          <cell r="CM582">
            <v>0</v>
          </cell>
          <cell r="CN582">
            <v>0</v>
          </cell>
        </row>
        <row r="583">
          <cell r="B583">
            <v>0</v>
          </cell>
          <cell r="CH583">
            <v>0</v>
          </cell>
          <cell r="CI583">
            <v>0</v>
          </cell>
          <cell r="CJ583">
            <v>0</v>
          </cell>
          <cell r="CK583">
            <v>0</v>
          </cell>
          <cell r="CL583">
            <v>0</v>
          </cell>
          <cell r="CM583">
            <v>0</v>
          </cell>
          <cell r="CN583">
            <v>0</v>
          </cell>
        </row>
        <row r="584">
          <cell r="B584">
            <v>0</v>
          </cell>
          <cell r="CH584">
            <v>0</v>
          </cell>
          <cell r="CI584">
            <v>0</v>
          </cell>
          <cell r="CJ584">
            <v>0</v>
          </cell>
          <cell r="CK584">
            <v>0</v>
          </cell>
          <cell r="CL584">
            <v>0</v>
          </cell>
          <cell r="CM584">
            <v>0</v>
          </cell>
          <cell r="CN584">
            <v>0</v>
          </cell>
        </row>
        <row r="585">
          <cell r="B585">
            <v>0</v>
          </cell>
          <cell r="CH585">
            <v>0</v>
          </cell>
          <cell r="CI585">
            <v>0</v>
          </cell>
          <cell r="CJ585">
            <v>0</v>
          </cell>
          <cell r="CK585">
            <v>0</v>
          </cell>
          <cell r="CL585">
            <v>0</v>
          </cell>
          <cell r="CM585">
            <v>0</v>
          </cell>
          <cell r="CN585">
            <v>0</v>
          </cell>
        </row>
        <row r="586">
          <cell r="B586">
            <v>0</v>
          </cell>
          <cell r="CH586">
            <v>0</v>
          </cell>
          <cell r="CI586">
            <v>0</v>
          </cell>
          <cell r="CJ586">
            <v>0</v>
          </cell>
          <cell r="CK586">
            <v>0</v>
          </cell>
          <cell r="CL586">
            <v>0</v>
          </cell>
          <cell r="CM586">
            <v>0</v>
          </cell>
          <cell r="CN586">
            <v>0</v>
          </cell>
        </row>
        <row r="587">
          <cell r="B587">
            <v>0</v>
          </cell>
          <cell r="CH587">
            <v>0</v>
          </cell>
          <cell r="CI587">
            <v>0</v>
          </cell>
          <cell r="CJ587">
            <v>0</v>
          </cell>
          <cell r="CK587">
            <v>0</v>
          </cell>
          <cell r="CL587">
            <v>0</v>
          </cell>
          <cell r="CM587">
            <v>0</v>
          </cell>
          <cell r="CN587">
            <v>0</v>
          </cell>
        </row>
        <row r="588">
          <cell r="B588">
            <v>0</v>
          </cell>
          <cell r="CH588">
            <v>0</v>
          </cell>
          <cell r="CI588">
            <v>0</v>
          </cell>
          <cell r="CJ588">
            <v>0</v>
          </cell>
          <cell r="CK588">
            <v>0</v>
          </cell>
          <cell r="CL588">
            <v>0</v>
          </cell>
          <cell r="CM588">
            <v>0</v>
          </cell>
          <cell r="CN588">
            <v>0</v>
          </cell>
        </row>
        <row r="589">
          <cell r="B589">
            <v>0</v>
          </cell>
          <cell r="CH589">
            <v>0</v>
          </cell>
          <cell r="CI589">
            <v>0</v>
          </cell>
          <cell r="CJ589">
            <v>0</v>
          </cell>
          <cell r="CK589">
            <v>0</v>
          </cell>
          <cell r="CL589">
            <v>0</v>
          </cell>
          <cell r="CM589">
            <v>0</v>
          </cell>
          <cell r="CN589">
            <v>0</v>
          </cell>
        </row>
        <row r="590">
          <cell r="B590">
            <v>0</v>
          </cell>
          <cell r="CH590">
            <v>0</v>
          </cell>
          <cell r="CI590">
            <v>0</v>
          </cell>
          <cell r="CJ590">
            <v>0</v>
          </cell>
          <cell r="CK590">
            <v>0</v>
          </cell>
          <cell r="CL590">
            <v>0</v>
          </cell>
          <cell r="CM590">
            <v>0</v>
          </cell>
          <cell r="CN590">
            <v>0</v>
          </cell>
        </row>
        <row r="591">
          <cell r="B591">
            <v>0</v>
          </cell>
          <cell r="CH591">
            <v>0</v>
          </cell>
          <cell r="CI591">
            <v>0</v>
          </cell>
          <cell r="CJ591">
            <v>0</v>
          </cell>
          <cell r="CK591">
            <v>0</v>
          </cell>
          <cell r="CL591">
            <v>0</v>
          </cell>
          <cell r="CM591">
            <v>0</v>
          </cell>
          <cell r="CN591">
            <v>0</v>
          </cell>
        </row>
        <row r="592">
          <cell r="B592">
            <v>0</v>
          </cell>
          <cell r="CH592">
            <v>0</v>
          </cell>
          <cell r="CI592">
            <v>0</v>
          </cell>
          <cell r="CJ592">
            <v>0</v>
          </cell>
          <cell r="CK592">
            <v>0</v>
          </cell>
          <cell r="CL592">
            <v>0</v>
          </cell>
          <cell r="CM592">
            <v>0</v>
          </cell>
          <cell r="CN592">
            <v>0</v>
          </cell>
        </row>
        <row r="593">
          <cell r="B593">
            <v>0</v>
          </cell>
          <cell r="CH593">
            <v>0</v>
          </cell>
          <cell r="CI593">
            <v>0</v>
          </cell>
          <cell r="CJ593">
            <v>0</v>
          </cell>
          <cell r="CK593">
            <v>0</v>
          </cell>
          <cell r="CL593">
            <v>0</v>
          </cell>
          <cell r="CM593">
            <v>0</v>
          </cell>
          <cell r="CN593">
            <v>0</v>
          </cell>
        </row>
        <row r="594">
          <cell r="B594">
            <v>0</v>
          </cell>
          <cell r="CH594">
            <v>0</v>
          </cell>
          <cell r="CI594">
            <v>0</v>
          </cell>
          <cell r="CJ594">
            <v>0</v>
          </cell>
          <cell r="CK594">
            <v>0</v>
          </cell>
          <cell r="CL594">
            <v>0</v>
          </cell>
          <cell r="CM594">
            <v>0</v>
          </cell>
          <cell r="CN594">
            <v>0</v>
          </cell>
        </row>
        <row r="595">
          <cell r="B595">
            <v>0</v>
          </cell>
          <cell r="CH595">
            <v>0</v>
          </cell>
          <cell r="CI595">
            <v>0</v>
          </cell>
          <cell r="CJ595">
            <v>0</v>
          </cell>
          <cell r="CK595">
            <v>0</v>
          </cell>
          <cell r="CL595">
            <v>0</v>
          </cell>
          <cell r="CM595">
            <v>0</v>
          </cell>
          <cell r="CN595">
            <v>0</v>
          </cell>
        </row>
        <row r="596">
          <cell r="B596">
            <v>0</v>
          </cell>
          <cell r="CH596">
            <v>0</v>
          </cell>
          <cell r="CI596">
            <v>0</v>
          </cell>
          <cell r="CJ596">
            <v>0</v>
          </cell>
          <cell r="CK596">
            <v>0</v>
          </cell>
          <cell r="CL596">
            <v>0</v>
          </cell>
          <cell r="CM596">
            <v>0</v>
          </cell>
          <cell r="CN596">
            <v>0</v>
          </cell>
        </row>
        <row r="597">
          <cell r="B597">
            <v>0</v>
          </cell>
          <cell r="CH597">
            <v>0</v>
          </cell>
          <cell r="CI597">
            <v>0</v>
          </cell>
          <cell r="CJ597">
            <v>0</v>
          </cell>
          <cell r="CK597">
            <v>0</v>
          </cell>
          <cell r="CL597">
            <v>0</v>
          </cell>
          <cell r="CM597">
            <v>0</v>
          </cell>
          <cell r="CN597">
            <v>0</v>
          </cell>
        </row>
        <row r="598">
          <cell r="B598">
            <v>0</v>
          </cell>
          <cell r="CH598">
            <v>0</v>
          </cell>
          <cell r="CI598">
            <v>0</v>
          </cell>
          <cell r="CJ598">
            <v>0</v>
          </cell>
          <cell r="CK598">
            <v>0</v>
          </cell>
          <cell r="CL598">
            <v>0</v>
          </cell>
          <cell r="CM598">
            <v>0</v>
          </cell>
          <cell r="CN598">
            <v>0</v>
          </cell>
        </row>
        <row r="599">
          <cell r="B599">
            <v>0</v>
          </cell>
          <cell r="CH599">
            <v>0</v>
          </cell>
          <cell r="CI599">
            <v>0</v>
          </cell>
          <cell r="CJ599">
            <v>0</v>
          </cell>
          <cell r="CK599">
            <v>0</v>
          </cell>
          <cell r="CL599">
            <v>0</v>
          </cell>
          <cell r="CM599">
            <v>0</v>
          </cell>
          <cell r="CN599">
            <v>0</v>
          </cell>
        </row>
        <row r="600">
          <cell r="B600">
            <v>0</v>
          </cell>
          <cell r="CH600">
            <v>0</v>
          </cell>
          <cell r="CI600">
            <v>0</v>
          </cell>
          <cell r="CJ600">
            <v>0</v>
          </cell>
          <cell r="CK600">
            <v>0</v>
          </cell>
          <cell r="CL600">
            <v>0</v>
          </cell>
          <cell r="CM600">
            <v>0</v>
          </cell>
          <cell r="CN600">
            <v>0</v>
          </cell>
        </row>
        <row r="601">
          <cell r="B601">
            <v>0</v>
          </cell>
          <cell r="CH601">
            <v>0</v>
          </cell>
          <cell r="CI601">
            <v>0</v>
          </cell>
          <cell r="CJ601">
            <v>0</v>
          </cell>
          <cell r="CK601">
            <v>0</v>
          </cell>
          <cell r="CL601">
            <v>0</v>
          </cell>
          <cell r="CM601">
            <v>0</v>
          </cell>
          <cell r="CN601">
            <v>0</v>
          </cell>
        </row>
        <row r="602">
          <cell r="B602">
            <v>0</v>
          </cell>
          <cell r="CH602">
            <v>0</v>
          </cell>
          <cell r="CI602">
            <v>0</v>
          </cell>
          <cell r="CJ602">
            <v>0</v>
          </cell>
          <cell r="CK602">
            <v>0</v>
          </cell>
          <cell r="CL602">
            <v>0</v>
          </cell>
          <cell r="CM602">
            <v>0</v>
          </cell>
          <cell r="CN602">
            <v>0</v>
          </cell>
        </row>
        <row r="603">
          <cell r="B603">
            <v>0</v>
          </cell>
          <cell r="CH603">
            <v>0</v>
          </cell>
          <cell r="CI603">
            <v>0</v>
          </cell>
          <cell r="CJ603">
            <v>0</v>
          </cell>
          <cell r="CK603">
            <v>0</v>
          </cell>
          <cell r="CL603">
            <v>0</v>
          </cell>
          <cell r="CM603">
            <v>0</v>
          </cell>
          <cell r="CN603">
            <v>0</v>
          </cell>
        </row>
        <row r="604">
          <cell r="B604">
            <v>0</v>
          </cell>
          <cell r="CH604">
            <v>0</v>
          </cell>
          <cell r="CI604">
            <v>0</v>
          </cell>
          <cell r="CJ604">
            <v>0</v>
          </cell>
          <cell r="CK604">
            <v>0</v>
          </cell>
          <cell r="CL604">
            <v>0</v>
          </cell>
          <cell r="CM604">
            <v>0</v>
          </cell>
          <cell r="CN604">
            <v>0</v>
          </cell>
        </row>
        <row r="605">
          <cell r="B605">
            <v>0</v>
          </cell>
          <cell r="CH605">
            <v>0</v>
          </cell>
          <cell r="CI605">
            <v>0</v>
          </cell>
          <cell r="CJ605">
            <v>0</v>
          </cell>
          <cell r="CK605">
            <v>0</v>
          </cell>
          <cell r="CL605">
            <v>0</v>
          </cell>
          <cell r="CM605">
            <v>0</v>
          </cell>
          <cell r="CN605">
            <v>0</v>
          </cell>
        </row>
        <row r="606">
          <cell r="B606">
            <v>0</v>
          </cell>
          <cell r="CH606">
            <v>0</v>
          </cell>
          <cell r="CI606">
            <v>0</v>
          </cell>
          <cell r="CJ606">
            <v>0</v>
          </cell>
          <cell r="CK606">
            <v>0</v>
          </cell>
          <cell r="CL606">
            <v>0</v>
          </cell>
          <cell r="CM606">
            <v>0</v>
          </cell>
          <cell r="CN606">
            <v>0</v>
          </cell>
        </row>
        <row r="607">
          <cell r="B607">
            <v>0</v>
          </cell>
          <cell r="CH607">
            <v>0</v>
          </cell>
          <cell r="CI607">
            <v>0</v>
          </cell>
          <cell r="CJ607">
            <v>0</v>
          </cell>
          <cell r="CK607">
            <v>0</v>
          </cell>
          <cell r="CL607">
            <v>0</v>
          </cell>
          <cell r="CM607">
            <v>0</v>
          </cell>
          <cell r="CN607">
            <v>0</v>
          </cell>
        </row>
        <row r="608">
          <cell r="B608">
            <v>0</v>
          </cell>
          <cell r="CH608">
            <v>0</v>
          </cell>
          <cell r="CI608">
            <v>0</v>
          </cell>
          <cell r="CJ608">
            <v>0</v>
          </cell>
          <cell r="CK608">
            <v>0</v>
          </cell>
          <cell r="CL608">
            <v>0</v>
          </cell>
          <cell r="CM608">
            <v>0</v>
          </cell>
          <cell r="CN608">
            <v>0</v>
          </cell>
        </row>
      </sheetData>
      <sheetData sheetId="49" refreshError="1"/>
      <sheetData sheetId="50">
        <row r="10">
          <cell r="B10" t="str">
            <v>WE130</v>
          </cell>
          <cell r="M10">
            <v>110.42044045209704</v>
          </cell>
          <cell r="Q10">
            <v>105.84291466781718</v>
          </cell>
          <cell r="U10">
            <v>110.53619977387622</v>
          </cell>
          <cell r="Y10">
            <v>114.42463723047351</v>
          </cell>
        </row>
        <row r="11">
          <cell r="B11" t="str">
            <v>WE347</v>
          </cell>
          <cell r="M11">
            <v>130.70427182546922</v>
          </cell>
          <cell r="Q11">
            <v>103.86506310369072</v>
          </cell>
          <cell r="U11">
            <v>107.18511703101139</v>
          </cell>
          <cell r="Y11">
            <v>100.9797023986836</v>
          </cell>
        </row>
        <row r="12">
          <cell r="B12" t="str">
            <v>WI127</v>
          </cell>
          <cell r="M12">
            <v>100.5227750314354</v>
          </cell>
          <cell r="Q12">
            <v>88.535380020501108</v>
          </cell>
          <cell r="U12">
            <v>133.16569526036366</v>
          </cell>
          <cell r="Y12">
            <v>107.62081414104233</v>
          </cell>
        </row>
        <row r="13">
          <cell r="B13" t="str">
            <v>WI346</v>
          </cell>
          <cell r="M13">
            <v>120.84848414136209</v>
          </cell>
          <cell r="Q13">
            <v>91.773290261054711</v>
          </cell>
          <cell r="U13">
            <v>96.259478674594575</v>
          </cell>
          <cell r="Y13">
            <v>122.69381191138851</v>
          </cell>
        </row>
        <row r="14">
          <cell r="B14" t="str">
            <v>WN127</v>
          </cell>
          <cell r="M14">
            <v>106.00402944604521</v>
          </cell>
          <cell r="Q14">
            <v>95.806738716664029</v>
          </cell>
          <cell r="U14">
            <v>102.26141062544374</v>
          </cell>
          <cell r="Y14">
            <v>110.06830674793559</v>
          </cell>
        </row>
        <row r="15">
          <cell r="B15" t="str">
            <v>WN346</v>
          </cell>
          <cell r="M15">
            <v>126.75634291044327</v>
          </cell>
          <cell r="Q15">
            <v>112.16497348351244</v>
          </cell>
          <cell r="U15">
            <v>118.6091703962627</v>
          </cell>
          <cell r="Y15">
            <v>131.3244088721178</v>
          </cell>
        </row>
        <row r="16">
          <cell r="B16" t="str">
            <v>WX130</v>
          </cell>
          <cell r="M16">
            <v>114.56828052135394</v>
          </cell>
          <cell r="Q16">
            <v>103.33120397059598</v>
          </cell>
          <cell r="U16">
            <v>87.061401500010106</v>
          </cell>
          <cell r="Y16">
            <v>131.25682711340249</v>
          </cell>
        </row>
        <row r="17">
          <cell r="B17" t="str">
            <v>WX347</v>
          </cell>
          <cell r="M17">
            <v>112.01547879383767</v>
          </cell>
          <cell r="Q17">
            <v>108.19661705918604</v>
          </cell>
          <cell r="U17">
            <v>97.026432436910142</v>
          </cell>
          <cell r="Y17">
            <v>117.09723373760681</v>
          </cell>
        </row>
        <row r="18">
          <cell r="B18" t="str">
            <v>WE129</v>
          </cell>
          <cell r="M18">
            <v>68.23798339054882</v>
          </cell>
          <cell r="Q18">
            <v>37.943947047899087</v>
          </cell>
          <cell r="U18">
            <v>66.25119285141669</v>
          </cell>
          <cell r="Y18">
            <v>60.196459860588348</v>
          </cell>
        </row>
        <row r="19">
          <cell r="B19" t="str">
            <v>WX129</v>
          </cell>
          <cell r="M19">
            <v>30.719805199688171</v>
          </cell>
          <cell r="Q19">
            <v>23.042154944973156</v>
          </cell>
          <cell r="U19">
            <v>35.238949101674976</v>
          </cell>
          <cell r="Y19">
            <v>33.575930968968088</v>
          </cell>
        </row>
        <row r="20">
          <cell r="B20" t="str">
            <v>WI123</v>
          </cell>
          <cell r="M20">
            <v>27.976234636445767</v>
          </cell>
          <cell r="Q20">
            <v>35.550407767066716</v>
          </cell>
          <cell r="U20">
            <v>35.645546159467926</v>
          </cell>
          <cell r="Y20">
            <v>33.405801812541867</v>
          </cell>
        </row>
        <row r="21">
          <cell r="B21" t="str">
            <v>WN123</v>
          </cell>
          <cell r="M21">
            <v>32.135272426330651</v>
          </cell>
          <cell r="Q21">
            <v>28.285174920126078</v>
          </cell>
          <cell r="U21">
            <v>24.845134282683901</v>
          </cell>
          <cell r="Y21">
            <v>35.927921953837227</v>
          </cell>
        </row>
        <row r="22">
          <cell r="B22" t="str">
            <v>WE310</v>
          </cell>
          <cell r="M22">
            <v>74.195178242078811</v>
          </cell>
          <cell r="Q22">
            <v>97.191711530132622</v>
          </cell>
          <cell r="U22">
            <v>74.156221413540635</v>
          </cell>
          <cell r="Y22">
            <v>92.294701244788087</v>
          </cell>
        </row>
        <row r="23">
          <cell r="B23" t="str">
            <v>WE311</v>
          </cell>
          <cell r="M23">
            <v>66.407706551711385</v>
          </cell>
          <cell r="Q23">
            <v>65.303125931871804</v>
          </cell>
          <cell r="U23">
            <v>65.821067623975068</v>
          </cell>
          <cell r="Y23">
            <v>91.137514982812718</v>
          </cell>
        </row>
        <row r="24">
          <cell r="B24" t="str">
            <v>WI300</v>
          </cell>
          <cell r="M24">
            <v>112.12397045034731</v>
          </cell>
          <cell r="Q24">
            <v>79.254447488499693</v>
          </cell>
          <cell r="U24">
            <v>97.886295992560662</v>
          </cell>
          <cell r="Y24">
            <v>108.37314696476831</v>
          </cell>
        </row>
        <row r="25">
          <cell r="B25" t="str">
            <v>WI301</v>
          </cell>
          <cell r="M25">
            <v>71.284766479910772</v>
          </cell>
          <cell r="Q25">
            <v>83.113303371511151</v>
          </cell>
          <cell r="U25">
            <v>80.582665000517522</v>
          </cell>
          <cell r="Y25">
            <v>74.146940069677612</v>
          </cell>
        </row>
        <row r="26">
          <cell r="B26" t="str">
            <v>WN300</v>
          </cell>
          <cell r="M26">
            <v>101.5041948226586</v>
          </cell>
          <cell r="Q26">
            <v>99.860575636032635</v>
          </cell>
          <cell r="U26">
            <v>76.006756698891735</v>
          </cell>
          <cell r="Y26">
            <v>96.92512490916242</v>
          </cell>
        </row>
        <row r="27">
          <cell r="B27" t="str">
            <v>WN301</v>
          </cell>
          <cell r="M27">
            <v>76.48153761663508</v>
          </cell>
          <cell r="Q27">
            <v>70.187702240523237</v>
          </cell>
          <cell r="U27">
            <v>66.220036945299313</v>
          </cell>
          <cell r="Y27">
            <v>77.52055977577534</v>
          </cell>
        </row>
        <row r="28">
          <cell r="B28" t="str">
            <v>WX310</v>
          </cell>
          <cell r="M28">
            <v>95.941131450521652</v>
          </cell>
          <cell r="Q28">
            <v>71.583575649616606</v>
          </cell>
          <cell r="U28">
            <v>97.55806370776628</v>
          </cell>
          <cell r="Y28">
            <v>91.914304356048433</v>
          </cell>
        </row>
        <row r="29">
          <cell r="B29" t="str">
            <v>WX311</v>
          </cell>
          <cell r="M29">
            <v>73.80452327242628</v>
          </cell>
          <cell r="Q29">
            <v>62.740901542756454</v>
          </cell>
          <cell r="U29">
            <v>71.870945717078158</v>
          </cell>
          <cell r="Y29">
            <v>84.734806701698801</v>
          </cell>
        </row>
        <row r="30">
          <cell r="B30" t="str">
            <v>WE312</v>
          </cell>
          <cell r="M30">
            <v>139.68345677522143</v>
          </cell>
          <cell r="Q30">
            <v>117.21249494402463</v>
          </cell>
          <cell r="U30">
            <v>111.10090224732684</v>
          </cell>
          <cell r="Y30">
            <v>118.1494952523685</v>
          </cell>
        </row>
        <row r="31">
          <cell r="B31" t="str">
            <v>WI302</v>
          </cell>
          <cell r="M31">
            <v>131.00218326275689</v>
          </cell>
          <cell r="Q31">
            <v>126.54114272988434</v>
          </cell>
          <cell r="U31">
            <v>110.17070725000413</v>
          </cell>
          <cell r="Y31">
            <v>125.38511250177662</v>
          </cell>
        </row>
        <row r="32">
          <cell r="B32" t="str">
            <v>WN302</v>
          </cell>
          <cell r="M32">
            <v>134.83433732710162</v>
          </cell>
          <cell r="Q32">
            <v>95.951195902547084</v>
          </cell>
          <cell r="U32">
            <v>124.85281966200844</v>
          </cell>
          <cell r="Y32">
            <v>122.7106396118904</v>
          </cell>
        </row>
        <row r="33">
          <cell r="B33" t="str">
            <v>WX312</v>
          </cell>
          <cell r="M33">
            <v>138.36933890086303</v>
          </cell>
          <cell r="Q33">
            <v>109.59230515805507</v>
          </cell>
          <cell r="U33">
            <v>108.11122656405303</v>
          </cell>
          <cell r="Y33">
            <v>125.61882004354661</v>
          </cell>
        </row>
        <row r="34">
          <cell r="B34" t="str">
            <v>WX338</v>
          </cell>
          <cell r="M34">
            <v>113.06836426883341</v>
          </cell>
          <cell r="Q34">
            <v>97.879397113387384</v>
          </cell>
          <cell r="U34">
            <v>120.79796555692505</v>
          </cell>
          <cell r="Y34">
            <v>113.12937660540808</v>
          </cell>
        </row>
        <row r="35">
          <cell r="B35" t="str">
            <v>WI336</v>
          </cell>
          <cell r="M35">
            <v>117.25043168660383</v>
          </cell>
          <cell r="Q35">
            <v>99.08913673028627</v>
          </cell>
          <cell r="U35">
            <v>114.34268117838235</v>
          </cell>
          <cell r="Y35">
            <v>135.832224274537</v>
          </cell>
        </row>
        <row r="36">
          <cell r="B36" t="str">
            <v>WE338</v>
          </cell>
          <cell r="M36">
            <v>137.03786148317116</v>
          </cell>
          <cell r="Q36">
            <v>113.61646805778136</v>
          </cell>
          <cell r="U36">
            <v>128.98152362400199</v>
          </cell>
          <cell r="Y36">
            <v>112.875436374836</v>
          </cell>
        </row>
        <row r="37">
          <cell r="B37" t="str">
            <v>WN336</v>
          </cell>
          <cell r="M37">
            <v>132.2579521181901</v>
          </cell>
          <cell r="Q37">
            <v>92.923752991023875</v>
          </cell>
          <cell r="U37">
            <v>131.1079809226386</v>
          </cell>
          <cell r="Y37">
            <v>113.05610048895701</v>
          </cell>
        </row>
        <row r="38">
          <cell r="B38" t="str">
            <v>WE313</v>
          </cell>
          <cell r="M38">
            <v>56.747294202387366</v>
          </cell>
          <cell r="Q38">
            <v>67.208836981451782</v>
          </cell>
          <cell r="U38">
            <v>51.11071961930304</v>
          </cell>
          <cell r="Y38">
            <v>52.11391452798226</v>
          </cell>
        </row>
        <row r="39">
          <cell r="B39" t="str">
            <v>WE339</v>
          </cell>
          <cell r="M39">
            <v>52.554084754949102</v>
          </cell>
          <cell r="Q39">
            <v>64.174557433303107</v>
          </cell>
          <cell r="U39">
            <v>64.537357936396546</v>
          </cell>
          <cell r="Y39">
            <v>61.018110740347545</v>
          </cell>
        </row>
        <row r="40">
          <cell r="B40" t="str">
            <v>WI303</v>
          </cell>
          <cell r="M40">
            <v>67.128609266521181</v>
          </cell>
          <cell r="Q40">
            <v>66.319458723313844</v>
          </cell>
          <cell r="U40">
            <v>59.047110638866599</v>
          </cell>
          <cell r="Y40">
            <v>57.677588692236498</v>
          </cell>
        </row>
        <row r="41">
          <cell r="B41" t="str">
            <v>WI337</v>
          </cell>
          <cell r="M41">
            <v>70.559962452024024</v>
          </cell>
          <cell r="Q41">
            <v>58.067190457941237</v>
          </cell>
          <cell r="U41">
            <v>58.084236903592256</v>
          </cell>
          <cell r="Y41">
            <v>71.952830586573668</v>
          </cell>
        </row>
        <row r="42">
          <cell r="B42" t="str">
            <v>WN303</v>
          </cell>
          <cell r="M42">
            <v>51.143231240501166</v>
          </cell>
          <cell r="Q42">
            <v>55.716637335406425</v>
          </cell>
          <cell r="U42">
            <v>60.642813579302988</v>
          </cell>
          <cell r="Y42">
            <v>64.479073523605194</v>
          </cell>
        </row>
        <row r="43">
          <cell r="B43" t="str">
            <v>WN337</v>
          </cell>
          <cell r="M43">
            <v>62.621636942986612</v>
          </cell>
          <cell r="Q43">
            <v>55.592460785298677</v>
          </cell>
          <cell r="U43">
            <v>63.004278185972325</v>
          </cell>
          <cell r="Y43">
            <v>61.747118334499213</v>
          </cell>
        </row>
        <row r="44">
          <cell r="B44" t="str">
            <v>WX313</v>
          </cell>
          <cell r="M44">
            <v>65.947920995064919</v>
          </cell>
          <cell r="Q44">
            <v>56.204214314236495</v>
          </cell>
          <cell r="U44">
            <v>58.328258904722404</v>
          </cell>
          <cell r="Y44">
            <v>55.228291739992947</v>
          </cell>
        </row>
        <row r="45">
          <cell r="B45" t="str">
            <v>WX339</v>
          </cell>
          <cell r="M45">
            <v>70.850041926422477</v>
          </cell>
          <cell r="Q45">
            <v>59.431091696980047</v>
          </cell>
          <cell r="U45">
            <v>56.61259765181353</v>
          </cell>
          <cell r="Y45">
            <v>61.157003145331245</v>
          </cell>
        </row>
        <row r="46">
          <cell r="B46" t="str">
            <v>WE314</v>
          </cell>
          <cell r="M46">
            <v>254.92388795224338</v>
          </cell>
          <cell r="Q46">
            <v>169.54816216587878</v>
          </cell>
          <cell r="U46">
            <v>188.84168988797029</v>
          </cell>
          <cell r="Y46">
            <v>252.53663370347462</v>
          </cell>
        </row>
        <row r="47">
          <cell r="B47" t="str">
            <v>WE315</v>
          </cell>
          <cell r="M47">
            <v>342.66076901209016</v>
          </cell>
          <cell r="Q47">
            <v>184.36965822793087</v>
          </cell>
          <cell r="U47">
            <v>235.46527482728072</v>
          </cell>
          <cell r="Y47">
            <v>212.66378255717402</v>
          </cell>
        </row>
        <row r="48">
          <cell r="B48" t="str">
            <v>WE325</v>
          </cell>
          <cell r="M48">
            <v>210.97356821072523</v>
          </cell>
          <cell r="Q48">
            <v>209.61805250203403</v>
          </cell>
          <cell r="U48">
            <v>229.54930960121521</v>
          </cell>
          <cell r="Y48">
            <v>192.88074299626643</v>
          </cell>
        </row>
        <row r="49">
          <cell r="B49" t="str">
            <v>WI304</v>
          </cell>
          <cell r="M49">
            <v>223.59178725694971</v>
          </cell>
          <cell r="Q49">
            <v>182.34577727992053</v>
          </cell>
          <cell r="U49">
            <v>209.71060796403776</v>
          </cell>
          <cell r="Y49">
            <v>203.12459190653647</v>
          </cell>
        </row>
        <row r="50">
          <cell r="B50" t="str">
            <v>WI305</v>
          </cell>
          <cell r="M50">
            <v>341.56234881742813</v>
          </cell>
          <cell r="Q50">
            <v>182.50425215015176</v>
          </cell>
          <cell r="U50">
            <v>182.89145447721006</v>
          </cell>
          <cell r="Y50">
            <v>184.84950808008952</v>
          </cell>
        </row>
        <row r="51">
          <cell r="B51" t="str">
            <v>WI326</v>
          </cell>
          <cell r="M51">
            <v>200.90630760873987</v>
          </cell>
          <cell r="Q51">
            <v>221.48113904037123</v>
          </cell>
          <cell r="U51">
            <v>230.79200572871986</v>
          </cell>
          <cell r="Y51">
            <v>246.86753077229008</v>
          </cell>
        </row>
        <row r="52">
          <cell r="B52" t="str">
            <v>WN304</v>
          </cell>
          <cell r="M52">
            <v>208.69043986569665</v>
          </cell>
          <cell r="Q52">
            <v>191.75965491995422</v>
          </cell>
          <cell r="U52">
            <v>170.20106688212067</v>
          </cell>
          <cell r="Y52">
            <v>175.78973409237801</v>
          </cell>
        </row>
        <row r="53">
          <cell r="B53" t="str">
            <v>WN305</v>
          </cell>
          <cell r="M53">
            <v>446.65748367127605</v>
          </cell>
          <cell r="Q53">
            <v>177.93133267157262</v>
          </cell>
          <cell r="U53">
            <v>235.36390966459996</v>
          </cell>
          <cell r="Y53">
            <v>246.60349346245582</v>
          </cell>
        </row>
        <row r="54">
          <cell r="B54" t="str">
            <v>WN326</v>
          </cell>
          <cell r="M54">
            <v>219.3141865915359</v>
          </cell>
          <cell r="Q54">
            <v>206.48499815000039</v>
          </cell>
          <cell r="U54">
            <v>220.65733602265857</v>
          </cell>
          <cell r="Y54">
            <v>208.47618999924475</v>
          </cell>
        </row>
        <row r="55">
          <cell r="B55" t="str">
            <v>WX314</v>
          </cell>
          <cell r="M55">
            <v>193.67398214392873</v>
          </cell>
          <cell r="Q55">
            <v>219.62512341795025</v>
          </cell>
          <cell r="U55">
            <v>236.60945216021173</v>
          </cell>
          <cell r="Y55">
            <v>198.51883372576896</v>
          </cell>
        </row>
        <row r="56">
          <cell r="B56" t="str">
            <v>WX315</v>
          </cell>
          <cell r="M56">
            <v>285.64062868130156</v>
          </cell>
          <cell r="Q56">
            <v>244.38354853550874</v>
          </cell>
          <cell r="U56">
            <v>181.95899640631771</v>
          </cell>
          <cell r="Y56">
            <v>221.11265944144867</v>
          </cell>
        </row>
        <row r="57">
          <cell r="B57" t="str">
            <v>WX325</v>
          </cell>
          <cell r="M57">
            <v>243.67555615298716</v>
          </cell>
          <cell r="Q57">
            <v>180.82051133823896</v>
          </cell>
          <cell r="U57">
            <v>223.8453956911064</v>
          </cell>
          <cell r="Y57">
            <v>235.99665425859928</v>
          </cell>
        </row>
        <row r="58">
          <cell r="B58" t="str">
            <v>WI306</v>
          </cell>
          <cell r="M58">
            <v>125.00382993932352</v>
          </cell>
          <cell r="Q58">
            <v>62.527373158866723</v>
          </cell>
          <cell r="U58">
            <v>67.527074323002964</v>
          </cell>
          <cell r="Y58">
            <v>67.507279702317646</v>
          </cell>
        </row>
        <row r="59">
          <cell r="B59" t="str">
            <v>WE316</v>
          </cell>
          <cell r="M59">
            <v>115.37665575768065</v>
          </cell>
          <cell r="Q59">
            <v>58.306025107738691</v>
          </cell>
          <cell r="U59">
            <v>54.151178918131436</v>
          </cell>
          <cell r="Y59">
            <v>48.751295022424316</v>
          </cell>
        </row>
        <row r="60">
          <cell r="B60" t="str">
            <v>WN306</v>
          </cell>
          <cell r="M60">
            <v>124.83598157591059</v>
          </cell>
          <cell r="Q60">
            <v>66.545539118131046</v>
          </cell>
          <cell r="U60">
            <v>64.923544716288433</v>
          </cell>
          <cell r="Y60">
            <v>74.776664370119988</v>
          </cell>
        </row>
        <row r="61">
          <cell r="B61" t="str">
            <v>WX316</v>
          </cell>
          <cell r="M61">
            <v>103.97617753102222</v>
          </cell>
          <cell r="Q61">
            <v>50.971265696026876</v>
          </cell>
          <cell r="U61">
            <v>48.12988332499809</v>
          </cell>
          <cell r="Y61">
            <v>59.602048583732369</v>
          </cell>
        </row>
        <row r="62">
          <cell r="B62" t="str">
            <v>WI307</v>
          </cell>
          <cell r="M62">
            <v>130.38415379263421</v>
          </cell>
          <cell r="Q62">
            <v>61.677264369220055</v>
          </cell>
          <cell r="U62">
            <v>57.601095935098272</v>
          </cell>
          <cell r="Y62">
            <v>58.122644027467821</v>
          </cell>
        </row>
        <row r="63">
          <cell r="B63" t="str">
            <v>WN307</v>
          </cell>
          <cell r="M63">
            <v>108.48037751813673</v>
          </cell>
          <cell r="Q63">
            <v>66.747909257985356</v>
          </cell>
          <cell r="U63">
            <v>62.102063712823671</v>
          </cell>
          <cell r="Y63">
            <v>73.673728477738294</v>
          </cell>
        </row>
        <row r="64">
          <cell r="B64" t="str">
            <v>WE317</v>
          </cell>
          <cell r="M64">
            <v>115.47877209031863</v>
          </cell>
          <cell r="Q64">
            <v>126.26818549816417</v>
          </cell>
          <cell r="U64">
            <v>130.02099489440332</v>
          </cell>
          <cell r="Y64">
            <v>137.69905040671262</v>
          </cell>
        </row>
        <row r="65">
          <cell r="B65" t="str">
            <v>WX317</v>
          </cell>
          <cell r="M65">
            <v>122.24858311485278</v>
          </cell>
          <cell r="Q65">
            <v>141.84052465599956</v>
          </cell>
          <cell r="U65">
            <v>114.70120541227116</v>
          </cell>
          <cell r="Y65">
            <v>103.57855192155618</v>
          </cell>
        </row>
        <row r="66">
          <cell r="B66" t="str">
            <v>WX998</v>
          </cell>
          <cell r="M66">
            <v>96.862875194004459</v>
          </cell>
          <cell r="Q66">
            <v>127.61314689430486</v>
          </cell>
          <cell r="U66">
            <v>98.979915281622937</v>
          </cell>
          <cell r="Y66">
            <v>138.55091148607337</v>
          </cell>
        </row>
        <row r="67">
          <cell r="B67" t="str">
            <v>WN998</v>
          </cell>
          <cell r="M67">
            <v>134.07391137048768</v>
          </cell>
          <cell r="Q67">
            <v>49.439352376121036</v>
          </cell>
          <cell r="U67">
            <v>51.14477190494005</v>
          </cell>
          <cell r="Y67">
            <v>61.457672058207109</v>
          </cell>
        </row>
        <row r="68">
          <cell r="B68" t="str">
            <v>WE998</v>
          </cell>
          <cell r="M68">
            <v>192.57398324846184</v>
          </cell>
          <cell r="Q68">
            <v>105.54350621041579</v>
          </cell>
          <cell r="U68">
            <v>110.28917469570908</v>
          </cell>
          <cell r="Y68">
            <v>110.39790533371027</v>
          </cell>
        </row>
        <row r="69">
          <cell r="B69" t="str">
            <v>WI998</v>
          </cell>
          <cell r="M69">
            <v>133.99460413724933</v>
          </cell>
          <cell r="Q69">
            <v>66.007335923422488</v>
          </cell>
          <cell r="U69">
            <v>66.054074783928911</v>
          </cell>
          <cell r="Y69">
            <v>63.526881365016273</v>
          </cell>
        </row>
        <row r="70">
          <cell r="B70" t="str">
            <v>WE334</v>
          </cell>
          <cell r="M70">
            <v>225.13492324755026</v>
          </cell>
          <cell r="Q70">
            <v>230.75084922685497</v>
          </cell>
          <cell r="U70">
            <v>206.79583240520711</v>
          </cell>
          <cell r="Y70">
            <v>290.34208634038919</v>
          </cell>
        </row>
        <row r="71">
          <cell r="B71" t="str">
            <v>WI332</v>
          </cell>
          <cell r="M71">
            <v>184.82720602849594</v>
          </cell>
          <cell r="Q71">
            <v>172.03882197580555</v>
          </cell>
          <cell r="U71">
            <v>167.0192154694931</v>
          </cell>
          <cell r="Y71">
            <v>185.07547984383635</v>
          </cell>
        </row>
        <row r="72">
          <cell r="B72" t="str">
            <v>WN332</v>
          </cell>
          <cell r="M72">
            <v>245.27387871200315</v>
          </cell>
          <cell r="Q72">
            <v>200.82220702970179</v>
          </cell>
          <cell r="U72">
            <v>224.27271069303868</v>
          </cell>
          <cell r="Y72">
            <v>203.73080523136048</v>
          </cell>
        </row>
        <row r="73">
          <cell r="B73" t="str">
            <v>WX334</v>
          </cell>
          <cell r="M73">
            <v>269.66974727421166</v>
          </cell>
          <cell r="Q73">
            <v>255.6685976390952</v>
          </cell>
          <cell r="U73">
            <v>266.34107343745904</v>
          </cell>
          <cell r="Y73">
            <v>262.31744194658199</v>
          </cell>
        </row>
        <row r="74">
          <cell r="B74" t="str">
            <v>WE335</v>
          </cell>
          <cell r="M74">
            <v>104.40499256174448</v>
          </cell>
          <cell r="Q74">
            <v>116.79113111575649</v>
          </cell>
          <cell r="U74">
            <v>86.310892641288618</v>
          </cell>
          <cell r="Y74">
            <v>115.49440461657862</v>
          </cell>
        </row>
        <row r="75">
          <cell r="B75" t="str">
            <v>WI333</v>
          </cell>
          <cell r="M75">
            <v>107.18010691193192</v>
          </cell>
          <cell r="Q75">
            <v>66.57075318088539</v>
          </cell>
          <cell r="U75">
            <v>116.07869718366058</v>
          </cell>
          <cell r="Y75">
            <v>103.39334921448119</v>
          </cell>
        </row>
        <row r="76">
          <cell r="B76" t="str">
            <v>WN333</v>
          </cell>
          <cell r="M76">
            <v>90.781608109842495</v>
          </cell>
          <cell r="Q76">
            <v>79.446489789519717</v>
          </cell>
          <cell r="U76">
            <v>116.81378766500012</v>
          </cell>
          <cell r="Y76">
            <v>98.981248069018321</v>
          </cell>
        </row>
        <row r="77">
          <cell r="B77" t="str">
            <v>WX335</v>
          </cell>
          <cell r="M77">
            <v>124.87956057246144</v>
          </cell>
          <cell r="Q77">
            <v>110.23423835077756</v>
          </cell>
          <cell r="U77">
            <v>117.97931002202228</v>
          </cell>
          <cell r="Y77">
            <v>112.39692291450467</v>
          </cell>
        </row>
        <row r="78">
          <cell r="B78" t="str">
            <v>WE349</v>
          </cell>
          <cell r="M78">
            <v>173.38903680313675</v>
          </cell>
          <cell r="Q78">
            <v>187.2018324707156</v>
          </cell>
          <cell r="U78">
            <v>155.90087204695593</v>
          </cell>
          <cell r="Y78">
            <v>186.00514879946397</v>
          </cell>
        </row>
        <row r="79">
          <cell r="B79" t="str">
            <v>WE351</v>
          </cell>
          <cell r="M79">
            <v>225.84245328374013</v>
          </cell>
          <cell r="Q79">
            <v>198.9262612374169</v>
          </cell>
          <cell r="U79">
            <v>189.94429778734275</v>
          </cell>
          <cell r="Y79">
            <v>201.79721572632025</v>
          </cell>
        </row>
        <row r="80">
          <cell r="B80" t="str">
            <v>WI348</v>
          </cell>
          <cell r="M80">
            <v>212.02758626728738</v>
          </cell>
          <cell r="Q80">
            <v>149.67181180549255</v>
          </cell>
          <cell r="U80">
            <v>181.64659437828817</v>
          </cell>
          <cell r="Y80">
            <v>173.72265891227437</v>
          </cell>
        </row>
        <row r="81">
          <cell r="B81" t="str">
            <v>WI350</v>
          </cell>
          <cell r="M81">
            <v>187.28851566604553</v>
          </cell>
          <cell r="Q81">
            <v>177.25282320736093</v>
          </cell>
          <cell r="U81">
            <v>163.25618837682362</v>
          </cell>
          <cell r="Y81">
            <v>222.49827911142728</v>
          </cell>
        </row>
        <row r="82">
          <cell r="B82" t="str">
            <v>WN348</v>
          </cell>
          <cell r="M82">
            <v>195.73180917550027</v>
          </cell>
          <cell r="Q82">
            <v>197.52796118221636</v>
          </cell>
          <cell r="U82">
            <v>183.88956304011066</v>
          </cell>
          <cell r="Y82">
            <v>209.80383408575128</v>
          </cell>
        </row>
        <row r="83">
          <cell r="B83" t="str">
            <v>WN350</v>
          </cell>
          <cell r="M83">
            <v>239.59286733930909</v>
          </cell>
          <cell r="Q83">
            <v>201.56882523923542</v>
          </cell>
          <cell r="U83">
            <v>215.9690940517936</v>
          </cell>
          <cell r="Y83">
            <v>220.64503346601316</v>
          </cell>
        </row>
        <row r="84">
          <cell r="B84" t="str">
            <v>WX349</v>
          </cell>
          <cell r="M84">
            <v>206.63763215189991</v>
          </cell>
          <cell r="Q84">
            <v>170.12563405863042</v>
          </cell>
          <cell r="U84">
            <v>178.35483829354928</v>
          </cell>
          <cell r="Y84">
            <v>176.58805191581328</v>
          </cell>
        </row>
        <row r="85">
          <cell r="B85" t="str">
            <v>WX351</v>
          </cell>
          <cell r="M85">
            <v>195.08322466403129</v>
          </cell>
          <cell r="Q85">
            <v>180.70452031567345</v>
          </cell>
          <cell r="U85">
            <v>176.43949826972155</v>
          </cell>
          <cell r="Y85">
            <v>234.80405909790278</v>
          </cell>
        </row>
        <row r="86">
          <cell r="B86" t="str">
            <v>WX355</v>
          </cell>
          <cell r="M86">
            <v>43.939755783498072</v>
          </cell>
          <cell r="Q86">
            <v>31.273932726621325</v>
          </cell>
          <cell r="U86">
            <v>45.355787185237716</v>
          </cell>
          <cell r="Y86">
            <v>48.288224428923911</v>
          </cell>
        </row>
        <row r="87">
          <cell r="B87" t="str">
            <v>WE355</v>
          </cell>
          <cell r="M87">
            <v>50.610250061597</v>
          </cell>
          <cell r="Q87">
            <v>30.779368350911287</v>
          </cell>
          <cell r="U87">
            <v>51.12868821214186</v>
          </cell>
          <cell r="Y87">
            <v>45.12816197165882</v>
          </cell>
        </row>
        <row r="88">
          <cell r="B88" t="str">
            <v>WN354</v>
          </cell>
          <cell r="M88">
            <v>40.8060592040068</v>
          </cell>
          <cell r="Q88">
            <v>31.339039097179224</v>
          </cell>
          <cell r="U88">
            <v>37.205135094451819</v>
          </cell>
          <cell r="Y88">
            <v>53.605404041605752</v>
          </cell>
        </row>
        <row r="89">
          <cell r="B89" t="str">
            <v>WI354</v>
          </cell>
          <cell r="M89">
            <v>51.315167493912277</v>
          </cell>
          <cell r="Q89">
            <v>36.6305444423637</v>
          </cell>
          <cell r="U89">
            <v>36.48597210641109</v>
          </cell>
          <cell r="Y89">
            <v>37.757543690427482</v>
          </cell>
        </row>
        <row r="90">
          <cell r="B90" t="str">
            <v>WE135</v>
          </cell>
          <cell r="M90">
            <v>9.5530222151048463</v>
          </cell>
          <cell r="Q90">
            <v>9.4372863841363497</v>
          </cell>
          <cell r="U90">
            <v>7.9559813305308573</v>
          </cell>
          <cell r="Y90">
            <v>9.4893505759529653</v>
          </cell>
        </row>
        <row r="91">
          <cell r="B91" t="str">
            <v>WI158</v>
          </cell>
          <cell r="M91">
            <v>7.4969502838668927</v>
          </cell>
          <cell r="Q91">
            <v>7.5387991416154776</v>
          </cell>
          <cell r="U91">
            <v>6.6377859600910494</v>
          </cell>
          <cell r="Y91">
            <v>8.3294297273160129</v>
          </cell>
        </row>
        <row r="92">
          <cell r="B92" t="str">
            <v>WN158</v>
          </cell>
          <cell r="M92">
            <v>8.3977883976993688</v>
          </cell>
          <cell r="Q92">
            <v>7.880076014122583</v>
          </cell>
          <cell r="U92">
            <v>7.2668138842427537</v>
          </cell>
          <cell r="Y92">
            <v>8.1915891862328358</v>
          </cell>
        </row>
        <row r="93">
          <cell r="B93" t="str">
            <v>WX135</v>
          </cell>
          <cell r="M93">
            <v>7.9250145687798224</v>
          </cell>
          <cell r="Q93">
            <v>6.4516190562049429</v>
          </cell>
          <cell r="U93">
            <v>8.1913477350862181</v>
          </cell>
          <cell r="Y93">
            <v>7.4645364398022611</v>
          </cell>
        </row>
        <row r="94">
          <cell r="B94" t="str">
            <v>WI138</v>
          </cell>
          <cell r="M94">
            <v>43.723003633684534</v>
          </cell>
          <cell r="Q94">
            <v>36.310363289732713</v>
          </cell>
          <cell r="U94">
            <v>30.887748716565305</v>
          </cell>
          <cell r="Y94">
            <v>32.287317765462838</v>
          </cell>
        </row>
        <row r="95">
          <cell r="B95" t="str">
            <v>WN138</v>
          </cell>
          <cell r="M95">
            <v>40.601248747803666</v>
          </cell>
          <cell r="Q95">
            <v>38.879325444222857</v>
          </cell>
          <cell r="U95">
            <v>32.608528260625313</v>
          </cell>
          <cell r="Y95">
            <v>36.903122828170901</v>
          </cell>
        </row>
        <row r="96">
          <cell r="B96" t="str">
            <v>WE134</v>
          </cell>
          <cell r="M96">
            <v>44.044680651999116</v>
          </cell>
          <cell r="Q96">
            <v>33.138496138956448</v>
          </cell>
          <cell r="U96">
            <v>43.409819258751362</v>
          </cell>
          <cell r="Y96">
            <v>36.995557961600255</v>
          </cell>
        </row>
        <row r="97">
          <cell r="B97" t="str">
            <v>WX134</v>
          </cell>
          <cell r="M97">
            <v>43.86753958921328</v>
          </cell>
          <cell r="Q97">
            <v>36.121227611053683</v>
          </cell>
          <cell r="U97">
            <v>33.713914366721959</v>
          </cell>
          <cell r="Y97">
            <v>33.780700386211755</v>
          </cell>
        </row>
        <row r="98">
          <cell r="B98" t="str">
            <v>SL121</v>
          </cell>
          <cell r="M98">
            <v>147.55273340376269</v>
          </cell>
          <cell r="Q98">
            <v>121.41766927478932</v>
          </cell>
          <cell r="U98">
            <v>160.92508479937368</v>
          </cell>
          <cell r="Y98">
            <v>177.02226088708801</v>
          </cell>
        </row>
        <row r="99">
          <cell r="B99" t="str">
            <v>SL122</v>
          </cell>
          <cell r="M99">
            <v>133.64346960507805</v>
          </cell>
          <cell r="Q99">
            <v>101.0470379752699</v>
          </cell>
          <cell r="U99">
            <v>139.33147102653632</v>
          </cell>
          <cell r="Y99">
            <v>108.86685334062551</v>
          </cell>
        </row>
        <row r="100">
          <cell r="B100" t="str">
            <v>SL150</v>
          </cell>
          <cell r="M100">
            <v>156.09471455003035</v>
          </cell>
          <cell r="Q100">
            <v>167.51184256730423</v>
          </cell>
          <cell r="U100">
            <v>125.07266408969942</v>
          </cell>
          <cell r="Y100">
            <v>175.44301879380498</v>
          </cell>
        </row>
        <row r="101">
          <cell r="B101" t="str">
            <v>SL151</v>
          </cell>
          <cell r="M101">
            <v>109.53594538756687</v>
          </cell>
          <cell r="Q101">
            <v>123.03864418355158</v>
          </cell>
          <cell r="U101">
            <v>141.77943619531189</v>
          </cell>
          <cell r="Y101">
            <v>148.86055769458213</v>
          </cell>
        </row>
        <row r="102">
          <cell r="B102" t="str">
            <v>SL111</v>
          </cell>
          <cell r="M102">
            <v>110.26801331076219</v>
          </cell>
          <cell r="Q102">
            <v>71.871665095799841</v>
          </cell>
          <cell r="U102">
            <v>95.607057290980478</v>
          </cell>
          <cell r="Y102">
            <v>107.08785148909189</v>
          </cell>
        </row>
        <row r="103">
          <cell r="B103" t="str">
            <v>SL112</v>
          </cell>
          <cell r="M103">
            <v>36.847672720234911</v>
          </cell>
          <cell r="Q103">
            <v>39.103529865147479</v>
          </cell>
          <cell r="U103">
            <v>33.977113774545415</v>
          </cell>
          <cell r="Y103">
            <v>29.702573594346283</v>
          </cell>
        </row>
        <row r="104">
          <cell r="B104" t="str">
            <v>SL140</v>
          </cell>
          <cell r="M104">
            <v>36.723830190564748</v>
          </cell>
          <cell r="Q104">
            <v>50.951403834171202</v>
          </cell>
          <cell r="U104">
            <v>33.438495427051549</v>
          </cell>
          <cell r="Y104">
            <v>44.266012163056857</v>
          </cell>
        </row>
        <row r="105">
          <cell r="B105" t="str">
            <v>SL144</v>
          </cell>
          <cell r="M105">
            <v>102.99056562753798</v>
          </cell>
          <cell r="Q105">
            <v>96.208004969468064</v>
          </cell>
          <cell r="U105">
            <v>80.275819394120987</v>
          </cell>
          <cell r="Y105">
            <v>81.194323027702026</v>
          </cell>
        </row>
        <row r="106">
          <cell r="B106" t="str">
            <v>SS011</v>
          </cell>
          <cell r="M106">
            <v>4378.3903156756778</v>
          </cell>
          <cell r="Q106">
            <v>3485.1023420200881</v>
          </cell>
          <cell r="U106">
            <v>3577.2685825285557</v>
          </cell>
          <cell r="Y106">
            <v>3807.8590522094746</v>
          </cell>
        </row>
        <row r="107">
          <cell r="B107" t="str">
            <v>SS012</v>
          </cell>
          <cell r="M107">
            <v>3316.5114477167276</v>
          </cell>
          <cell r="Q107">
            <v>3639.1456389449104</v>
          </cell>
          <cell r="U107">
            <v>3871.1681162776663</v>
          </cell>
          <cell r="Y107">
            <v>3602.1780246149951</v>
          </cell>
        </row>
        <row r="108">
          <cell r="B108" t="str">
            <v>SS013</v>
          </cell>
          <cell r="M108">
            <v>3920.4346148978821</v>
          </cell>
          <cell r="Q108">
            <v>4093.2423276490531</v>
          </cell>
          <cell r="U108">
            <v>4869.1225860537143</v>
          </cell>
          <cell r="Y108">
            <v>5693.711593754846</v>
          </cell>
        </row>
        <row r="109">
          <cell r="B109" t="str">
            <v>SS014</v>
          </cell>
          <cell r="M109">
            <v>4500.916490278727</v>
          </cell>
          <cell r="Q109">
            <v>4562.1958337918541</v>
          </cell>
          <cell r="U109">
            <v>5014.4467994126735</v>
          </cell>
          <cell r="Y109">
            <v>4181.9265169536584</v>
          </cell>
        </row>
        <row r="110">
          <cell r="B110" t="str">
            <v>SS015</v>
          </cell>
          <cell r="M110">
            <v>202.93979213713251</v>
          </cell>
          <cell r="Q110">
            <v>181.89940874553227</v>
          </cell>
          <cell r="U110">
            <v>256.19007293300689</v>
          </cell>
          <cell r="Y110">
            <v>209.20155797489201</v>
          </cell>
        </row>
        <row r="111">
          <cell r="B111" t="str">
            <v>SS016</v>
          </cell>
          <cell r="M111">
            <v>267.43955828796879</v>
          </cell>
          <cell r="Q111">
            <v>248.57631642167644</v>
          </cell>
          <cell r="U111">
            <v>198.47966068860569</v>
          </cell>
          <cell r="Y111">
            <v>231.215910538467</v>
          </cell>
        </row>
        <row r="112">
          <cell r="B112" t="str">
            <v>SS017</v>
          </cell>
          <cell r="M112">
            <v>212.08961295518105</v>
          </cell>
          <cell r="Q112">
            <v>170.9144735530395</v>
          </cell>
          <cell r="U112">
            <v>189.09277462462612</v>
          </cell>
          <cell r="Y112">
            <v>201.5915143269105</v>
          </cell>
        </row>
        <row r="113">
          <cell r="B113" t="str">
            <v>SS018</v>
          </cell>
          <cell r="M113">
            <v>196.81779233644352</v>
          </cell>
          <cell r="Q113">
            <v>231.36006161108679</v>
          </cell>
          <cell r="U113">
            <v>207.22813709691292</v>
          </cell>
          <cell r="Y113">
            <v>210.58923330284429</v>
          </cell>
        </row>
        <row r="114">
          <cell r="B114" t="str">
            <v>SS021</v>
          </cell>
          <cell r="M114">
            <v>3319.479676685603</v>
          </cell>
          <cell r="Q114">
            <v>3838.9264587549014</v>
          </cell>
          <cell r="U114">
            <v>3541.0066425681248</v>
          </cell>
          <cell r="Y114">
            <v>4168.1808131427051</v>
          </cell>
        </row>
        <row r="115">
          <cell r="B115" t="str">
            <v>SS022</v>
          </cell>
          <cell r="M115">
            <v>3330.3152686600301</v>
          </cell>
          <cell r="Q115">
            <v>3740.9707858110323</v>
          </cell>
          <cell r="U115">
            <v>3926.2200089112625</v>
          </cell>
          <cell r="Y115">
            <v>3512.9405480666273</v>
          </cell>
        </row>
        <row r="116">
          <cell r="B116" t="str">
            <v>SS023</v>
          </cell>
          <cell r="M116">
            <v>4628.2160788515612</v>
          </cell>
          <cell r="Q116">
            <v>5751.4123603497055</v>
          </cell>
          <cell r="U116">
            <v>4596.0637475115036</v>
          </cell>
          <cell r="Y116">
            <v>5887.2503169847078</v>
          </cell>
        </row>
        <row r="117">
          <cell r="B117" t="str">
            <v>SS024</v>
          </cell>
          <cell r="M117">
            <v>4526.3053253396465</v>
          </cell>
          <cell r="Q117">
            <v>4701.5326148688928</v>
          </cell>
          <cell r="U117">
            <v>4030.6836727953832</v>
          </cell>
          <cell r="Y117">
            <v>3827.1121564389896</v>
          </cell>
        </row>
        <row r="118">
          <cell r="B118" t="str">
            <v>SS025</v>
          </cell>
          <cell r="M118">
            <v>238.70905709527685</v>
          </cell>
          <cell r="Q118">
            <v>236.90821848735777</v>
          </cell>
          <cell r="U118">
            <v>248.79515354388531</v>
          </cell>
          <cell r="Y118">
            <v>238.22258212893345</v>
          </cell>
        </row>
        <row r="119">
          <cell r="B119" t="str">
            <v>SS026</v>
          </cell>
          <cell r="M119">
            <v>249.96923436512157</v>
          </cell>
          <cell r="Q119">
            <v>241.63730980916193</v>
          </cell>
          <cell r="U119">
            <v>252.55201617941185</v>
          </cell>
          <cell r="Y119">
            <v>180.89011360804358</v>
          </cell>
        </row>
        <row r="120">
          <cell r="B120" t="str">
            <v>SS027</v>
          </cell>
          <cell r="M120">
            <v>249.54434539935403</v>
          </cell>
          <cell r="Q120">
            <v>218.01732332362221</v>
          </cell>
          <cell r="U120">
            <v>222.10717698008514</v>
          </cell>
          <cell r="Y120">
            <v>186.34989247069015</v>
          </cell>
        </row>
        <row r="121">
          <cell r="B121" t="str">
            <v>SS028</v>
          </cell>
          <cell r="M121">
            <v>256.12265453740565</v>
          </cell>
          <cell r="Q121">
            <v>178.1507095264723</v>
          </cell>
          <cell r="U121">
            <v>204.51449593748097</v>
          </cell>
          <cell r="Y121">
            <v>184.22769004719123</v>
          </cell>
        </row>
        <row r="122">
          <cell r="B122" t="str">
            <v>SS031</v>
          </cell>
          <cell r="M122">
            <v>4825.7208833178947</v>
          </cell>
          <cell r="Q122">
            <v>3547.7517397086367</v>
          </cell>
          <cell r="U122">
            <v>3353.7418737320031</v>
          </cell>
          <cell r="Y122">
            <v>3326.4214397991686</v>
          </cell>
        </row>
        <row r="123">
          <cell r="B123" t="str">
            <v>SS032</v>
          </cell>
          <cell r="M123">
            <v>3434.7609997126892</v>
          </cell>
          <cell r="Q123">
            <v>4338.4351157617093</v>
          </cell>
          <cell r="U123">
            <v>3097.199261025753</v>
          </cell>
          <cell r="Y123">
            <v>3665.1568370992927</v>
          </cell>
        </row>
        <row r="124">
          <cell r="B124" t="str">
            <v>SS033</v>
          </cell>
          <cell r="M124">
            <v>5611.5637705332801</v>
          </cell>
          <cell r="Q124">
            <v>3328.7209801781437</v>
          </cell>
          <cell r="U124">
            <v>4496.9563901179527</v>
          </cell>
          <cell r="Y124">
            <v>4924.4368596750155</v>
          </cell>
        </row>
        <row r="125">
          <cell r="B125" t="str">
            <v>SS034</v>
          </cell>
          <cell r="M125">
            <v>5119.0028605844855</v>
          </cell>
          <cell r="Q125">
            <v>3783.2585041841448</v>
          </cell>
          <cell r="U125">
            <v>4092.3070671467763</v>
          </cell>
          <cell r="Y125">
            <v>3248.4721515941856</v>
          </cell>
        </row>
        <row r="126">
          <cell r="B126" t="str">
            <v>SS035</v>
          </cell>
          <cell r="M126">
            <v>255.95471915805263</v>
          </cell>
          <cell r="Q126">
            <v>224.16570193027638</v>
          </cell>
          <cell r="U126">
            <v>197.62100780934634</v>
          </cell>
          <cell r="Y126">
            <v>188.24941429497451</v>
          </cell>
        </row>
        <row r="127">
          <cell r="B127" t="str">
            <v>SS036</v>
          </cell>
          <cell r="M127">
            <v>208.80174573537795</v>
          </cell>
          <cell r="Q127">
            <v>180.95435337168561</v>
          </cell>
          <cell r="U127">
            <v>248.8595108227791</v>
          </cell>
          <cell r="Y127">
            <v>205.9103485108341</v>
          </cell>
        </row>
        <row r="128">
          <cell r="B128" t="str">
            <v>SS037</v>
          </cell>
          <cell r="M128">
            <v>260.19807420959745</v>
          </cell>
          <cell r="Q128">
            <v>224.80450746011118</v>
          </cell>
          <cell r="U128">
            <v>199.72818332258362</v>
          </cell>
          <cell r="Y128">
            <v>203.3635724799683</v>
          </cell>
        </row>
        <row r="129">
          <cell r="B129" t="str">
            <v>SS038</v>
          </cell>
          <cell r="M129">
            <v>220.96090040847452</v>
          </cell>
          <cell r="Q129">
            <v>217.4419412043853</v>
          </cell>
          <cell r="U129">
            <v>203.53905321107254</v>
          </cell>
          <cell r="Y129">
            <v>186.40308225433139</v>
          </cell>
        </row>
        <row r="130">
          <cell r="B130" t="str">
            <v>SS041</v>
          </cell>
        </row>
        <row r="131">
          <cell r="B131" t="str">
            <v>SS042</v>
          </cell>
        </row>
        <row r="132">
          <cell r="B132" t="str">
            <v>SS043</v>
          </cell>
        </row>
        <row r="133">
          <cell r="B133" t="str">
            <v>SS044</v>
          </cell>
        </row>
        <row r="134">
          <cell r="B134" t="str">
            <v>SS045</v>
          </cell>
        </row>
        <row r="135">
          <cell r="B135" t="str">
            <v>SS046</v>
          </cell>
        </row>
        <row r="136">
          <cell r="B136" t="str">
            <v>SS047</v>
          </cell>
        </row>
        <row r="137">
          <cell r="B137" t="str">
            <v>SS048</v>
          </cell>
        </row>
        <row r="138">
          <cell r="B138" t="str">
            <v>SS100</v>
          </cell>
          <cell r="M138">
            <v>1269.8716149193503</v>
          </cell>
          <cell r="Q138">
            <v>1136.1014269141212</v>
          </cell>
          <cell r="U138">
            <v>1217.7719130680825</v>
          </cell>
          <cell r="Y138">
            <v>1066.545506647778</v>
          </cell>
        </row>
        <row r="139">
          <cell r="B139" t="str">
            <v>SS101</v>
          </cell>
          <cell r="M139">
            <v>1075.8344155977363</v>
          </cell>
          <cell r="Q139">
            <v>1385.8535224095203</v>
          </cell>
          <cell r="U139">
            <v>955.1578934969441</v>
          </cell>
          <cell r="Y139">
            <v>1350.8046421436657</v>
          </cell>
        </row>
        <row r="140">
          <cell r="B140" t="str">
            <v>SS102</v>
          </cell>
          <cell r="M140">
            <v>1607.0131049560778</v>
          </cell>
          <cell r="Q140">
            <v>1638.244121079485</v>
          </cell>
          <cell r="U140">
            <v>1499.5654055204072</v>
          </cell>
          <cell r="Y140">
            <v>1298.2994874055837</v>
          </cell>
        </row>
        <row r="141">
          <cell r="B141" t="str">
            <v>SS103</v>
          </cell>
          <cell r="M141">
            <v>0</v>
          </cell>
          <cell r="Q141">
            <v>0</v>
          </cell>
          <cell r="U141">
            <v>0</v>
          </cell>
          <cell r="Y141">
            <v>0</v>
          </cell>
        </row>
        <row r="142">
          <cell r="B142" t="str">
            <v>SS104</v>
          </cell>
          <cell r="M142">
            <v>1184.1206937331963</v>
          </cell>
          <cell r="Q142">
            <v>1537.9617520951865</v>
          </cell>
          <cell r="U142">
            <v>1578.8421797494962</v>
          </cell>
          <cell r="Y142">
            <v>1538.0539622642086</v>
          </cell>
        </row>
        <row r="143">
          <cell r="B143" t="str">
            <v>SS105</v>
          </cell>
          <cell r="M143">
            <v>0</v>
          </cell>
          <cell r="Q143">
            <v>0</v>
          </cell>
          <cell r="U143">
            <v>0</v>
          </cell>
          <cell r="Y143">
            <v>0</v>
          </cell>
        </row>
        <row r="144">
          <cell r="B144" t="str">
            <v>SS106</v>
          </cell>
          <cell r="M144">
            <v>9452.2890676668139</v>
          </cell>
          <cell r="Q144">
            <v>12625.49595029531</v>
          </cell>
          <cell r="U144">
            <v>12827.806624794248</v>
          </cell>
          <cell r="Y144">
            <v>12206.468998243403</v>
          </cell>
        </row>
        <row r="145">
          <cell r="B145" t="str">
            <v>SS107</v>
          </cell>
          <cell r="M145">
            <v>0</v>
          </cell>
          <cell r="Q145">
            <v>0</v>
          </cell>
          <cell r="U145">
            <v>0</v>
          </cell>
          <cell r="Y145">
            <v>0</v>
          </cell>
        </row>
        <row r="146">
          <cell r="B146" t="str">
            <v>SS108</v>
          </cell>
          <cell r="M146">
            <v>1136.3312042648934</v>
          </cell>
          <cell r="Q146">
            <v>2047.922784593494</v>
          </cell>
          <cell r="U146">
            <v>1382.0145453184737</v>
          </cell>
          <cell r="Y146">
            <v>1575.7919427955576</v>
          </cell>
        </row>
        <row r="147">
          <cell r="B147" t="str">
            <v>SS110</v>
          </cell>
          <cell r="M147">
            <v>1214.7334585924179</v>
          </cell>
          <cell r="Q147">
            <v>1390.6942276052346</v>
          </cell>
          <cell r="U147">
            <v>1173.4374828182331</v>
          </cell>
          <cell r="Y147">
            <v>1514.0190883761134</v>
          </cell>
        </row>
        <row r="148">
          <cell r="B148" t="str">
            <v>SS111</v>
          </cell>
          <cell r="M148">
            <v>0</v>
          </cell>
          <cell r="Q148">
            <v>0</v>
          </cell>
          <cell r="U148">
            <v>0</v>
          </cell>
          <cell r="Y148">
            <v>0</v>
          </cell>
        </row>
        <row r="149">
          <cell r="B149" t="str">
            <v>SS112</v>
          </cell>
          <cell r="M149">
            <v>11706.022447954101</v>
          </cell>
          <cell r="Q149">
            <v>10538.109304728809</v>
          </cell>
          <cell r="U149">
            <v>9603.036347264022</v>
          </cell>
          <cell r="Y149">
            <v>9599.0434314466747</v>
          </cell>
        </row>
        <row r="150">
          <cell r="B150" t="str">
            <v>SS113</v>
          </cell>
          <cell r="M150">
            <v>9768.4407678969292</v>
          </cell>
          <cell r="Q150">
            <v>9817.6713874791621</v>
          </cell>
          <cell r="U150">
            <v>9335.9769331890293</v>
          </cell>
          <cell r="Y150">
            <v>9387.0517961367477</v>
          </cell>
        </row>
        <row r="151">
          <cell r="B151" t="str">
            <v>SS114</v>
          </cell>
          <cell r="M151">
            <v>0</v>
          </cell>
          <cell r="Q151">
            <v>0</v>
          </cell>
          <cell r="U151">
            <v>0</v>
          </cell>
          <cell r="Y151">
            <v>0</v>
          </cell>
        </row>
        <row r="152">
          <cell r="B152" t="str">
            <v>SS116</v>
          </cell>
          <cell r="M152">
            <v>0</v>
          </cell>
          <cell r="Q152">
            <v>0</v>
          </cell>
          <cell r="U152">
            <v>0</v>
          </cell>
          <cell r="Y152">
            <v>0</v>
          </cell>
        </row>
        <row r="153">
          <cell r="B153" t="str">
            <v>SS124</v>
          </cell>
          <cell r="M153">
            <v>0</v>
          </cell>
          <cell r="Q153">
            <v>0</v>
          </cell>
          <cell r="U153">
            <v>0</v>
          </cell>
          <cell r="Y153">
            <v>0</v>
          </cell>
        </row>
        <row r="154">
          <cell r="B154" t="str">
            <v>SS125</v>
          </cell>
          <cell r="M154">
            <v>2026.8269659794182</v>
          </cell>
          <cell r="Q154">
            <v>1848.1369393386913</v>
          </cell>
          <cell r="U154">
            <v>1786.0116528544349</v>
          </cell>
          <cell r="Y154">
            <v>1645.0114553462599</v>
          </cell>
        </row>
        <row r="155">
          <cell r="B155" t="str">
            <v>SS126</v>
          </cell>
          <cell r="M155">
            <v>2175.8446338495137</v>
          </cell>
          <cell r="Q155">
            <v>1456.5861305106453</v>
          </cell>
          <cell r="U155">
            <v>1810.0032417050797</v>
          </cell>
          <cell r="Y155">
            <v>1916.6523280384774</v>
          </cell>
        </row>
        <row r="156">
          <cell r="B156" t="str">
            <v>SS127</v>
          </cell>
          <cell r="M156">
            <v>1614.2456449602419</v>
          </cell>
          <cell r="Q156">
            <v>2023.6054394146961</v>
          </cell>
          <cell r="U156">
            <v>1693.3995660054115</v>
          </cell>
          <cell r="Y156">
            <v>1984.2909405559385</v>
          </cell>
        </row>
        <row r="157">
          <cell r="B157" t="str">
            <v>SS128</v>
          </cell>
          <cell r="M157">
            <v>1669.1683346908785</v>
          </cell>
          <cell r="Q157">
            <v>2014.5089399373578</v>
          </cell>
          <cell r="U157">
            <v>1547.6734674168727</v>
          </cell>
          <cell r="Y157">
            <v>1963.2986338304136</v>
          </cell>
        </row>
        <row r="158">
          <cell r="B158" t="str">
            <v>SS129</v>
          </cell>
          <cell r="M158">
            <v>2136.1338968632849</v>
          </cell>
          <cell r="Q158">
            <v>1780.0386879077528</v>
          </cell>
          <cell r="U158">
            <v>1728.8612784014192</v>
          </cell>
          <cell r="Y158">
            <v>1792.1356647069838</v>
          </cell>
        </row>
        <row r="159">
          <cell r="B159" t="str">
            <v>SS130</v>
          </cell>
          <cell r="M159">
            <v>2077.8027407186032</v>
          </cell>
          <cell r="Q159">
            <v>2065.6795028633342</v>
          </cell>
          <cell r="U159">
            <v>2071.2625804098097</v>
          </cell>
          <cell r="Y159">
            <v>2099.2560092555941</v>
          </cell>
        </row>
        <row r="160">
          <cell r="B160" t="str">
            <v>SS131</v>
          </cell>
          <cell r="M160">
            <v>2731.9041307119587</v>
          </cell>
          <cell r="Q160">
            <v>2069.2672561545078</v>
          </cell>
          <cell r="U160">
            <v>2499.2041381243694</v>
          </cell>
          <cell r="Y160">
            <v>2346.475294077442</v>
          </cell>
        </row>
        <row r="161">
          <cell r="B161" t="str">
            <v>SS132</v>
          </cell>
          <cell r="M161">
            <v>2522.496985347374</v>
          </cell>
          <cell r="Q161">
            <v>2165.9401857404828</v>
          </cell>
          <cell r="U161">
            <v>2527.0267238918423</v>
          </cell>
          <cell r="Y161">
            <v>2586.2958014829283</v>
          </cell>
        </row>
        <row r="162">
          <cell r="B162" t="str">
            <v>SS133</v>
          </cell>
          <cell r="M162">
            <v>2347.2789464323523</v>
          </cell>
          <cell r="Q162">
            <v>2096.6751261799045</v>
          </cell>
          <cell r="U162">
            <v>2606.3555689117652</v>
          </cell>
          <cell r="Y162">
            <v>2854.9177000652612</v>
          </cell>
        </row>
        <row r="163">
          <cell r="B163" t="str">
            <v>SS134</v>
          </cell>
          <cell r="M163">
            <v>2875.283329987566</v>
          </cell>
          <cell r="Q163">
            <v>2062.3566536348822</v>
          </cell>
          <cell r="U163">
            <v>2225.535359572189</v>
          </cell>
          <cell r="Y163">
            <v>2562.737948844554</v>
          </cell>
        </row>
        <row r="164">
          <cell r="B164" t="str">
            <v>SS135</v>
          </cell>
          <cell r="M164">
            <v>2699.345534066103</v>
          </cell>
          <cell r="Q164">
            <v>2652.7699367593068</v>
          </cell>
          <cell r="U164">
            <v>2808.5064627483557</v>
          </cell>
          <cell r="Y164">
            <v>2894.9478918831433</v>
          </cell>
        </row>
        <row r="165">
          <cell r="B165" t="str">
            <v>SS136</v>
          </cell>
          <cell r="M165">
            <v>2669.9743041736501</v>
          </cell>
          <cell r="Q165">
            <v>2641.2947832973214</v>
          </cell>
          <cell r="U165">
            <v>2129.5488621026898</v>
          </cell>
          <cell r="Y165">
            <v>2573.6823238944362</v>
          </cell>
        </row>
        <row r="166">
          <cell r="B166" t="str">
            <v>SS137</v>
          </cell>
          <cell r="M166">
            <v>3966.1347546913044</v>
          </cell>
          <cell r="Q166">
            <v>3764.4988765199191</v>
          </cell>
          <cell r="U166">
            <v>4925.0257858569421</v>
          </cell>
          <cell r="Y166">
            <v>4453.9071627618323</v>
          </cell>
        </row>
        <row r="167">
          <cell r="B167" t="str">
            <v>SS138</v>
          </cell>
          <cell r="M167">
            <v>4289.0622791933765</v>
          </cell>
          <cell r="Q167">
            <v>4496.4426359097497</v>
          </cell>
          <cell r="U167">
            <v>4634.4209956110872</v>
          </cell>
          <cell r="Y167">
            <v>5122.8123643836389</v>
          </cell>
        </row>
        <row r="168">
          <cell r="B168" t="str">
            <v>SS141</v>
          </cell>
          <cell r="M168">
            <v>244.15909757927588</v>
          </cell>
          <cell r="Q168">
            <v>359.41077882866381</v>
          </cell>
          <cell r="U168">
            <v>189.05199375838833</v>
          </cell>
          <cell r="Y168">
            <v>216.60781964374095</v>
          </cell>
        </row>
        <row r="169">
          <cell r="B169" t="str">
            <v>SS143</v>
          </cell>
          <cell r="M169">
            <v>248.44609173348672</v>
          </cell>
          <cell r="Q169">
            <v>227.86083584171109</v>
          </cell>
          <cell r="U169">
            <v>209.58529503238611</v>
          </cell>
          <cell r="Y169">
            <v>259.37465714630031</v>
          </cell>
        </row>
        <row r="170">
          <cell r="B170" t="str">
            <v>SS144</v>
          </cell>
          <cell r="M170">
            <v>210.64154064617614</v>
          </cell>
          <cell r="Q170">
            <v>223.343362663536</v>
          </cell>
          <cell r="U170">
            <v>197.24732393778467</v>
          </cell>
          <cell r="Y170">
            <v>235.39302982210501</v>
          </cell>
        </row>
        <row r="171">
          <cell r="B171" t="str">
            <v>SS145</v>
          </cell>
          <cell r="M171">
            <v>216.68145029577136</v>
          </cell>
          <cell r="Q171">
            <v>255.33641159645805</v>
          </cell>
          <cell r="U171">
            <v>193.71598240773446</v>
          </cell>
          <cell r="Y171">
            <v>192.02754436529207</v>
          </cell>
        </row>
        <row r="172">
          <cell r="B172" t="str">
            <v>SS146</v>
          </cell>
          <cell r="M172">
            <v>268.07000392298266</v>
          </cell>
          <cell r="Q172">
            <v>206.42335018099624</v>
          </cell>
          <cell r="U172">
            <v>175.92878670715564</v>
          </cell>
          <cell r="Y172">
            <v>215.57019718651375</v>
          </cell>
        </row>
        <row r="173">
          <cell r="B173" t="str">
            <v>SS149</v>
          </cell>
          <cell r="M173">
            <v>0</v>
          </cell>
          <cell r="Q173">
            <v>0</v>
          </cell>
          <cell r="U173">
            <v>0</v>
          </cell>
          <cell r="Y173">
            <v>0</v>
          </cell>
        </row>
        <row r="174">
          <cell r="B174" t="str">
            <v>SS157</v>
          </cell>
          <cell r="M174">
            <v>2042.8983250281362</v>
          </cell>
          <cell r="Q174">
            <v>2383.4079766400073</v>
          </cell>
          <cell r="U174">
            <v>2415.7159126203642</v>
          </cell>
          <cell r="Y174">
            <v>2178.304042726515</v>
          </cell>
        </row>
        <row r="175">
          <cell r="B175" t="str">
            <v>SS158</v>
          </cell>
          <cell r="M175">
            <v>1903.7561787725936</v>
          </cell>
          <cell r="Q175">
            <v>2140.3848086655075</v>
          </cell>
          <cell r="U175">
            <v>2307.4710394605449</v>
          </cell>
          <cell r="Y175">
            <v>2193.7612460669634</v>
          </cell>
        </row>
        <row r="176">
          <cell r="B176" t="str">
            <v>SS159</v>
          </cell>
          <cell r="M176">
            <v>2202.7560197983926</v>
          </cell>
          <cell r="Q176">
            <v>2157.9931282077341</v>
          </cell>
          <cell r="U176">
            <v>2392.173634498537</v>
          </cell>
          <cell r="Y176">
            <v>2089.9088941393975</v>
          </cell>
        </row>
        <row r="177">
          <cell r="B177" t="str">
            <v>SS160</v>
          </cell>
          <cell r="M177">
            <v>1780.8727351902421</v>
          </cell>
          <cell r="Q177">
            <v>2286.4556852721603</v>
          </cell>
          <cell r="U177">
            <v>2004.0677900645951</v>
          </cell>
          <cell r="Y177">
            <v>2507.5813749423896</v>
          </cell>
        </row>
        <row r="178">
          <cell r="B178" t="str">
            <v>SS161</v>
          </cell>
          <cell r="M178">
            <v>1736.3695016995064</v>
          </cell>
          <cell r="Q178">
            <v>1928.0126031571044</v>
          </cell>
          <cell r="U178">
            <v>1730.3004212351811</v>
          </cell>
          <cell r="Y178">
            <v>1949.2405105820073</v>
          </cell>
        </row>
        <row r="179">
          <cell r="B179" t="str">
            <v>SS162</v>
          </cell>
          <cell r="M179">
            <v>1835.169664950934</v>
          </cell>
          <cell r="Q179">
            <v>2189.4066758579875</v>
          </cell>
          <cell r="U179">
            <v>1757.0543010661233</v>
          </cell>
          <cell r="Y179">
            <v>2526.8726335918495</v>
          </cell>
        </row>
        <row r="180">
          <cell r="B180" t="str">
            <v>SS163</v>
          </cell>
          <cell r="M180">
            <v>0</v>
          </cell>
          <cell r="Q180">
            <v>0</v>
          </cell>
          <cell r="U180">
            <v>0</v>
          </cell>
          <cell r="Y180">
            <v>0</v>
          </cell>
        </row>
        <row r="181">
          <cell r="B181" t="str">
            <v>SS164</v>
          </cell>
          <cell r="M181">
            <v>0</v>
          </cell>
          <cell r="Q181">
            <v>0</v>
          </cell>
          <cell r="U181">
            <v>0</v>
          </cell>
          <cell r="Y181">
            <v>0</v>
          </cell>
        </row>
        <row r="182">
          <cell r="B182" t="str">
            <v>SS165</v>
          </cell>
          <cell r="M182">
            <v>2142.2708139592901</v>
          </cell>
          <cell r="Q182">
            <v>1894.5156833493627</v>
          </cell>
          <cell r="U182">
            <v>2292.3899020194781</v>
          </cell>
          <cell r="Y182">
            <v>2456.2460729280442</v>
          </cell>
        </row>
        <row r="183">
          <cell r="B183" t="str">
            <v>SS166</v>
          </cell>
          <cell r="M183">
            <v>2342.3229794650006</v>
          </cell>
          <cell r="Q183">
            <v>2401.6993317265224</v>
          </cell>
          <cell r="U183">
            <v>2367.8118407527563</v>
          </cell>
          <cell r="Y183">
            <v>1884.8460934243983</v>
          </cell>
        </row>
        <row r="184">
          <cell r="B184" t="str">
            <v>SS167</v>
          </cell>
          <cell r="M184">
            <v>2326.8487435447901</v>
          </cell>
          <cell r="Q184">
            <v>2381.2441279061559</v>
          </cell>
          <cell r="U184">
            <v>2018.4956848818192</v>
          </cell>
          <cell r="Y184">
            <v>1901.4453271007869</v>
          </cell>
        </row>
        <row r="185">
          <cell r="B185" t="str">
            <v>SS168</v>
          </cell>
          <cell r="M185">
            <v>1928.3977282016169</v>
          </cell>
          <cell r="Q185">
            <v>2061.0760637237913</v>
          </cell>
          <cell r="U185">
            <v>2443.1099577351474</v>
          </cell>
          <cell r="Y185">
            <v>2281.6834378929634</v>
          </cell>
        </row>
        <row r="186">
          <cell r="B186" t="str">
            <v>SS169</v>
          </cell>
          <cell r="M186">
            <v>4279.1265528199137</v>
          </cell>
          <cell r="Q186">
            <v>5328.0202601877081</v>
          </cell>
          <cell r="U186">
            <v>4566.7645437427764</v>
          </cell>
          <cell r="Y186">
            <v>5326.3264389237784</v>
          </cell>
        </row>
        <row r="187">
          <cell r="B187" t="str">
            <v>SS170</v>
          </cell>
          <cell r="M187">
            <v>4293.6730330437904</v>
          </cell>
          <cell r="Q187">
            <v>4818.6579943303423</v>
          </cell>
          <cell r="U187">
            <v>4950.306219278169</v>
          </cell>
          <cell r="Y187">
            <v>4999.8949681397789</v>
          </cell>
        </row>
        <row r="188">
          <cell r="B188" t="str">
            <v>SS200</v>
          </cell>
          <cell r="M188">
            <v>1477.9323977765403</v>
          </cell>
          <cell r="Q188">
            <v>1002.9888446439919</v>
          </cell>
          <cell r="U188">
            <v>1060.3222916560117</v>
          </cell>
          <cell r="Y188">
            <v>1210.7806891169766</v>
          </cell>
        </row>
        <row r="189">
          <cell r="B189" t="str">
            <v>SS201</v>
          </cell>
          <cell r="M189">
            <v>0</v>
          </cell>
          <cell r="Q189">
            <v>0</v>
          </cell>
          <cell r="U189">
            <v>0</v>
          </cell>
          <cell r="Y189">
            <v>0</v>
          </cell>
        </row>
        <row r="190">
          <cell r="B190" t="str">
            <v>SS202</v>
          </cell>
          <cell r="M190">
            <v>1375.1853683365985</v>
          </cell>
          <cell r="Q190">
            <v>1483.6156347042697</v>
          </cell>
          <cell r="U190">
            <v>1149.3454091372009</v>
          </cell>
          <cell r="Y190">
            <v>1153.7425228896102</v>
          </cell>
        </row>
        <row r="191">
          <cell r="B191" t="str">
            <v>SS203</v>
          </cell>
          <cell r="M191">
            <v>1097.7302525509513</v>
          </cell>
          <cell r="Q191">
            <v>1847.0687897154567</v>
          </cell>
          <cell r="U191">
            <v>1447.910785095849</v>
          </cell>
          <cell r="Y191">
            <v>1147.8376996920892</v>
          </cell>
        </row>
        <row r="192">
          <cell r="B192" t="str">
            <v>SS204</v>
          </cell>
          <cell r="M192">
            <v>1565.3030813476782</v>
          </cell>
          <cell r="Q192">
            <v>1657.1962469035807</v>
          </cell>
          <cell r="U192">
            <v>1231.966385769696</v>
          </cell>
          <cell r="Y192">
            <v>1607.8952395385281</v>
          </cell>
        </row>
        <row r="193">
          <cell r="B193" t="str">
            <v>SS205</v>
          </cell>
          <cell r="M193">
            <v>0</v>
          </cell>
          <cell r="Q193">
            <v>0</v>
          </cell>
          <cell r="U193">
            <v>0</v>
          </cell>
          <cell r="Y193">
            <v>0</v>
          </cell>
        </row>
        <row r="194">
          <cell r="B194" t="str">
            <v>SS206</v>
          </cell>
          <cell r="M194">
            <v>9284.9949408671218</v>
          </cell>
          <cell r="Q194">
            <v>10109.008372447935</v>
          </cell>
          <cell r="U194">
            <v>10795.461001323387</v>
          </cell>
          <cell r="Y194">
            <v>8807.700552090304</v>
          </cell>
        </row>
        <row r="195">
          <cell r="B195" t="str">
            <v>SS207</v>
          </cell>
          <cell r="M195">
            <v>0</v>
          </cell>
          <cell r="Q195">
            <v>0</v>
          </cell>
          <cell r="U195">
            <v>0</v>
          </cell>
          <cell r="Y195">
            <v>0</v>
          </cell>
        </row>
        <row r="196">
          <cell r="B196" t="str">
            <v>SS208</v>
          </cell>
          <cell r="M196">
            <v>1617.8161711934754</v>
          </cell>
          <cell r="Q196">
            <v>2422.2082416214553</v>
          </cell>
          <cell r="U196">
            <v>1298.3019868969513</v>
          </cell>
          <cell r="Y196">
            <v>1253.8809004092886</v>
          </cell>
        </row>
        <row r="197">
          <cell r="B197" t="str">
            <v>SS210</v>
          </cell>
          <cell r="M197">
            <v>0</v>
          </cell>
          <cell r="Q197">
            <v>0</v>
          </cell>
          <cell r="U197">
            <v>0</v>
          </cell>
          <cell r="Y197">
            <v>0</v>
          </cell>
        </row>
        <row r="198">
          <cell r="B198" t="str">
            <v>SS211</v>
          </cell>
          <cell r="M198">
            <v>0</v>
          </cell>
          <cell r="Q198">
            <v>0</v>
          </cell>
          <cell r="U198">
            <v>0</v>
          </cell>
          <cell r="Y198">
            <v>0</v>
          </cell>
        </row>
        <row r="199">
          <cell r="B199" t="str">
            <v>SS212</v>
          </cell>
          <cell r="M199">
            <v>0</v>
          </cell>
          <cell r="Q199">
            <v>0</v>
          </cell>
          <cell r="U199">
            <v>0</v>
          </cell>
          <cell r="Y199">
            <v>0</v>
          </cell>
        </row>
        <row r="200">
          <cell r="B200" t="str">
            <v>SS213</v>
          </cell>
          <cell r="M200">
            <v>0</v>
          </cell>
          <cell r="Q200">
            <v>0</v>
          </cell>
          <cell r="U200">
            <v>0</v>
          </cell>
          <cell r="Y200">
            <v>0</v>
          </cell>
        </row>
        <row r="201">
          <cell r="B201" t="str">
            <v>SS214</v>
          </cell>
          <cell r="M201">
            <v>0</v>
          </cell>
          <cell r="Q201">
            <v>0</v>
          </cell>
          <cell r="U201">
            <v>0</v>
          </cell>
          <cell r="Y201">
            <v>0</v>
          </cell>
        </row>
        <row r="202">
          <cell r="B202" t="str">
            <v>SS216</v>
          </cell>
          <cell r="M202">
            <v>0</v>
          </cell>
          <cell r="Q202">
            <v>0</v>
          </cell>
          <cell r="U202">
            <v>0</v>
          </cell>
          <cell r="Y202">
            <v>0</v>
          </cell>
        </row>
        <row r="203">
          <cell r="B203" t="str">
            <v>SS219</v>
          </cell>
          <cell r="M203">
            <v>3836.0224081643737</v>
          </cell>
          <cell r="Q203">
            <v>4260.7391364864452</v>
          </cell>
          <cell r="U203">
            <v>3708.0897841667256</v>
          </cell>
          <cell r="Y203">
            <v>4136.7558818897651</v>
          </cell>
        </row>
        <row r="204">
          <cell r="B204" t="str">
            <v>SS225</v>
          </cell>
          <cell r="M204">
            <v>1594.9920726310388</v>
          </cell>
          <cell r="Q204">
            <v>2100.0549029013055</v>
          </cell>
          <cell r="U204">
            <v>1520.7883444430861</v>
          </cell>
          <cell r="Y204">
            <v>1916.7676651749186</v>
          </cell>
        </row>
        <row r="205">
          <cell r="B205" t="str">
            <v>SS226</v>
          </cell>
          <cell r="M205">
            <v>1949.0884483961379</v>
          </cell>
          <cell r="Q205">
            <v>1674.9155486295588</v>
          </cell>
          <cell r="U205">
            <v>1673.8091022980516</v>
          </cell>
          <cell r="Y205">
            <v>1736.7831282127481</v>
          </cell>
        </row>
        <row r="206">
          <cell r="B206" t="str">
            <v>SS227</v>
          </cell>
          <cell r="M206">
            <v>2202.0577868113178</v>
          </cell>
          <cell r="Q206">
            <v>1523.4175606981873</v>
          </cell>
          <cell r="U206">
            <v>1815.7497785243513</v>
          </cell>
          <cell r="Y206">
            <v>1534.6731583317885</v>
          </cell>
        </row>
        <row r="207">
          <cell r="B207" t="str">
            <v>SS228</v>
          </cell>
          <cell r="M207">
            <v>2207.7528174906529</v>
          </cell>
          <cell r="Q207">
            <v>1674.8816455747753</v>
          </cell>
          <cell r="U207">
            <v>1600.1569524520389</v>
          </cell>
          <cell r="Y207">
            <v>2017.1181532172272</v>
          </cell>
        </row>
        <row r="208">
          <cell r="B208" t="str">
            <v>SS229</v>
          </cell>
          <cell r="M208">
            <v>1864.6481377650814</v>
          </cell>
          <cell r="Q208">
            <v>1698.4854094236584</v>
          </cell>
          <cell r="U208">
            <v>1941.1751644121455</v>
          </cell>
          <cell r="Y208">
            <v>2052.3150404464159</v>
          </cell>
        </row>
        <row r="209">
          <cell r="B209" t="str">
            <v>SS230</v>
          </cell>
          <cell r="M209">
            <v>2208.6375214274494</v>
          </cell>
          <cell r="Q209">
            <v>1687.6486761539247</v>
          </cell>
          <cell r="U209">
            <v>1615.8508273582227</v>
          </cell>
          <cell r="Y209">
            <v>2134.8763500222553</v>
          </cell>
        </row>
        <row r="210">
          <cell r="B210" t="str">
            <v>SS231</v>
          </cell>
          <cell r="M210">
            <v>2254.4121785288703</v>
          </cell>
          <cell r="Q210">
            <v>2502.0495742674543</v>
          </cell>
          <cell r="U210">
            <v>2588.5167950112373</v>
          </cell>
          <cell r="Y210">
            <v>2708.1911447649841</v>
          </cell>
        </row>
        <row r="211">
          <cell r="B211" t="str">
            <v>SS232</v>
          </cell>
          <cell r="M211">
            <v>2734.4649837186862</v>
          </cell>
          <cell r="Q211">
            <v>2173.1007860695859</v>
          </cell>
          <cell r="U211">
            <v>2682.6326198305869</v>
          </cell>
          <cell r="Y211">
            <v>2147.7909220524884</v>
          </cell>
        </row>
        <row r="212">
          <cell r="B212" t="str">
            <v>SS233</v>
          </cell>
          <cell r="M212">
            <v>2584.3405203089878</v>
          </cell>
          <cell r="Q212">
            <v>1901.1369074211834</v>
          </cell>
          <cell r="U212">
            <v>2207.9027262744939</v>
          </cell>
          <cell r="Y212">
            <v>2639.4218962049263</v>
          </cell>
        </row>
        <row r="213">
          <cell r="B213" t="str">
            <v>SS234</v>
          </cell>
          <cell r="M213">
            <v>2329.2545952424639</v>
          </cell>
          <cell r="Q213">
            <v>2548.457971011811</v>
          </cell>
          <cell r="U213">
            <v>2292.9335181590595</v>
          </cell>
          <cell r="Y213">
            <v>2785.8089587171244</v>
          </cell>
        </row>
        <row r="214">
          <cell r="B214" t="str">
            <v>SS235</v>
          </cell>
          <cell r="M214">
            <v>2078.5309109042973</v>
          </cell>
          <cell r="Q214">
            <v>2018.9324448651721</v>
          </cell>
          <cell r="U214">
            <v>2309.4447156756264</v>
          </cell>
          <cell r="Y214">
            <v>2820.0708644761976</v>
          </cell>
        </row>
        <row r="215">
          <cell r="B215" t="str">
            <v>SS236</v>
          </cell>
          <cell r="M215">
            <v>2360.9841482093025</v>
          </cell>
          <cell r="Q215">
            <v>2544.7662549417109</v>
          </cell>
          <cell r="U215">
            <v>2191.0486618001473</v>
          </cell>
          <cell r="Y215">
            <v>2050.3516280960557</v>
          </cell>
        </row>
        <row r="216">
          <cell r="B216" t="str">
            <v>SS237</v>
          </cell>
          <cell r="M216">
            <v>5176.6416656524043</v>
          </cell>
          <cell r="Q216">
            <v>4183.6209503152413</v>
          </cell>
          <cell r="U216">
            <v>5566.6547795873894</v>
          </cell>
          <cell r="Y216">
            <v>5412.5083778517073</v>
          </cell>
        </row>
        <row r="217">
          <cell r="B217" t="str">
            <v>SS238</v>
          </cell>
          <cell r="M217">
            <v>4435.8830770049826</v>
          </cell>
          <cell r="Q217">
            <v>4934.3926954267499</v>
          </cell>
          <cell r="U217">
            <v>4197.706588446451</v>
          </cell>
          <cell r="Y217">
            <v>4820.0575885177714</v>
          </cell>
        </row>
        <row r="218">
          <cell r="B218" t="str">
            <v>SS241</v>
          </cell>
          <cell r="M218">
            <v>428.50382690683659</v>
          </cell>
          <cell r="Q218">
            <v>311.27527261231364</v>
          </cell>
          <cell r="U218">
            <v>388.00156321078498</v>
          </cell>
          <cell r="Y218">
            <v>414.98406265147116</v>
          </cell>
        </row>
        <row r="219">
          <cell r="B219" t="str">
            <v>SS242</v>
          </cell>
          <cell r="M219">
            <v>0</v>
          </cell>
          <cell r="Q219">
            <v>0</v>
          </cell>
          <cell r="U219">
            <v>0</v>
          </cell>
          <cell r="Y219">
            <v>0</v>
          </cell>
        </row>
        <row r="220">
          <cell r="B220" t="str">
            <v>SS243</v>
          </cell>
          <cell r="M220">
            <v>261.21845846900192</v>
          </cell>
          <cell r="Q220">
            <v>241.4976268057913</v>
          </cell>
          <cell r="U220">
            <v>248.33951909950707</v>
          </cell>
          <cell r="Y220">
            <v>200.37480085293163</v>
          </cell>
        </row>
        <row r="221">
          <cell r="B221" t="str">
            <v>SS244</v>
          </cell>
          <cell r="M221">
            <v>346.61876285024829</v>
          </cell>
          <cell r="Q221">
            <v>205.34044634023391</v>
          </cell>
          <cell r="U221">
            <v>333.71542389464469</v>
          </cell>
          <cell r="Y221">
            <v>345.25090358413888</v>
          </cell>
        </row>
        <row r="222">
          <cell r="B222" t="str">
            <v>SS245</v>
          </cell>
          <cell r="M222">
            <v>245.60084172656155</v>
          </cell>
          <cell r="Q222">
            <v>228.28200486355678</v>
          </cell>
          <cell r="U222">
            <v>216.70193853613904</v>
          </cell>
          <cell r="Y222">
            <v>197.75810594083777</v>
          </cell>
        </row>
        <row r="223">
          <cell r="B223" t="str">
            <v>SS246</v>
          </cell>
          <cell r="M223">
            <v>204.64293525794227</v>
          </cell>
          <cell r="Q223">
            <v>172.48775101637588</v>
          </cell>
          <cell r="U223">
            <v>251.72415723375553</v>
          </cell>
          <cell r="Y223">
            <v>211.14687613460711</v>
          </cell>
        </row>
        <row r="224">
          <cell r="B224" t="str">
            <v>SS249</v>
          </cell>
          <cell r="M224">
            <v>0</v>
          </cell>
          <cell r="Q224">
            <v>0</v>
          </cell>
          <cell r="U224">
            <v>0</v>
          </cell>
          <cell r="Y224">
            <v>0</v>
          </cell>
        </row>
        <row r="225">
          <cell r="B225" t="str">
            <v>SS257</v>
          </cell>
          <cell r="M225">
            <v>0</v>
          </cell>
          <cell r="Q225">
            <v>0</v>
          </cell>
          <cell r="U225">
            <v>0</v>
          </cell>
          <cell r="Y225">
            <v>0</v>
          </cell>
        </row>
        <row r="226">
          <cell r="B226" t="str">
            <v>SS259</v>
          </cell>
          <cell r="M226">
            <v>2286.9356968310326</v>
          </cell>
          <cell r="Q226">
            <v>1678.1399970110285</v>
          </cell>
          <cell r="U226">
            <v>2163.7635074181389</v>
          </cell>
          <cell r="Y226">
            <v>1812.1090180641131</v>
          </cell>
        </row>
        <row r="227">
          <cell r="B227" t="str">
            <v>SS260</v>
          </cell>
          <cell r="M227">
            <v>2212.9033913522449</v>
          </cell>
          <cell r="Q227">
            <v>1827.5530103625254</v>
          </cell>
          <cell r="U227">
            <v>2305.1456318001356</v>
          </cell>
          <cell r="Y227">
            <v>2015.6126218719457</v>
          </cell>
        </row>
        <row r="228">
          <cell r="B228" t="str">
            <v>SS261</v>
          </cell>
          <cell r="M228">
            <v>1777.3475273204033</v>
          </cell>
          <cell r="Q228">
            <v>2002.936948166094</v>
          </cell>
          <cell r="U228">
            <v>1827.0964026870179</v>
          </cell>
          <cell r="Y228">
            <v>1938.9830462301588</v>
          </cell>
        </row>
        <row r="229">
          <cell r="B229" t="str">
            <v>SS262</v>
          </cell>
          <cell r="M229">
            <v>1925.5417114097638</v>
          </cell>
          <cell r="Q229">
            <v>1689.2275230936148</v>
          </cell>
          <cell r="U229">
            <v>1936.2804969103299</v>
          </cell>
          <cell r="Y229">
            <v>2276.772839730028</v>
          </cell>
        </row>
        <row r="230">
          <cell r="B230" t="str">
            <v>SS263</v>
          </cell>
          <cell r="M230">
            <v>0</v>
          </cell>
          <cell r="Q230">
            <v>0</v>
          </cell>
          <cell r="U230">
            <v>0</v>
          </cell>
          <cell r="Y230">
            <v>0</v>
          </cell>
        </row>
        <row r="231">
          <cell r="B231" t="str">
            <v>SS264</v>
          </cell>
          <cell r="M231">
            <v>0</v>
          </cell>
          <cell r="Q231">
            <v>0</v>
          </cell>
          <cell r="U231">
            <v>0</v>
          </cell>
          <cell r="Y231">
            <v>0</v>
          </cell>
        </row>
        <row r="232">
          <cell r="B232" t="str">
            <v>SS265</v>
          </cell>
          <cell r="M232">
            <v>1797.1184717033166</v>
          </cell>
          <cell r="Q232">
            <v>2128.4108807573248</v>
          </cell>
          <cell r="U232">
            <v>2123.9296746068753</v>
          </cell>
          <cell r="Y232">
            <v>2202.3794423029221</v>
          </cell>
        </row>
        <row r="233">
          <cell r="B233" t="str">
            <v>SS266</v>
          </cell>
          <cell r="M233">
            <v>1832.9968001593149</v>
          </cell>
          <cell r="Q233">
            <v>2396.5672925935783</v>
          </cell>
          <cell r="U233">
            <v>2010.9238330196004</v>
          </cell>
          <cell r="Y233">
            <v>2525.6430873583786</v>
          </cell>
        </row>
        <row r="234">
          <cell r="B234" t="str">
            <v>SS267</v>
          </cell>
          <cell r="M234">
            <v>1890.5346303141941</v>
          </cell>
          <cell r="Q234">
            <v>1840.661093219624</v>
          </cell>
          <cell r="U234">
            <v>2261.513307812816</v>
          </cell>
          <cell r="Y234">
            <v>2447.4823706048373</v>
          </cell>
        </row>
        <row r="235">
          <cell r="B235" t="str">
            <v>SS268</v>
          </cell>
          <cell r="M235">
            <v>2275.2573309423287</v>
          </cell>
          <cell r="Q235">
            <v>2120.9299114523355</v>
          </cell>
          <cell r="U235">
            <v>2403.9094069914227</v>
          </cell>
          <cell r="Y235">
            <v>2317.4501263632592</v>
          </cell>
        </row>
        <row r="236">
          <cell r="B236" t="str">
            <v>SS269</v>
          </cell>
          <cell r="M236">
            <v>4472.484587946039</v>
          </cell>
          <cell r="Q236">
            <v>3991.3332664500194</v>
          </cell>
          <cell r="U236">
            <v>4583.9661155995163</v>
          </cell>
          <cell r="Y236">
            <v>5882.1188938339974</v>
          </cell>
        </row>
        <row r="237">
          <cell r="B237" t="str">
            <v>SS270</v>
          </cell>
          <cell r="M237">
            <v>4773.2137484871628</v>
          </cell>
          <cell r="Q237">
            <v>3950.260401251116</v>
          </cell>
          <cell r="U237">
            <v>4953.082265958803</v>
          </cell>
          <cell r="Y237">
            <v>4780.6319227960266</v>
          </cell>
        </row>
        <row r="238">
          <cell r="B238" t="str">
            <v>SS300</v>
          </cell>
          <cell r="M238">
            <v>1195.5517550447476</v>
          </cell>
          <cell r="Q238">
            <v>1000.3513521175132</v>
          </cell>
          <cell r="U238">
            <v>1170.7253564626844</v>
          </cell>
          <cell r="Y238">
            <v>1343.4657524184977</v>
          </cell>
        </row>
        <row r="239">
          <cell r="B239" t="str">
            <v>SS301</v>
          </cell>
          <cell r="M239">
            <v>0</v>
          </cell>
          <cell r="Q239">
            <v>0</v>
          </cell>
          <cell r="U239">
            <v>0</v>
          </cell>
          <cell r="Y239">
            <v>0</v>
          </cell>
        </row>
        <row r="240">
          <cell r="B240" t="str">
            <v>SS302</v>
          </cell>
          <cell r="M240">
            <v>1271.0590214383096</v>
          </cell>
          <cell r="Q240">
            <v>1423.7451208409543</v>
          </cell>
          <cell r="U240">
            <v>1145.8921590718708</v>
          </cell>
          <cell r="Y240">
            <v>1487.6961421682577</v>
          </cell>
        </row>
        <row r="241">
          <cell r="B241" t="str">
            <v>SS303</v>
          </cell>
          <cell r="M241">
            <v>0</v>
          </cell>
          <cell r="Q241">
            <v>0</v>
          </cell>
          <cell r="U241">
            <v>0</v>
          </cell>
          <cell r="Y241">
            <v>0</v>
          </cell>
        </row>
        <row r="242">
          <cell r="B242" t="str">
            <v>SS304</v>
          </cell>
          <cell r="M242">
            <v>1448.5067431891496</v>
          </cell>
          <cell r="Q242">
            <v>1071.7273661160589</v>
          </cell>
          <cell r="U242">
            <v>1357.3698858570519</v>
          </cell>
          <cell r="Y242">
            <v>1195.1857959700581</v>
          </cell>
        </row>
        <row r="243">
          <cell r="B243" t="str">
            <v>SS305</v>
          </cell>
          <cell r="M243">
            <v>0</v>
          </cell>
          <cell r="Q243">
            <v>0</v>
          </cell>
          <cell r="U243">
            <v>0</v>
          </cell>
          <cell r="Y243">
            <v>0</v>
          </cell>
        </row>
        <row r="244">
          <cell r="B244" t="str">
            <v>SS307</v>
          </cell>
          <cell r="M244">
            <v>0</v>
          </cell>
          <cell r="Q244">
            <v>0</v>
          </cell>
          <cell r="U244">
            <v>0</v>
          </cell>
          <cell r="Y244">
            <v>0</v>
          </cell>
        </row>
        <row r="245">
          <cell r="B245" t="str">
            <v>SS308</v>
          </cell>
          <cell r="M245">
            <v>0</v>
          </cell>
          <cell r="Q245">
            <v>0</v>
          </cell>
          <cell r="U245">
            <v>0</v>
          </cell>
          <cell r="Y245">
            <v>0</v>
          </cell>
        </row>
        <row r="246">
          <cell r="B246" t="str">
            <v>SS309</v>
          </cell>
          <cell r="M246">
            <v>0</v>
          </cell>
          <cell r="Q246">
            <v>0</v>
          </cell>
          <cell r="U246">
            <v>0</v>
          </cell>
          <cell r="Y246">
            <v>0</v>
          </cell>
        </row>
        <row r="247">
          <cell r="B247" t="str">
            <v>SS310</v>
          </cell>
          <cell r="M247">
            <v>0</v>
          </cell>
          <cell r="Q247">
            <v>0</v>
          </cell>
          <cell r="U247">
            <v>0</v>
          </cell>
          <cell r="Y247">
            <v>0</v>
          </cell>
        </row>
        <row r="248">
          <cell r="B248" t="str">
            <v>SS311</v>
          </cell>
          <cell r="M248">
            <v>0</v>
          </cell>
          <cell r="Q248">
            <v>0</v>
          </cell>
          <cell r="U248">
            <v>0</v>
          </cell>
          <cell r="Y248">
            <v>0</v>
          </cell>
        </row>
        <row r="249">
          <cell r="B249" t="str">
            <v>SS313</v>
          </cell>
          <cell r="M249">
            <v>0</v>
          </cell>
          <cell r="Q249">
            <v>0</v>
          </cell>
          <cell r="U249">
            <v>0</v>
          </cell>
          <cell r="Y249">
            <v>0</v>
          </cell>
        </row>
        <row r="250">
          <cell r="B250" t="str">
            <v>SS314</v>
          </cell>
          <cell r="M250">
            <v>0</v>
          </cell>
          <cell r="Q250">
            <v>0</v>
          </cell>
          <cell r="U250">
            <v>0</v>
          </cell>
          <cell r="Y250">
            <v>0</v>
          </cell>
        </row>
        <row r="251">
          <cell r="B251" t="str">
            <v>SS316</v>
          </cell>
          <cell r="M251">
            <v>0</v>
          </cell>
          <cell r="Q251">
            <v>0</v>
          </cell>
          <cell r="U251">
            <v>0</v>
          </cell>
          <cell r="Y251">
            <v>0</v>
          </cell>
        </row>
        <row r="252">
          <cell r="B252" t="str">
            <v>SS321</v>
          </cell>
          <cell r="M252">
            <v>19882.402715893328</v>
          </cell>
          <cell r="Q252">
            <v>14814.498433087972</v>
          </cell>
          <cell r="U252">
            <v>16323.160396791665</v>
          </cell>
          <cell r="Y252">
            <v>18701.427577448885</v>
          </cell>
        </row>
        <row r="253">
          <cell r="B253" t="str">
            <v>SS325</v>
          </cell>
          <cell r="M253">
            <v>2056.8542956587689</v>
          </cell>
          <cell r="Q253">
            <v>1972.7986337567672</v>
          </cell>
          <cell r="U253">
            <v>1764.7748311570153</v>
          </cell>
          <cell r="Y253">
            <v>2159.1645839261573</v>
          </cell>
        </row>
        <row r="254">
          <cell r="B254" t="str">
            <v>SS326</v>
          </cell>
          <cell r="M254">
            <v>1944.2468311201881</v>
          </cell>
          <cell r="Q254">
            <v>2027.3317701950832</v>
          </cell>
          <cell r="U254">
            <v>1578.8357665289207</v>
          </cell>
          <cell r="Y254">
            <v>1964.9673980429636</v>
          </cell>
        </row>
        <row r="255">
          <cell r="B255" t="str">
            <v>SS327</v>
          </cell>
          <cell r="M255">
            <v>2118.0157685651279</v>
          </cell>
          <cell r="Q255">
            <v>1614.4706350860272</v>
          </cell>
          <cell r="U255">
            <v>1879.2455961007258</v>
          </cell>
          <cell r="Y255">
            <v>1551.0007499730227</v>
          </cell>
        </row>
        <row r="256">
          <cell r="B256" t="str">
            <v>SS328</v>
          </cell>
          <cell r="M256">
            <v>2020.1844287734789</v>
          </cell>
          <cell r="Q256">
            <v>2000.8399506532046</v>
          </cell>
          <cell r="U256">
            <v>1481.1622371403716</v>
          </cell>
          <cell r="Y256">
            <v>1980.5204261779779</v>
          </cell>
        </row>
        <row r="257">
          <cell r="B257" t="str">
            <v>SS329</v>
          </cell>
          <cell r="M257">
            <v>2100.7009296492861</v>
          </cell>
          <cell r="Q257">
            <v>1949.6729535577997</v>
          </cell>
          <cell r="U257">
            <v>1902.8549271833319</v>
          </cell>
          <cell r="Y257">
            <v>1616.5018646390276</v>
          </cell>
        </row>
        <row r="258">
          <cell r="B258" t="str">
            <v>SS330</v>
          </cell>
          <cell r="M258">
            <v>2075.2582714303903</v>
          </cell>
          <cell r="Q258">
            <v>1823.0498204365749</v>
          </cell>
          <cell r="U258">
            <v>1912.7990614557502</v>
          </cell>
          <cell r="Y258">
            <v>1590.8485374691661</v>
          </cell>
        </row>
        <row r="259">
          <cell r="B259" t="str">
            <v>SS331</v>
          </cell>
          <cell r="M259">
            <v>2206.4209738659929</v>
          </cell>
          <cell r="Q259">
            <v>1972.4087631483324</v>
          </cell>
          <cell r="U259">
            <v>2804.8407382699752</v>
          </cell>
          <cell r="Y259">
            <v>2087.0176633826154</v>
          </cell>
        </row>
        <row r="260">
          <cell r="B260" t="str">
            <v>SS332</v>
          </cell>
          <cell r="M260">
            <v>2280.4508439696433</v>
          </cell>
          <cell r="Q260">
            <v>2434.2477216471516</v>
          </cell>
          <cell r="U260">
            <v>2425.9762593951746</v>
          </cell>
          <cell r="Y260">
            <v>2197.9558024048147</v>
          </cell>
        </row>
        <row r="261">
          <cell r="B261" t="str">
            <v>SS333</v>
          </cell>
          <cell r="M261">
            <v>2485.1095467115074</v>
          </cell>
          <cell r="Q261">
            <v>1963.7730723924253</v>
          </cell>
          <cell r="U261">
            <v>2234.612061405624</v>
          </cell>
          <cell r="Y261">
            <v>2175.9284910783399</v>
          </cell>
        </row>
        <row r="262">
          <cell r="B262" t="str">
            <v>SS334</v>
          </cell>
          <cell r="M262">
            <v>1964.6610316068143</v>
          </cell>
          <cell r="Q262">
            <v>1911.4133460905816</v>
          </cell>
          <cell r="U262">
            <v>2202.9106871718614</v>
          </cell>
          <cell r="Y262">
            <v>2364.940378769913</v>
          </cell>
        </row>
        <row r="263">
          <cell r="B263" t="str">
            <v>SS335</v>
          </cell>
          <cell r="M263">
            <v>2021.0886355737096</v>
          </cell>
          <cell r="Q263">
            <v>2108.6638396624971</v>
          </cell>
          <cell r="U263">
            <v>2627.5407231865292</v>
          </cell>
          <cell r="Y263">
            <v>2407.5214626580764</v>
          </cell>
        </row>
        <row r="264">
          <cell r="B264" t="str">
            <v>SS336</v>
          </cell>
          <cell r="M264">
            <v>2643.9342636143065</v>
          </cell>
          <cell r="Q264">
            <v>1913.4491443717018</v>
          </cell>
          <cell r="U264">
            <v>2102.5952635358626</v>
          </cell>
          <cell r="Y264">
            <v>2155.0805198006879</v>
          </cell>
        </row>
        <row r="265">
          <cell r="B265" t="str">
            <v>SS337</v>
          </cell>
          <cell r="M265">
            <v>5489.4062863106828</v>
          </cell>
          <cell r="Q265">
            <v>5085.4963425952201</v>
          </cell>
          <cell r="U265">
            <v>4420.1939612869783</v>
          </cell>
          <cell r="Y265">
            <v>4430.2102044017829</v>
          </cell>
        </row>
        <row r="266">
          <cell r="B266" t="str">
            <v>SS338</v>
          </cell>
          <cell r="M266">
            <v>3941.4159771831542</v>
          </cell>
          <cell r="Q266">
            <v>5014.179490060732</v>
          </cell>
          <cell r="U266">
            <v>4772.0102498266588</v>
          </cell>
          <cell r="Y266">
            <v>5779.5092906363252</v>
          </cell>
        </row>
        <row r="267">
          <cell r="B267" t="str">
            <v>SS342</v>
          </cell>
          <cell r="M267">
            <v>0</v>
          </cell>
          <cell r="Q267">
            <v>0</v>
          </cell>
          <cell r="U267">
            <v>0</v>
          </cell>
          <cell r="Y267">
            <v>0</v>
          </cell>
        </row>
        <row r="268">
          <cell r="B268" t="str">
            <v>SS343</v>
          </cell>
          <cell r="M268">
            <v>0</v>
          </cell>
          <cell r="Q268">
            <v>0</v>
          </cell>
          <cell r="U268">
            <v>0</v>
          </cell>
          <cell r="Y268">
            <v>0</v>
          </cell>
        </row>
        <row r="269">
          <cell r="B269" t="str">
            <v>SS344</v>
          </cell>
          <cell r="M269">
            <v>224.0853989365844</v>
          </cell>
          <cell r="Q269">
            <v>190.05002956296255</v>
          </cell>
          <cell r="U269">
            <v>209.8134706296793</v>
          </cell>
          <cell r="Y269">
            <v>203.87730642916696</v>
          </cell>
        </row>
        <row r="270">
          <cell r="B270" t="str">
            <v>SS345</v>
          </cell>
          <cell r="M270">
            <v>249.25159968658818</v>
          </cell>
          <cell r="Q270">
            <v>217.51748345298125</v>
          </cell>
          <cell r="U270">
            <v>191.20483171214926</v>
          </cell>
          <cell r="Y270">
            <v>213.76895023007842</v>
          </cell>
        </row>
        <row r="271">
          <cell r="B271" t="str">
            <v>SS346</v>
          </cell>
          <cell r="M271">
            <v>258.54484073115395</v>
          </cell>
          <cell r="Q271">
            <v>203.66581856093015</v>
          </cell>
          <cell r="U271">
            <v>221.96988887649184</v>
          </cell>
          <cell r="Y271">
            <v>193.93729766707779</v>
          </cell>
        </row>
        <row r="272">
          <cell r="B272" t="str">
            <v>SS349</v>
          </cell>
          <cell r="M272">
            <v>0</v>
          </cell>
          <cell r="Q272">
            <v>0</v>
          </cell>
          <cell r="U272">
            <v>0</v>
          </cell>
          <cell r="Y272">
            <v>0</v>
          </cell>
        </row>
        <row r="273">
          <cell r="B273" t="str">
            <v>SS359</v>
          </cell>
          <cell r="M273">
            <v>2307.4380488943279</v>
          </cell>
          <cell r="Q273">
            <v>2383.6867325089688</v>
          </cell>
          <cell r="U273">
            <v>2441.22880906203</v>
          </cell>
          <cell r="Y273">
            <v>2092.9872699232706</v>
          </cell>
        </row>
        <row r="274">
          <cell r="B274" t="str">
            <v>SS360</v>
          </cell>
          <cell r="M274">
            <v>2072.8153107726657</v>
          </cell>
          <cell r="Q274">
            <v>2278.3002116422517</v>
          </cell>
          <cell r="U274">
            <v>2141.804142680493</v>
          </cell>
          <cell r="Y274">
            <v>1849.90364052737</v>
          </cell>
        </row>
        <row r="275">
          <cell r="B275" t="str">
            <v>SS361</v>
          </cell>
          <cell r="M275">
            <v>2059.790408624192</v>
          </cell>
          <cell r="Q275">
            <v>1247.0923417076283</v>
          </cell>
          <cell r="U275">
            <v>919.95200952630285</v>
          </cell>
          <cell r="Y275">
            <v>978.7122801551883</v>
          </cell>
        </row>
        <row r="276">
          <cell r="B276" t="str">
            <v>SS362</v>
          </cell>
          <cell r="M276">
            <v>2179.6975956035403</v>
          </cell>
          <cell r="Q276">
            <v>843.98601794061642</v>
          </cell>
          <cell r="U276">
            <v>1061.7212012336961</v>
          </cell>
          <cell r="Y276">
            <v>1317.0113940415131</v>
          </cell>
        </row>
        <row r="277">
          <cell r="B277" t="str">
            <v>SS365</v>
          </cell>
          <cell r="M277">
            <v>2331.6968031989654</v>
          </cell>
          <cell r="Q277">
            <v>2211.6643764565033</v>
          </cell>
          <cell r="U277">
            <v>2293.3715748512177</v>
          </cell>
          <cell r="Y277">
            <v>2152.2790315520911</v>
          </cell>
        </row>
        <row r="278">
          <cell r="B278" t="str">
            <v>SS366</v>
          </cell>
          <cell r="M278">
            <v>1783.4155322526408</v>
          </cell>
          <cell r="Q278">
            <v>2016.6407158108259</v>
          </cell>
          <cell r="U278">
            <v>2343.4616881228471</v>
          </cell>
          <cell r="Y278">
            <v>2179.2691045509987</v>
          </cell>
        </row>
        <row r="279">
          <cell r="B279" t="str">
            <v>SS367</v>
          </cell>
          <cell r="M279">
            <v>2249.1196675365027</v>
          </cell>
          <cell r="Q279">
            <v>1199.0644782279378</v>
          </cell>
          <cell r="U279">
            <v>1318.1561603958489</v>
          </cell>
          <cell r="Y279">
            <v>1418.6522597123567</v>
          </cell>
        </row>
        <row r="280">
          <cell r="B280" t="str">
            <v>SS368</v>
          </cell>
          <cell r="M280">
            <v>2263.0364933789024</v>
          </cell>
          <cell r="Q280">
            <v>1215.1696862554363</v>
          </cell>
          <cell r="U280">
            <v>1396.2713597783575</v>
          </cell>
          <cell r="Y280">
            <v>1625.0566250068289</v>
          </cell>
        </row>
        <row r="281">
          <cell r="B281" t="str">
            <v>SS369</v>
          </cell>
          <cell r="M281">
            <v>4813.93791503173</v>
          </cell>
          <cell r="Q281">
            <v>5252.1682539395588</v>
          </cell>
          <cell r="U281">
            <v>4317.3682764125297</v>
          </cell>
          <cell r="Y281">
            <v>4493.4455548961996</v>
          </cell>
        </row>
        <row r="282">
          <cell r="B282" t="str">
            <v>SS370</v>
          </cell>
          <cell r="M282">
            <v>5250.7731703254558</v>
          </cell>
          <cell r="Q282">
            <v>3452.2223935160464</v>
          </cell>
          <cell r="U282">
            <v>3435.4920242577155</v>
          </cell>
          <cell r="Y282">
            <v>4297.4394681971262</v>
          </cell>
        </row>
        <row r="283">
          <cell r="B283" t="str">
            <v>SS400</v>
          </cell>
        </row>
        <row r="284">
          <cell r="B284" t="str">
            <v>SS401</v>
          </cell>
        </row>
        <row r="285">
          <cell r="B285" t="str">
            <v>SS402</v>
          </cell>
        </row>
        <row r="286">
          <cell r="B286" t="str">
            <v>SS403</v>
          </cell>
        </row>
        <row r="287">
          <cell r="B287" t="str">
            <v>SS404</v>
          </cell>
        </row>
        <row r="288">
          <cell r="B288" t="str">
            <v>SS405</v>
          </cell>
        </row>
        <row r="289">
          <cell r="B289" t="str">
            <v>SS406</v>
          </cell>
        </row>
        <row r="290">
          <cell r="B290" t="str">
            <v>SS407</v>
          </cell>
        </row>
        <row r="291">
          <cell r="B291" t="str">
            <v>SS408</v>
          </cell>
        </row>
        <row r="292">
          <cell r="B292" t="str">
            <v>SS410</v>
          </cell>
        </row>
        <row r="293">
          <cell r="B293" t="str">
            <v>SS411</v>
          </cell>
        </row>
        <row r="294">
          <cell r="B294" t="str">
            <v>SS413</v>
          </cell>
        </row>
        <row r="295">
          <cell r="B295" t="str">
            <v>SS414</v>
          </cell>
        </row>
        <row r="296">
          <cell r="B296" t="str">
            <v>SS416</v>
          </cell>
        </row>
        <row r="297">
          <cell r="B297" t="str">
            <v>SS421</v>
          </cell>
        </row>
        <row r="298">
          <cell r="B298" t="str">
            <v>SS425</v>
          </cell>
        </row>
        <row r="299">
          <cell r="B299" t="str">
            <v>SS426</v>
          </cell>
        </row>
        <row r="300">
          <cell r="B300" t="str">
            <v>SS427</v>
          </cell>
        </row>
        <row r="301">
          <cell r="B301" t="str">
            <v>SS428</v>
          </cell>
        </row>
        <row r="302">
          <cell r="B302" t="str">
            <v>SS429</v>
          </cell>
        </row>
        <row r="303">
          <cell r="B303" t="str">
            <v>SS430</v>
          </cell>
        </row>
        <row r="304">
          <cell r="B304" t="str">
            <v>SS431</v>
          </cell>
        </row>
        <row r="305">
          <cell r="B305" t="str">
            <v>SS432</v>
          </cell>
        </row>
        <row r="306">
          <cell r="B306" t="str">
            <v>SS433</v>
          </cell>
        </row>
        <row r="307">
          <cell r="B307" t="str">
            <v>SS434</v>
          </cell>
        </row>
        <row r="308">
          <cell r="B308" t="str">
            <v>SS435</v>
          </cell>
        </row>
        <row r="309">
          <cell r="B309" t="str">
            <v>SS436</v>
          </cell>
        </row>
        <row r="310">
          <cell r="B310" t="str">
            <v>SS437</v>
          </cell>
        </row>
        <row r="311">
          <cell r="B311" t="str">
            <v>SS438</v>
          </cell>
        </row>
        <row r="312">
          <cell r="B312" t="str">
            <v>SS441</v>
          </cell>
        </row>
        <row r="313">
          <cell r="B313" t="str">
            <v>SS442</v>
          </cell>
        </row>
        <row r="314">
          <cell r="B314" t="str">
            <v>SS443</v>
          </cell>
        </row>
        <row r="315">
          <cell r="B315" t="str">
            <v>SS444</v>
          </cell>
        </row>
        <row r="316">
          <cell r="B316" t="str">
            <v>SS445</v>
          </cell>
        </row>
        <row r="317">
          <cell r="B317" t="str">
            <v>SS446</v>
          </cell>
        </row>
        <row r="318">
          <cell r="B318" t="str">
            <v>SS449</v>
          </cell>
        </row>
        <row r="319">
          <cell r="B319" t="str">
            <v>SS459</v>
          </cell>
        </row>
        <row r="320">
          <cell r="B320" t="str">
            <v>SS460</v>
          </cell>
        </row>
        <row r="321">
          <cell r="B321" t="str">
            <v>SS461</v>
          </cell>
        </row>
        <row r="322">
          <cell r="B322" t="str">
            <v>SS462</v>
          </cell>
        </row>
        <row r="323">
          <cell r="B323" t="str">
            <v>SS463</v>
          </cell>
        </row>
        <row r="324">
          <cell r="B324" t="str">
            <v>SS465</v>
          </cell>
        </row>
        <row r="325">
          <cell r="B325" t="str">
            <v>SS466</v>
          </cell>
        </row>
        <row r="326">
          <cell r="B326" t="str">
            <v>SS467</v>
          </cell>
        </row>
        <row r="327">
          <cell r="B327" t="str">
            <v>SS468</v>
          </cell>
        </row>
        <row r="328">
          <cell r="B328" t="str">
            <v>SS469</v>
          </cell>
        </row>
        <row r="329">
          <cell r="B329" t="str">
            <v>SS470</v>
          </cell>
        </row>
        <row r="330">
          <cell r="B330" t="str">
            <v>SS139</v>
          </cell>
          <cell r="M330">
            <v>3567.0205287376143</v>
          </cell>
          <cell r="Q330">
            <v>2513.7651224457854</v>
          </cell>
          <cell r="U330">
            <v>3217.3137497328094</v>
          </cell>
          <cell r="Y330">
            <v>3055.9283555165362</v>
          </cell>
        </row>
        <row r="331">
          <cell r="B331" t="str">
            <v>SS140</v>
          </cell>
          <cell r="M331">
            <v>2992.3093189291553</v>
          </cell>
          <cell r="Q331">
            <v>2555.725994462342</v>
          </cell>
          <cell r="U331">
            <v>2585.7993035847458</v>
          </cell>
          <cell r="Y331">
            <v>2943.6141058438234</v>
          </cell>
        </row>
        <row r="332">
          <cell r="B332" t="str">
            <v>SS147</v>
          </cell>
          <cell r="M332">
            <v>297.56504276174167</v>
          </cell>
          <cell r="Q332">
            <v>307.88577766380109</v>
          </cell>
          <cell r="U332">
            <v>287.40186081261106</v>
          </cell>
          <cell r="Y332">
            <v>335.5956422585698</v>
          </cell>
        </row>
        <row r="333">
          <cell r="B333" t="str">
            <v>SS148</v>
          </cell>
          <cell r="M333">
            <v>241.85346119282866</v>
          </cell>
          <cell r="Q333">
            <v>285.19221448617452</v>
          </cell>
          <cell r="U333">
            <v>211.60088077643425</v>
          </cell>
          <cell r="Y333">
            <v>258.41202715166753</v>
          </cell>
        </row>
        <row r="334">
          <cell r="B334" t="str">
            <v>SS171</v>
          </cell>
          <cell r="M334">
            <v>3660.3536942716855</v>
          </cell>
          <cell r="Q334">
            <v>3493.3192344501963</v>
          </cell>
          <cell r="U334">
            <v>3443.2171734877438</v>
          </cell>
          <cell r="Y334">
            <v>3692.8692437487507</v>
          </cell>
        </row>
        <row r="335">
          <cell r="B335" t="str">
            <v>SS172</v>
          </cell>
          <cell r="M335">
            <v>2830.2203918172372</v>
          </cell>
          <cell r="Q335">
            <v>3175.1228236744737</v>
          </cell>
          <cell r="U335">
            <v>2687.5078838957825</v>
          </cell>
          <cell r="Y335">
            <v>2570.3268499481319</v>
          </cell>
        </row>
        <row r="336">
          <cell r="B336" t="str">
            <v>SS239</v>
          </cell>
          <cell r="M336">
            <v>3065.331086903037</v>
          </cell>
          <cell r="Q336">
            <v>3813.6753257885534</v>
          </cell>
          <cell r="U336">
            <v>4120.8535063608251</v>
          </cell>
          <cell r="Y336">
            <v>4085.3109015327218</v>
          </cell>
        </row>
        <row r="337">
          <cell r="B337" t="str">
            <v>SS240</v>
          </cell>
          <cell r="M337">
            <v>2906.4217027635127</v>
          </cell>
          <cell r="Q337">
            <v>2583.3078864479689</v>
          </cell>
          <cell r="U337">
            <v>2343.6232755891033</v>
          </cell>
          <cell r="Y337">
            <v>2397.054881915135</v>
          </cell>
        </row>
        <row r="338">
          <cell r="B338" t="str">
            <v>SS247</v>
          </cell>
          <cell r="M338">
            <v>281.41881661207736</v>
          </cell>
          <cell r="Q338">
            <v>314.36190839331618</v>
          </cell>
          <cell r="U338">
            <v>252.05954150688754</v>
          </cell>
          <cell r="Y338">
            <v>291.07928476658918</v>
          </cell>
        </row>
        <row r="339">
          <cell r="B339" t="str">
            <v>SS248</v>
          </cell>
          <cell r="M339">
            <v>297.34749817887308</v>
          </cell>
          <cell r="Q339">
            <v>277.74983241249805</v>
          </cell>
          <cell r="U339">
            <v>274.18411057533518</v>
          </cell>
          <cell r="Y339">
            <v>236.37485573341536</v>
          </cell>
        </row>
        <row r="340">
          <cell r="B340" t="str">
            <v>SS271</v>
          </cell>
          <cell r="M340">
            <v>4560.6968653331587</v>
          </cell>
          <cell r="Q340">
            <v>3776.7337726487076</v>
          </cell>
          <cell r="U340">
            <v>4065.9174960990194</v>
          </cell>
          <cell r="Y340">
            <v>4486.9405443556143</v>
          </cell>
        </row>
        <row r="341">
          <cell r="B341" t="str">
            <v>SS272</v>
          </cell>
          <cell r="M341">
            <v>3032.6033999559086</v>
          </cell>
          <cell r="Q341">
            <v>2921.3911011317578</v>
          </cell>
          <cell r="U341">
            <v>3040.6751085692558</v>
          </cell>
          <cell r="Y341">
            <v>3695.1015510653074</v>
          </cell>
        </row>
        <row r="342">
          <cell r="B342" t="str">
            <v>SS339</v>
          </cell>
          <cell r="M342">
            <v>5690.0048016371838</v>
          </cell>
          <cell r="Q342">
            <v>4698.0354135301304</v>
          </cell>
          <cell r="U342">
            <v>5447.0256619798392</v>
          </cell>
          <cell r="Y342">
            <v>4121.9443772150125</v>
          </cell>
        </row>
        <row r="343">
          <cell r="B343" t="str">
            <v>SS340</v>
          </cell>
          <cell r="M343">
            <v>3884.2555592565568</v>
          </cell>
          <cell r="Q343">
            <v>3562.3492469526645</v>
          </cell>
          <cell r="U343">
            <v>3181.1930270189914</v>
          </cell>
          <cell r="Y343">
            <v>2817.0926022029571</v>
          </cell>
        </row>
        <row r="344">
          <cell r="B344" t="str">
            <v>SS347</v>
          </cell>
          <cell r="M344">
            <v>289.3831721362717</v>
          </cell>
          <cell r="Q344">
            <v>245.37910990232891</v>
          </cell>
          <cell r="U344">
            <v>235.74217007930199</v>
          </cell>
          <cell r="Y344">
            <v>308.74858401842448</v>
          </cell>
        </row>
        <row r="345">
          <cell r="B345" t="str">
            <v>SS348</v>
          </cell>
          <cell r="M345">
            <v>325.34008602308813</v>
          </cell>
          <cell r="Q345">
            <v>271.08985295124751</v>
          </cell>
          <cell r="U345">
            <v>362.35903942435004</v>
          </cell>
          <cell r="Y345">
            <v>355.63228806755438</v>
          </cell>
        </row>
        <row r="346">
          <cell r="B346" t="str">
            <v>SS371</v>
          </cell>
          <cell r="M346">
            <v>3027.46548274935</v>
          </cell>
          <cell r="Q346">
            <v>3352.4848637465184</v>
          </cell>
          <cell r="U346">
            <v>3525.9173082832431</v>
          </cell>
          <cell r="Y346">
            <v>3549.7508139850079</v>
          </cell>
        </row>
        <row r="347">
          <cell r="B347" t="str">
            <v>SS372</v>
          </cell>
          <cell r="M347">
            <v>4344.7069475631779</v>
          </cell>
          <cell r="Q347">
            <v>2911.8383685257841</v>
          </cell>
          <cell r="U347">
            <v>3263.0380410427806</v>
          </cell>
          <cell r="Y347">
            <v>3212.7009164867704</v>
          </cell>
        </row>
        <row r="348">
          <cell r="B348" t="str">
            <v>SS439</v>
          </cell>
        </row>
        <row r="349">
          <cell r="B349" t="str">
            <v>SS440</v>
          </cell>
        </row>
        <row r="350">
          <cell r="B350" t="str">
            <v>SS447</v>
          </cell>
        </row>
        <row r="351">
          <cell r="B351" t="str">
            <v>SS448</v>
          </cell>
        </row>
        <row r="352">
          <cell r="B352" t="str">
            <v>SS471</v>
          </cell>
        </row>
        <row r="353">
          <cell r="B353" t="str">
            <v>SS472</v>
          </cell>
        </row>
        <row r="354">
          <cell r="B354" t="str">
            <v>SS900</v>
          </cell>
          <cell r="M354">
            <v>1156.4890771137054</v>
          </cell>
          <cell r="Q354">
            <v>916.41188714909708</v>
          </cell>
          <cell r="U354">
            <v>978.94894712027576</v>
          </cell>
          <cell r="Y354">
            <v>1162.3677189947628</v>
          </cell>
        </row>
        <row r="355">
          <cell r="B355" t="str">
            <v>SS901</v>
          </cell>
          <cell r="M355">
            <v>0</v>
          </cell>
          <cell r="Q355">
            <v>0</v>
          </cell>
          <cell r="U355">
            <v>0</v>
          </cell>
          <cell r="Y355">
            <v>0</v>
          </cell>
        </row>
        <row r="356">
          <cell r="B356" t="str">
            <v>SS902</v>
          </cell>
          <cell r="M356">
            <v>1922.1578938566963</v>
          </cell>
          <cell r="Q356">
            <v>1476.9723309881124</v>
          </cell>
          <cell r="U356">
            <v>1898.3732444347265</v>
          </cell>
          <cell r="Y356">
            <v>1783.6286121622388</v>
          </cell>
        </row>
        <row r="357">
          <cell r="B357" t="str">
            <v>SS903</v>
          </cell>
          <cell r="M357">
            <v>2898.6473742861322</v>
          </cell>
          <cell r="Q357">
            <v>2851.3097510866578</v>
          </cell>
          <cell r="U357">
            <v>3204.2778707941197</v>
          </cell>
          <cell r="Y357">
            <v>3280.7668716319095</v>
          </cell>
        </row>
        <row r="358">
          <cell r="B358" t="str">
            <v>SS910</v>
          </cell>
          <cell r="M358">
            <v>155.73921780793546</v>
          </cell>
          <cell r="Q358">
            <v>130.84945610870841</v>
          </cell>
          <cell r="U358">
            <v>150.51059825956762</v>
          </cell>
          <cell r="Y358">
            <v>123.13591833007304</v>
          </cell>
        </row>
        <row r="359">
          <cell r="B359" t="str">
            <v>SS911</v>
          </cell>
          <cell r="M359">
            <v>0</v>
          </cell>
          <cell r="Q359">
            <v>0</v>
          </cell>
          <cell r="U359">
            <v>0</v>
          </cell>
          <cell r="Y359">
            <v>0</v>
          </cell>
        </row>
        <row r="360">
          <cell r="B360" t="str">
            <v>SS065</v>
          </cell>
          <cell r="M360">
            <v>242.32158665277166</v>
          </cell>
          <cell r="Q360">
            <v>239.20714566560684</v>
          </cell>
          <cell r="U360">
            <v>224.66406975659146</v>
          </cell>
          <cell r="Y360">
            <v>189.9592351742526</v>
          </cell>
        </row>
        <row r="361">
          <cell r="B361" t="str">
            <v>SS066</v>
          </cell>
          <cell r="M361">
            <v>243.80159456317989</v>
          </cell>
          <cell r="Q361">
            <v>202.90960055021617</v>
          </cell>
          <cell r="U361">
            <v>249.5163474481048</v>
          </cell>
          <cell r="Y361">
            <v>183.37553586646786</v>
          </cell>
        </row>
        <row r="362">
          <cell r="B362" t="str">
            <v>SS067</v>
          </cell>
          <cell r="M362">
            <v>238.09694092235219</v>
          </cell>
          <cell r="Q362">
            <v>239.06771353642114</v>
          </cell>
          <cell r="U362">
            <v>210.80423984557234</v>
          </cell>
          <cell r="Y362">
            <v>222.84618337208371</v>
          </cell>
        </row>
        <row r="363">
          <cell r="B363" t="str">
            <v>SS068</v>
          </cell>
          <cell r="M363">
            <v>204.29625416944504</v>
          </cell>
          <cell r="Q363">
            <v>199.60520071009387</v>
          </cell>
          <cell r="U363">
            <v>186.46118367848624</v>
          </cell>
          <cell r="Y363">
            <v>215.47533815196329</v>
          </cell>
        </row>
        <row r="364">
          <cell r="B364" t="str">
            <v>SS071</v>
          </cell>
          <cell r="M364">
            <v>5115.4791283622326</v>
          </cell>
          <cell r="Q364">
            <v>4472.0940400016752</v>
          </cell>
          <cell r="U364">
            <v>4538.5992850713455</v>
          </cell>
          <cell r="Y364">
            <v>4635.5697641146444</v>
          </cell>
        </row>
        <row r="365">
          <cell r="B365" t="str">
            <v>SS073</v>
          </cell>
          <cell r="M365">
            <v>5672.6837572862514</v>
          </cell>
          <cell r="Q365">
            <v>4522.7201559946789</v>
          </cell>
          <cell r="U365">
            <v>5627.4934230957842</v>
          </cell>
          <cell r="Y365">
            <v>5304.8157330844624</v>
          </cell>
        </row>
        <row r="366">
          <cell r="B366" t="str">
            <v>SS075</v>
          </cell>
          <cell r="M366">
            <v>208.09525227480637</v>
          </cell>
          <cell r="Q366">
            <v>171.09188601763586</v>
          </cell>
          <cell r="U366">
            <v>232.08469066588344</v>
          </cell>
          <cell r="Y366">
            <v>187.24354739631372</v>
          </cell>
        </row>
        <row r="367">
          <cell r="B367" t="str">
            <v>SS076</v>
          </cell>
          <cell r="M367">
            <v>230.39466038918931</v>
          </cell>
          <cell r="Q367">
            <v>223.69997035521294</v>
          </cell>
          <cell r="U367">
            <v>242.79122878410044</v>
          </cell>
          <cell r="Y367">
            <v>250.75011207215226</v>
          </cell>
        </row>
        <row r="368">
          <cell r="B368" t="str">
            <v>SS077</v>
          </cell>
          <cell r="M368">
            <v>239.22820786289293</v>
          </cell>
          <cell r="Q368">
            <v>194.13146650787587</v>
          </cell>
          <cell r="U368">
            <v>191.9455856563834</v>
          </cell>
          <cell r="Y368">
            <v>238.89758610995392</v>
          </cell>
        </row>
        <row r="369">
          <cell r="B369" t="str">
            <v>SS078</v>
          </cell>
          <cell r="M369">
            <v>228.52835912773949</v>
          </cell>
          <cell r="Q369">
            <v>212.53088161091651</v>
          </cell>
          <cell r="U369">
            <v>239.11933676732437</v>
          </cell>
          <cell r="Y369">
            <v>254.85057641490545</v>
          </cell>
        </row>
        <row r="370">
          <cell r="B370" t="str">
            <v>SS081</v>
          </cell>
        </row>
        <row r="371">
          <cell r="B371" t="str">
            <v>SS082</v>
          </cell>
        </row>
        <row r="372">
          <cell r="B372" t="str">
            <v>SS085</v>
          </cell>
        </row>
        <row r="373">
          <cell r="B373" t="str">
            <v>SS086</v>
          </cell>
        </row>
        <row r="374">
          <cell r="B374" t="str">
            <v>SS087</v>
          </cell>
        </row>
        <row r="375">
          <cell r="B375" t="str">
            <v>SS088</v>
          </cell>
        </row>
        <row r="376">
          <cell r="B376" t="str">
            <v>SS600</v>
          </cell>
          <cell r="M376">
            <v>1514.5701086740651</v>
          </cell>
          <cell r="Q376">
            <v>1443.452487429412</v>
          </cell>
          <cell r="U376">
            <v>1246.5401510259776</v>
          </cell>
          <cell r="Y376">
            <v>1469.1316665055524</v>
          </cell>
        </row>
        <row r="377">
          <cell r="B377" t="str">
            <v>SS602</v>
          </cell>
          <cell r="M377">
            <v>0</v>
          </cell>
          <cell r="Q377">
            <v>0</v>
          </cell>
          <cell r="U377">
            <v>0</v>
          </cell>
          <cell r="Y377">
            <v>0</v>
          </cell>
        </row>
        <row r="378">
          <cell r="B378" t="str">
            <v>SS608</v>
          </cell>
          <cell r="M378">
            <v>0</v>
          </cell>
          <cell r="Q378">
            <v>0</v>
          </cell>
          <cell r="U378">
            <v>0</v>
          </cell>
          <cell r="Y378">
            <v>0</v>
          </cell>
        </row>
        <row r="379">
          <cell r="B379" t="str">
            <v>SS610</v>
          </cell>
          <cell r="M379">
            <v>1537.77841766492</v>
          </cell>
          <cell r="Q379">
            <v>1165.6318904144368</v>
          </cell>
          <cell r="U379">
            <v>1429.0753790590602</v>
          </cell>
          <cell r="Y379">
            <v>1573.9440952580289</v>
          </cell>
        </row>
        <row r="380">
          <cell r="B380" t="str">
            <v>SS611</v>
          </cell>
          <cell r="M380">
            <v>0</v>
          </cell>
          <cell r="Q380">
            <v>0</v>
          </cell>
          <cell r="U380">
            <v>0</v>
          </cell>
          <cell r="Y380">
            <v>0</v>
          </cell>
        </row>
        <row r="381">
          <cell r="B381" t="str">
            <v>SS612</v>
          </cell>
          <cell r="M381">
            <v>0</v>
          </cell>
          <cell r="Q381">
            <v>0</v>
          </cell>
          <cell r="U381">
            <v>0</v>
          </cell>
          <cell r="Y381">
            <v>0</v>
          </cell>
        </row>
        <row r="382">
          <cell r="B382" t="str">
            <v>SS614</v>
          </cell>
          <cell r="M382">
            <v>1279.2783522754748</v>
          </cell>
          <cell r="Q382">
            <v>933.84783212484695</v>
          </cell>
          <cell r="U382">
            <v>1132.738870069498</v>
          </cell>
          <cell r="Y382">
            <v>1217.3009559269883</v>
          </cell>
        </row>
        <row r="383">
          <cell r="B383" t="str">
            <v>SS618</v>
          </cell>
          <cell r="M383">
            <v>4631.6654771532822</v>
          </cell>
          <cell r="Q383">
            <v>4060.8956975157703</v>
          </cell>
          <cell r="U383">
            <v>5525.069055693064</v>
          </cell>
          <cell r="Y383">
            <v>5849.7102392502429</v>
          </cell>
        </row>
        <row r="384">
          <cell r="B384" t="str">
            <v>SS619</v>
          </cell>
          <cell r="M384">
            <v>4473.7832200921712</v>
          </cell>
          <cell r="Q384">
            <v>5436.7986225056748</v>
          </cell>
          <cell r="U384">
            <v>5097.3209635956719</v>
          </cell>
          <cell r="Y384">
            <v>5607.6877308038875</v>
          </cell>
        </row>
        <row r="385">
          <cell r="B385" t="str">
            <v>SS620</v>
          </cell>
          <cell r="M385">
            <v>25814.559289745303</v>
          </cell>
          <cell r="Q385">
            <v>17799.894681857535</v>
          </cell>
          <cell r="U385">
            <v>23449.376502005674</v>
          </cell>
          <cell r="Y385">
            <v>17692.184186580544</v>
          </cell>
        </row>
        <row r="386">
          <cell r="B386" t="str">
            <v>SS621</v>
          </cell>
          <cell r="M386">
            <v>16142.83648070691</v>
          </cell>
          <cell r="Q386">
            <v>15157.06770782612</v>
          </cell>
          <cell r="U386">
            <v>20098.797203290505</v>
          </cell>
          <cell r="Y386">
            <v>21182.92587059881</v>
          </cell>
        </row>
        <row r="387">
          <cell r="B387" t="str">
            <v>SS625</v>
          </cell>
          <cell r="M387">
            <v>1513.5706607162369</v>
          </cell>
          <cell r="Q387">
            <v>2111.6801727325765</v>
          </cell>
          <cell r="U387">
            <v>1648.1267144208275</v>
          </cell>
          <cell r="Y387">
            <v>1566.8913256464907</v>
          </cell>
        </row>
        <row r="388">
          <cell r="B388" t="str">
            <v>SS626</v>
          </cell>
          <cell r="M388">
            <v>2151.120844263532</v>
          </cell>
          <cell r="Q388">
            <v>1556.046335389768</v>
          </cell>
          <cell r="U388">
            <v>1809.8791672679763</v>
          </cell>
          <cell r="Y388">
            <v>1979.2946730658743</v>
          </cell>
        </row>
        <row r="389">
          <cell r="B389" t="str">
            <v>SS627</v>
          </cell>
          <cell r="M389">
            <v>2063.3957787223076</v>
          </cell>
          <cell r="Q389">
            <v>1429.0831631924166</v>
          </cell>
          <cell r="U389">
            <v>1486.9977341005374</v>
          </cell>
          <cell r="Y389">
            <v>1829.1713235741954</v>
          </cell>
        </row>
        <row r="390">
          <cell r="B390" t="str">
            <v>SS628</v>
          </cell>
          <cell r="M390">
            <v>1893.8966375603038</v>
          </cell>
          <cell r="Q390">
            <v>1864.6973350292742</v>
          </cell>
          <cell r="U390">
            <v>2151.9403017568911</v>
          </cell>
          <cell r="Y390">
            <v>1685.5908329862116</v>
          </cell>
        </row>
        <row r="391">
          <cell r="B391" t="str">
            <v>SS629</v>
          </cell>
          <cell r="M391">
            <v>1652.5120603899309</v>
          </cell>
          <cell r="Q391">
            <v>1991.9693168206593</v>
          </cell>
          <cell r="U391">
            <v>1596.5435101802263</v>
          </cell>
          <cell r="Y391">
            <v>2199.5405547276691</v>
          </cell>
        </row>
        <row r="392">
          <cell r="B392" t="str">
            <v>SS630</v>
          </cell>
          <cell r="M392">
            <v>1746.1380276555437</v>
          </cell>
          <cell r="Q392">
            <v>1948.2914770033697</v>
          </cell>
          <cell r="U392">
            <v>1610.6546025264124</v>
          </cell>
          <cell r="Y392">
            <v>1757.678571555482</v>
          </cell>
        </row>
        <row r="393">
          <cell r="B393" t="str">
            <v>SS631</v>
          </cell>
          <cell r="M393">
            <v>2385.964077561785</v>
          </cell>
          <cell r="Q393">
            <v>2604.895477350593</v>
          </cell>
          <cell r="U393">
            <v>1945.865337765277</v>
          </cell>
          <cell r="Y393">
            <v>2839.5618839190183</v>
          </cell>
        </row>
        <row r="394">
          <cell r="B394" t="str">
            <v>SS632</v>
          </cell>
          <cell r="M394">
            <v>2460.7370988338107</v>
          </cell>
          <cell r="Q394">
            <v>1934.0192178804241</v>
          </cell>
          <cell r="U394">
            <v>2715.2953794138284</v>
          </cell>
          <cell r="Y394">
            <v>2470.9051791298812</v>
          </cell>
        </row>
        <row r="395">
          <cell r="B395" t="str">
            <v>SS633</v>
          </cell>
          <cell r="M395">
            <v>2212.640053527397</v>
          </cell>
          <cell r="Q395">
            <v>2469.7754413195016</v>
          </cell>
          <cell r="U395">
            <v>2425.5481589223605</v>
          </cell>
          <cell r="Y395">
            <v>2922.2908094277504</v>
          </cell>
        </row>
        <row r="396">
          <cell r="B396" t="str">
            <v>SS634</v>
          </cell>
          <cell r="M396">
            <v>2499.2092698004481</v>
          </cell>
          <cell r="Q396">
            <v>2206.6414000316818</v>
          </cell>
          <cell r="U396">
            <v>2472.5861741835702</v>
          </cell>
          <cell r="Y396">
            <v>2761.846199110732</v>
          </cell>
        </row>
        <row r="397">
          <cell r="B397" t="str">
            <v>SS635</v>
          </cell>
          <cell r="M397">
            <v>2808.8688720802093</v>
          </cell>
          <cell r="Q397">
            <v>2474.722124789776</v>
          </cell>
          <cell r="U397">
            <v>2408.7753507134603</v>
          </cell>
          <cell r="Y397">
            <v>2736.0977483143215</v>
          </cell>
        </row>
        <row r="398">
          <cell r="B398" t="str">
            <v>SS636</v>
          </cell>
          <cell r="M398">
            <v>2042.8214216852673</v>
          </cell>
          <cell r="Q398">
            <v>2237.7635023523399</v>
          </cell>
          <cell r="U398">
            <v>2708.3143425733733</v>
          </cell>
          <cell r="Y398">
            <v>2281.4539855315429</v>
          </cell>
        </row>
        <row r="399">
          <cell r="B399" t="str">
            <v>SS637</v>
          </cell>
          <cell r="M399">
            <v>5352.408466354661</v>
          </cell>
          <cell r="Q399">
            <v>4862.498200977343</v>
          </cell>
          <cell r="U399">
            <v>5245.4293375417137</v>
          </cell>
          <cell r="Y399">
            <v>4857.7810758368896</v>
          </cell>
        </row>
        <row r="400">
          <cell r="B400" t="str">
            <v>SS638</v>
          </cell>
          <cell r="M400">
            <v>5078.8193974490132</v>
          </cell>
          <cell r="Q400">
            <v>5225.1748376273381</v>
          </cell>
          <cell r="U400">
            <v>5249.250828383817</v>
          </cell>
          <cell r="Y400">
            <v>3923.1958000959953</v>
          </cell>
        </row>
        <row r="401">
          <cell r="B401" t="str">
            <v>SS641</v>
          </cell>
          <cell r="M401">
            <v>0</v>
          </cell>
          <cell r="Q401">
            <v>0</v>
          </cell>
          <cell r="U401">
            <v>0</v>
          </cell>
          <cell r="Y401">
            <v>0</v>
          </cell>
        </row>
        <row r="402">
          <cell r="B402" t="str">
            <v>SS643</v>
          </cell>
          <cell r="M402">
            <v>0</v>
          </cell>
          <cell r="Q402">
            <v>0</v>
          </cell>
          <cell r="U402">
            <v>0</v>
          </cell>
          <cell r="Y402">
            <v>0</v>
          </cell>
        </row>
        <row r="403">
          <cell r="B403" t="str">
            <v>SS644</v>
          </cell>
          <cell r="M403">
            <v>236.57403423894564</v>
          </cell>
          <cell r="Q403">
            <v>246.12570859022574</v>
          </cell>
          <cell r="U403">
            <v>223.41491695070647</v>
          </cell>
          <cell r="Y403">
            <v>211.90448010502473</v>
          </cell>
        </row>
        <row r="404">
          <cell r="B404" t="str">
            <v>SS645</v>
          </cell>
          <cell r="M404">
            <v>256.20597715387106</v>
          </cell>
          <cell r="Q404">
            <v>189.168465865851</v>
          </cell>
          <cell r="U404">
            <v>221.3440740345504</v>
          </cell>
          <cell r="Y404">
            <v>206.95829695819432</v>
          </cell>
        </row>
        <row r="405">
          <cell r="B405" t="str">
            <v>SS646</v>
          </cell>
          <cell r="M405">
            <v>231.01757887473252</v>
          </cell>
          <cell r="Q405">
            <v>213.87965109333746</v>
          </cell>
          <cell r="U405">
            <v>198.9785486394465</v>
          </cell>
          <cell r="Y405">
            <v>198.53593635511243</v>
          </cell>
        </row>
        <row r="406">
          <cell r="B406" t="str">
            <v>SS649</v>
          </cell>
          <cell r="M406">
            <v>0</v>
          </cell>
          <cell r="Q406">
            <v>0</v>
          </cell>
          <cell r="U406">
            <v>0</v>
          </cell>
          <cell r="Y406">
            <v>0</v>
          </cell>
        </row>
        <row r="407">
          <cell r="B407" t="str">
            <v>SS653</v>
          </cell>
          <cell r="M407">
            <v>0</v>
          </cell>
          <cell r="Q407">
            <v>0</v>
          </cell>
          <cell r="U407">
            <v>0</v>
          </cell>
          <cell r="Y407">
            <v>0</v>
          </cell>
        </row>
        <row r="408">
          <cell r="B408" t="str">
            <v>SS654</v>
          </cell>
          <cell r="M408">
            <v>0</v>
          </cell>
          <cell r="Q408">
            <v>0</v>
          </cell>
          <cell r="U408">
            <v>0</v>
          </cell>
          <cell r="Y408">
            <v>0</v>
          </cell>
        </row>
        <row r="409">
          <cell r="B409" t="str">
            <v>SS655</v>
          </cell>
          <cell r="M409">
            <v>14626.436908015938</v>
          </cell>
          <cell r="Q409">
            <v>10190.370556782778</v>
          </cell>
          <cell r="U409">
            <v>11505.888107922574</v>
          </cell>
          <cell r="Y409">
            <v>13581.426193423069</v>
          </cell>
        </row>
        <row r="410">
          <cell r="B410" t="str">
            <v>SS656</v>
          </cell>
          <cell r="M410">
            <v>12531.897961737308</v>
          </cell>
          <cell r="Q410">
            <v>8729.8078331993311</v>
          </cell>
          <cell r="U410">
            <v>10787.085263417748</v>
          </cell>
          <cell r="Y410">
            <v>9582.2906807576292</v>
          </cell>
        </row>
        <row r="411">
          <cell r="B411" t="str">
            <v>SS659</v>
          </cell>
          <cell r="M411">
            <v>0</v>
          </cell>
          <cell r="Q411">
            <v>0</v>
          </cell>
          <cell r="U411">
            <v>0</v>
          </cell>
          <cell r="Y411">
            <v>0</v>
          </cell>
        </row>
        <row r="412">
          <cell r="B412" t="str">
            <v>SS660</v>
          </cell>
          <cell r="M412">
            <v>2379.9109899541636</v>
          </cell>
          <cell r="Q412">
            <v>1992.6439851029397</v>
          </cell>
          <cell r="U412">
            <v>1792.8858604620907</v>
          </cell>
          <cell r="Y412">
            <v>2353.4562915230722</v>
          </cell>
        </row>
        <row r="413">
          <cell r="B413" t="str">
            <v>SS661</v>
          </cell>
          <cell r="M413">
            <v>2420.1451626922531</v>
          </cell>
          <cell r="Q413">
            <v>2405.3298704573026</v>
          </cell>
          <cell r="U413">
            <v>1871.8712936121065</v>
          </cell>
          <cell r="Y413">
            <v>2543.4681500204997</v>
          </cell>
        </row>
        <row r="414">
          <cell r="B414" t="str">
            <v>SS662</v>
          </cell>
          <cell r="M414">
            <v>1762.9389990882585</v>
          </cell>
          <cell r="Q414">
            <v>2355.8878807531037</v>
          </cell>
          <cell r="U414">
            <v>1815.7905016837412</v>
          </cell>
          <cell r="Y414">
            <v>2021.9027080994899</v>
          </cell>
        </row>
        <row r="415">
          <cell r="B415" t="str">
            <v>SS665</v>
          </cell>
          <cell r="M415">
            <v>2124.5520951508443</v>
          </cell>
          <cell r="Q415">
            <v>2228.9964495712006</v>
          </cell>
          <cell r="U415">
            <v>2272.3197020918651</v>
          </cell>
          <cell r="Y415">
            <v>2575.7766490068379</v>
          </cell>
        </row>
        <row r="416">
          <cell r="B416" t="str">
            <v>SS666</v>
          </cell>
          <cell r="M416">
            <v>2342.3314960806902</v>
          </cell>
          <cell r="Q416">
            <v>2109.9868827244532</v>
          </cell>
          <cell r="U416">
            <v>1899.6640090356593</v>
          </cell>
          <cell r="Y416">
            <v>2486.4213538198524</v>
          </cell>
        </row>
        <row r="417">
          <cell r="B417" t="str">
            <v>SS667</v>
          </cell>
          <cell r="M417">
            <v>2433.5341552428467</v>
          </cell>
          <cell r="Q417">
            <v>2437.9415858064531</v>
          </cell>
          <cell r="U417">
            <v>2463.0266234930941</v>
          </cell>
          <cell r="Y417">
            <v>2239.3331998942881</v>
          </cell>
        </row>
        <row r="418">
          <cell r="B418" t="str">
            <v>SS668</v>
          </cell>
          <cell r="M418">
            <v>1725.7928401473903</v>
          </cell>
          <cell r="Q418">
            <v>1686.4778215706463</v>
          </cell>
          <cell r="U418">
            <v>2279.6713692501435</v>
          </cell>
          <cell r="Y418">
            <v>2459.8229260433523</v>
          </cell>
        </row>
        <row r="419">
          <cell r="B419" t="str">
            <v>SS669</v>
          </cell>
          <cell r="M419">
            <v>4954.9565149794125</v>
          </cell>
          <cell r="Q419">
            <v>5302.4256073489123</v>
          </cell>
          <cell r="U419">
            <v>4951.5876776919285</v>
          </cell>
          <cell r="Y419">
            <v>6211.3100292695362</v>
          </cell>
        </row>
        <row r="420">
          <cell r="B420" t="str">
            <v>SS670</v>
          </cell>
          <cell r="M420">
            <v>4734.6468935614166</v>
          </cell>
          <cell r="Q420">
            <v>3848.8423490961882</v>
          </cell>
          <cell r="U420">
            <v>5106.9784526394596</v>
          </cell>
          <cell r="Y420">
            <v>4133.9347900615921</v>
          </cell>
        </row>
        <row r="421">
          <cell r="B421" t="str">
            <v>SS701</v>
          </cell>
          <cell r="M421">
            <v>0</v>
          </cell>
          <cell r="Q421">
            <v>0</v>
          </cell>
          <cell r="U421">
            <v>0</v>
          </cell>
          <cell r="Y421">
            <v>0</v>
          </cell>
        </row>
        <row r="422">
          <cell r="B422" t="str">
            <v>SS703</v>
          </cell>
          <cell r="M422">
            <v>0</v>
          </cell>
          <cell r="Q422">
            <v>0</v>
          </cell>
          <cell r="U422">
            <v>0</v>
          </cell>
          <cell r="Y422">
            <v>0</v>
          </cell>
        </row>
        <row r="423">
          <cell r="B423" t="str">
            <v>SS705</v>
          </cell>
          <cell r="M423">
            <v>0</v>
          </cell>
          <cell r="Q423">
            <v>0</v>
          </cell>
          <cell r="U423">
            <v>0</v>
          </cell>
          <cell r="Y423">
            <v>0</v>
          </cell>
        </row>
        <row r="424">
          <cell r="B424" t="str">
            <v>SS708</v>
          </cell>
          <cell r="M424">
            <v>0</v>
          </cell>
          <cell r="Q424">
            <v>0</v>
          </cell>
          <cell r="U424">
            <v>0</v>
          </cell>
          <cell r="Y424">
            <v>0</v>
          </cell>
        </row>
        <row r="425">
          <cell r="B425" t="str">
            <v>SS710</v>
          </cell>
          <cell r="M425">
            <v>0</v>
          </cell>
          <cell r="Q425">
            <v>0</v>
          </cell>
          <cell r="U425">
            <v>0</v>
          </cell>
          <cell r="Y425">
            <v>0</v>
          </cell>
        </row>
        <row r="426">
          <cell r="B426" t="str">
            <v>SS711</v>
          </cell>
          <cell r="M426">
            <v>0</v>
          </cell>
          <cell r="Q426">
            <v>0</v>
          </cell>
          <cell r="U426">
            <v>0</v>
          </cell>
          <cell r="Y426">
            <v>0</v>
          </cell>
        </row>
        <row r="427">
          <cell r="B427" t="str">
            <v>SS712</v>
          </cell>
          <cell r="M427">
            <v>0</v>
          </cell>
          <cell r="Q427">
            <v>0</v>
          </cell>
          <cell r="U427">
            <v>0</v>
          </cell>
          <cell r="Y427">
            <v>0</v>
          </cell>
        </row>
        <row r="428">
          <cell r="B428" t="str">
            <v>SS714</v>
          </cell>
          <cell r="M428">
            <v>0</v>
          </cell>
          <cell r="Q428">
            <v>0</v>
          </cell>
          <cell r="U428">
            <v>0</v>
          </cell>
          <cell r="Y428">
            <v>0</v>
          </cell>
        </row>
        <row r="429">
          <cell r="B429" t="str">
            <v>SS716</v>
          </cell>
          <cell r="M429">
            <v>0</v>
          </cell>
          <cell r="Q429">
            <v>0</v>
          </cell>
          <cell r="U429">
            <v>0</v>
          </cell>
          <cell r="Y429">
            <v>0</v>
          </cell>
        </row>
        <row r="430">
          <cell r="B430" t="str">
            <v>SS718</v>
          </cell>
          <cell r="M430">
            <v>3902.5897551336525</v>
          </cell>
          <cell r="Q430">
            <v>4102.8241672987169</v>
          </cell>
          <cell r="U430">
            <v>5044.3266394750081</v>
          </cell>
          <cell r="Y430">
            <v>4201.8042021109441</v>
          </cell>
        </row>
        <row r="431">
          <cell r="B431" t="str">
            <v>SS719</v>
          </cell>
          <cell r="M431">
            <v>4033.8231371927059</v>
          </cell>
          <cell r="Q431">
            <v>4229.2522314826911</v>
          </cell>
          <cell r="U431">
            <v>4641.7326114304642</v>
          </cell>
          <cell r="Y431">
            <v>5432.0077567708895</v>
          </cell>
        </row>
        <row r="432">
          <cell r="B432" t="str">
            <v>SS720</v>
          </cell>
          <cell r="M432">
            <v>21030.403467394852</v>
          </cell>
          <cell r="Q432">
            <v>20122.498249314038</v>
          </cell>
          <cell r="U432">
            <v>15035.175727707301</v>
          </cell>
          <cell r="Y432">
            <v>15296.066658452188</v>
          </cell>
        </row>
        <row r="433">
          <cell r="B433" t="str">
            <v>SS721</v>
          </cell>
          <cell r="M433">
            <v>16999.331645749699</v>
          </cell>
          <cell r="Q433">
            <v>12027.14078973607</v>
          </cell>
          <cell r="U433">
            <v>12913.571400789771</v>
          </cell>
          <cell r="Y433">
            <v>13898.825096279415</v>
          </cell>
        </row>
        <row r="434">
          <cell r="B434" t="str">
            <v>SS726</v>
          </cell>
          <cell r="M434">
            <v>1564.7895426881319</v>
          </cell>
          <cell r="Q434">
            <v>1567.436568900062</v>
          </cell>
          <cell r="U434">
            <v>2101.9532849574416</v>
          </cell>
          <cell r="Y434">
            <v>1875.3290917830325</v>
          </cell>
        </row>
        <row r="435">
          <cell r="B435" t="str">
            <v>SS727</v>
          </cell>
          <cell r="M435">
            <v>1783.0483696404085</v>
          </cell>
          <cell r="Q435">
            <v>1829.8106010313882</v>
          </cell>
          <cell r="U435">
            <v>1527.1971657678559</v>
          </cell>
          <cell r="Y435">
            <v>2095.5578489462314</v>
          </cell>
        </row>
        <row r="436">
          <cell r="B436" t="str">
            <v>SS728</v>
          </cell>
          <cell r="M436">
            <v>1509.3907154119327</v>
          </cell>
          <cell r="Q436">
            <v>1724.4180989034958</v>
          </cell>
          <cell r="U436">
            <v>1858.4035766537204</v>
          </cell>
          <cell r="Y436">
            <v>1858.4484745014602</v>
          </cell>
        </row>
        <row r="437">
          <cell r="B437" t="str">
            <v>SS729</v>
          </cell>
          <cell r="M437">
            <v>1598.0595190778461</v>
          </cell>
          <cell r="Q437">
            <v>1990.5158400541275</v>
          </cell>
          <cell r="U437">
            <v>1689.2518295749055</v>
          </cell>
          <cell r="Y437">
            <v>1934.0846547650849</v>
          </cell>
        </row>
        <row r="438">
          <cell r="B438" t="str">
            <v>SS730</v>
          </cell>
          <cell r="M438">
            <v>1543.1097220450984</v>
          </cell>
          <cell r="Q438">
            <v>2031.5847455716867</v>
          </cell>
          <cell r="U438">
            <v>1579.4042654935308</v>
          </cell>
          <cell r="Y438">
            <v>1801.9855331492904</v>
          </cell>
        </row>
        <row r="439">
          <cell r="B439" t="str">
            <v>SS731</v>
          </cell>
          <cell r="M439">
            <v>0</v>
          </cell>
          <cell r="Q439">
            <v>0</v>
          </cell>
          <cell r="U439">
            <v>0</v>
          </cell>
          <cell r="Y439">
            <v>0</v>
          </cell>
        </row>
        <row r="440">
          <cell r="B440" t="str">
            <v>SS732</v>
          </cell>
          <cell r="M440">
            <v>2878.7691425949788</v>
          </cell>
          <cell r="Q440">
            <v>2461.93096277719</v>
          </cell>
          <cell r="U440">
            <v>2492.707816974636</v>
          </cell>
          <cell r="Y440">
            <v>2432.5992750387768</v>
          </cell>
        </row>
        <row r="441">
          <cell r="B441" t="str">
            <v>SS733</v>
          </cell>
          <cell r="M441">
            <v>2228.573612701126</v>
          </cell>
          <cell r="Q441">
            <v>2487.9334053399234</v>
          </cell>
          <cell r="U441">
            <v>2247.668685308382</v>
          </cell>
          <cell r="Y441">
            <v>2317.5078120331104</v>
          </cell>
        </row>
        <row r="442">
          <cell r="B442" t="str">
            <v>SS734</v>
          </cell>
          <cell r="M442">
            <v>2661.2952578946079</v>
          </cell>
          <cell r="Q442">
            <v>1944.656281366862</v>
          </cell>
          <cell r="U442">
            <v>2332.6403306866951</v>
          </cell>
          <cell r="Y442">
            <v>2012.7965387653012</v>
          </cell>
        </row>
        <row r="443">
          <cell r="B443" t="str">
            <v>SS735</v>
          </cell>
          <cell r="M443">
            <v>2137.4766479596792</v>
          </cell>
          <cell r="Q443">
            <v>2356.4474357033978</v>
          </cell>
          <cell r="U443">
            <v>2670.3356539325123</v>
          </cell>
          <cell r="Y443">
            <v>2284.2837203877598</v>
          </cell>
        </row>
        <row r="444">
          <cell r="B444" t="str">
            <v>SS736</v>
          </cell>
          <cell r="M444">
            <v>2732.015847691338</v>
          </cell>
          <cell r="Q444">
            <v>2048.156231179064</v>
          </cell>
          <cell r="U444">
            <v>2729.8907703084469</v>
          </cell>
          <cell r="Y444">
            <v>2636.4835724707868</v>
          </cell>
        </row>
        <row r="445">
          <cell r="B445" t="str">
            <v>SS737</v>
          </cell>
          <cell r="M445">
            <v>4933.7317191741704</v>
          </cell>
          <cell r="Q445">
            <v>4842.7135795909162</v>
          </cell>
          <cell r="U445">
            <v>4103.9432227697371</v>
          </cell>
          <cell r="Y445">
            <v>4450.9071793839921</v>
          </cell>
        </row>
        <row r="446">
          <cell r="B446" t="str">
            <v>SS738</v>
          </cell>
          <cell r="M446">
            <v>4457.5179172499702</v>
          </cell>
          <cell r="Q446">
            <v>4255.3301876067617</v>
          </cell>
          <cell r="U446">
            <v>3662.0840577693648</v>
          </cell>
          <cell r="Y446">
            <v>5310.2735082191421</v>
          </cell>
        </row>
        <row r="447">
          <cell r="B447" t="str">
            <v>SS741</v>
          </cell>
          <cell r="M447">
            <v>0</v>
          </cell>
          <cell r="Q447">
            <v>0</v>
          </cell>
          <cell r="U447">
            <v>0</v>
          </cell>
          <cell r="Y447">
            <v>0</v>
          </cell>
        </row>
        <row r="448">
          <cell r="B448" t="str">
            <v>SS743</v>
          </cell>
          <cell r="M448">
            <v>0</v>
          </cell>
          <cell r="Q448">
            <v>0</v>
          </cell>
          <cell r="U448">
            <v>0</v>
          </cell>
          <cell r="Y448">
            <v>0</v>
          </cell>
        </row>
        <row r="449">
          <cell r="B449" t="str">
            <v>SS744</v>
          </cell>
          <cell r="M449">
            <v>0</v>
          </cell>
          <cell r="Q449">
            <v>0</v>
          </cell>
          <cell r="U449">
            <v>0</v>
          </cell>
          <cell r="Y449">
            <v>0</v>
          </cell>
        </row>
        <row r="450">
          <cell r="B450" t="str">
            <v>SS745</v>
          </cell>
          <cell r="M450">
            <v>213.46574512005643</v>
          </cell>
          <cell r="Q450">
            <v>242.08362224517518</v>
          </cell>
          <cell r="U450">
            <v>251.88921215714993</v>
          </cell>
          <cell r="Y450">
            <v>187.88297214446507</v>
          </cell>
        </row>
        <row r="451">
          <cell r="B451" t="str">
            <v>SS746</v>
          </cell>
          <cell r="M451">
            <v>217.89864962647272</v>
          </cell>
          <cell r="Q451">
            <v>179.46020921607888</v>
          </cell>
          <cell r="U451">
            <v>213.45917147366737</v>
          </cell>
          <cell r="Y451">
            <v>234.03741884797452</v>
          </cell>
        </row>
        <row r="452">
          <cell r="B452" t="str">
            <v>SS749</v>
          </cell>
          <cell r="M452">
            <v>0</v>
          </cell>
          <cell r="Q452">
            <v>0</v>
          </cell>
          <cell r="U452">
            <v>0</v>
          </cell>
          <cell r="Y452">
            <v>0</v>
          </cell>
        </row>
        <row r="453">
          <cell r="B453" t="str">
            <v>SS753</v>
          </cell>
          <cell r="M453">
            <v>0</v>
          </cell>
          <cell r="Q453">
            <v>0</v>
          </cell>
          <cell r="U453">
            <v>0</v>
          </cell>
          <cell r="Y453">
            <v>0</v>
          </cell>
        </row>
        <row r="454">
          <cell r="B454" t="str">
            <v>SS754</v>
          </cell>
          <cell r="M454">
            <v>0</v>
          </cell>
          <cell r="Q454">
            <v>0</v>
          </cell>
          <cell r="U454">
            <v>0</v>
          </cell>
          <cell r="Y454">
            <v>0</v>
          </cell>
        </row>
        <row r="455">
          <cell r="B455" t="str">
            <v>SS755</v>
          </cell>
          <cell r="M455">
            <v>14535.763088975062</v>
          </cell>
          <cell r="Q455">
            <v>8180.365436978379</v>
          </cell>
          <cell r="U455">
            <v>14057.959540142281</v>
          </cell>
          <cell r="Y455">
            <v>11516.930967164311</v>
          </cell>
        </row>
        <row r="456">
          <cell r="B456" t="str">
            <v>SS756</v>
          </cell>
          <cell r="M456">
            <v>8607.9559133367184</v>
          </cell>
          <cell r="Q456">
            <v>9358.6130604340542</v>
          </cell>
          <cell r="U456">
            <v>9312.4093023396308</v>
          </cell>
          <cell r="Y456">
            <v>11832.099853448166</v>
          </cell>
        </row>
        <row r="457">
          <cell r="B457" t="str">
            <v>SS762</v>
          </cell>
          <cell r="M457">
            <v>0</v>
          </cell>
          <cell r="Q457">
            <v>0</v>
          </cell>
          <cell r="U457">
            <v>0</v>
          </cell>
          <cell r="Y457">
            <v>0</v>
          </cell>
        </row>
        <row r="458">
          <cell r="B458" t="str">
            <v>SS765</v>
          </cell>
          <cell r="M458">
            <v>2605.5960245013084</v>
          </cell>
          <cell r="Q458">
            <v>2401.8272203427259</v>
          </cell>
          <cell r="U458">
            <v>2285.6901998355024</v>
          </cell>
          <cell r="Y458">
            <v>1827.1517603824882</v>
          </cell>
        </row>
        <row r="459">
          <cell r="B459" t="str">
            <v>SS766</v>
          </cell>
          <cell r="M459">
            <v>0</v>
          </cell>
          <cell r="Q459">
            <v>0</v>
          </cell>
          <cell r="U459">
            <v>0</v>
          </cell>
          <cell r="Y459">
            <v>0</v>
          </cell>
        </row>
        <row r="460">
          <cell r="B460" t="str">
            <v>SS767</v>
          </cell>
          <cell r="M460">
            <v>2341.6307840807985</v>
          </cell>
          <cell r="Q460">
            <v>1938.086348903176</v>
          </cell>
          <cell r="U460">
            <v>1874.4493308734095</v>
          </cell>
          <cell r="Y460">
            <v>2367.3640521148527</v>
          </cell>
        </row>
        <row r="461">
          <cell r="B461" t="str">
            <v>SS768</v>
          </cell>
          <cell r="M461">
            <v>2548.963660602004</v>
          </cell>
          <cell r="Q461">
            <v>1770.5484977911392</v>
          </cell>
          <cell r="U461">
            <v>2170.9504241504324</v>
          </cell>
          <cell r="Y461">
            <v>2346.7066945032047</v>
          </cell>
        </row>
        <row r="462">
          <cell r="B462" t="str">
            <v>SS769</v>
          </cell>
          <cell r="M462">
            <v>6180.3323239989204</v>
          </cell>
          <cell r="Q462">
            <v>4137.1147803922013</v>
          </cell>
          <cell r="U462">
            <v>5539.2328825194272</v>
          </cell>
          <cell r="Y462">
            <v>6501.5402451609089</v>
          </cell>
        </row>
        <row r="463">
          <cell r="B463" t="str">
            <v>SS770</v>
          </cell>
          <cell r="M463">
            <v>5143.1176718428378</v>
          </cell>
          <cell r="Q463">
            <v>3428.2250011546394</v>
          </cell>
          <cell r="U463">
            <v>4216.7014739970982</v>
          </cell>
          <cell r="Y463">
            <v>5723.2425170915803</v>
          </cell>
        </row>
        <row r="464">
          <cell r="B464" t="str">
            <v>SS800</v>
          </cell>
        </row>
        <row r="465">
          <cell r="B465" t="str">
            <v>SS801</v>
          </cell>
        </row>
        <row r="466">
          <cell r="B466" t="str">
            <v>SS803</v>
          </cell>
        </row>
        <row r="467">
          <cell r="B467" t="str">
            <v>SS805</v>
          </cell>
        </row>
        <row r="468">
          <cell r="B468" t="str">
            <v>SS806</v>
          </cell>
        </row>
        <row r="469">
          <cell r="B469" t="str">
            <v>SS807</v>
          </cell>
        </row>
        <row r="470">
          <cell r="B470" t="str">
            <v>SS808</v>
          </cell>
        </row>
        <row r="471">
          <cell r="B471" t="str">
            <v>SS810</v>
          </cell>
        </row>
        <row r="472">
          <cell r="B472" t="str">
            <v>SS811</v>
          </cell>
        </row>
        <row r="473">
          <cell r="B473" t="str">
            <v>SS812</v>
          </cell>
        </row>
        <row r="474">
          <cell r="B474" t="str">
            <v>SS813</v>
          </cell>
        </row>
        <row r="475">
          <cell r="B475" t="str">
            <v>SS814</v>
          </cell>
        </row>
        <row r="476">
          <cell r="B476" t="str">
            <v>SS816</v>
          </cell>
        </row>
        <row r="477">
          <cell r="B477" t="str">
            <v>SS818</v>
          </cell>
        </row>
        <row r="478">
          <cell r="B478" t="str">
            <v>SS819</v>
          </cell>
        </row>
        <row r="479">
          <cell r="B479" t="str">
            <v>SS820</v>
          </cell>
        </row>
        <row r="480">
          <cell r="B480" t="str">
            <v>SS821</v>
          </cell>
        </row>
        <row r="481">
          <cell r="B481" t="str">
            <v>SS826</v>
          </cell>
        </row>
        <row r="482">
          <cell r="B482" t="str">
            <v>SS827</v>
          </cell>
        </row>
        <row r="483">
          <cell r="B483" t="str">
            <v>SS828</v>
          </cell>
        </row>
        <row r="484">
          <cell r="B484" t="str">
            <v>SS829</v>
          </cell>
        </row>
        <row r="485">
          <cell r="B485" t="str">
            <v>SS830</v>
          </cell>
        </row>
        <row r="486">
          <cell r="B486" t="str">
            <v>SS832</v>
          </cell>
        </row>
        <row r="487">
          <cell r="B487" t="str">
            <v>SS833</v>
          </cell>
        </row>
        <row r="488">
          <cell r="B488" t="str">
            <v>SS834</v>
          </cell>
        </row>
        <row r="489">
          <cell r="B489" t="str">
            <v>SS835</v>
          </cell>
        </row>
        <row r="490">
          <cell r="B490" t="str">
            <v>SS836</v>
          </cell>
        </row>
        <row r="491">
          <cell r="B491" t="str">
            <v>SS837</v>
          </cell>
        </row>
        <row r="492">
          <cell r="B492" t="str">
            <v>SS838</v>
          </cell>
        </row>
        <row r="493">
          <cell r="B493" t="str">
            <v>SS841</v>
          </cell>
        </row>
        <row r="494">
          <cell r="B494" t="str">
            <v>SS842</v>
          </cell>
        </row>
        <row r="495">
          <cell r="B495" t="str">
            <v>SS843</v>
          </cell>
        </row>
        <row r="496">
          <cell r="B496" t="str">
            <v>SS844</v>
          </cell>
        </row>
        <row r="497">
          <cell r="B497" t="str">
            <v>SS845</v>
          </cell>
        </row>
        <row r="498">
          <cell r="B498" t="str">
            <v>SS846</v>
          </cell>
        </row>
        <row r="499">
          <cell r="B499" t="str">
            <v>SS849</v>
          </cell>
        </row>
        <row r="500">
          <cell r="B500" t="str">
            <v>SS853</v>
          </cell>
        </row>
        <row r="501">
          <cell r="B501" t="str">
            <v>SS855</v>
          </cell>
        </row>
        <row r="502">
          <cell r="B502" t="str">
            <v>SS856</v>
          </cell>
        </row>
        <row r="503">
          <cell r="B503" t="str">
            <v>SS859</v>
          </cell>
        </row>
        <row r="504">
          <cell r="B504" t="str">
            <v>SS860</v>
          </cell>
        </row>
        <row r="505">
          <cell r="B505" t="str">
            <v>SS861</v>
          </cell>
        </row>
        <row r="506">
          <cell r="B506" t="str">
            <v>SS862</v>
          </cell>
        </row>
        <row r="507">
          <cell r="B507" t="str">
            <v>SS865</v>
          </cell>
        </row>
        <row r="508">
          <cell r="B508" t="str">
            <v>SS866</v>
          </cell>
        </row>
        <row r="509">
          <cell r="B509" t="str">
            <v>SS867</v>
          </cell>
        </row>
        <row r="510">
          <cell r="B510" t="str">
            <v>SS868</v>
          </cell>
        </row>
        <row r="511">
          <cell r="B511" t="str">
            <v>SS869</v>
          </cell>
        </row>
        <row r="512">
          <cell r="B512" t="str">
            <v>SS870</v>
          </cell>
        </row>
        <row r="513">
          <cell r="B513" t="str">
            <v>SS639</v>
          </cell>
          <cell r="M513">
            <v>1608.5904334965498</v>
          </cell>
          <cell r="Q513">
            <v>1182.2819824140743</v>
          </cell>
          <cell r="U513">
            <v>1651.4346362182484</v>
          </cell>
          <cell r="Y513">
            <v>1432.5305378875998</v>
          </cell>
        </row>
        <row r="514">
          <cell r="B514" t="str">
            <v>SS640</v>
          </cell>
          <cell r="M514">
            <v>4836.0033595480154</v>
          </cell>
          <cell r="Q514">
            <v>3717.2542848584467</v>
          </cell>
          <cell r="U514">
            <v>5012.6435899348489</v>
          </cell>
          <cell r="Y514">
            <v>3921.3132163733603</v>
          </cell>
        </row>
        <row r="515">
          <cell r="B515" t="str">
            <v>SS647</v>
          </cell>
          <cell r="M515">
            <v>287.51971336006449</v>
          </cell>
          <cell r="Q515">
            <v>287.71247764879132</v>
          </cell>
          <cell r="U515">
            <v>358.4799451692636</v>
          </cell>
          <cell r="Y515">
            <v>341.95300427413105</v>
          </cell>
        </row>
        <row r="516">
          <cell r="B516" t="str">
            <v>SS648</v>
          </cell>
          <cell r="M516">
            <v>376.89339435246768</v>
          </cell>
          <cell r="Q516">
            <v>631.94245505449226</v>
          </cell>
          <cell r="U516">
            <v>331.20719719077431</v>
          </cell>
          <cell r="Y516">
            <v>264.23263843333115</v>
          </cell>
        </row>
        <row r="517">
          <cell r="B517" t="str">
            <v>SS671</v>
          </cell>
          <cell r="M517">
            <v>3031.6891457789907</v>
          </cell>
          <cell r="Q517">
            <v>2270.8377972355174</v>
          </cell>
          <cell r="U517">
            <v>2200.6574146275807</v>
          </cell>
          <cell r="Y517">
            <v>3093.9964147773671</v>
          </cell>
        </row>
        <row r="518">
          <cell r="B518" t="str">
            <v>SS672</v>
          </cell>
          <cell r="M518">
            <v>6501.6742921323257</v>
          </cell>
          <cell r="Q518">
            <v>7195.6735926761958</v>
          </cell>
          <cell r="U518">
            <v>7088.4206321012771</v>
          </cell>
          <cell r="Y518">
            <v>7483.2388976248712</v>
          </cell>
        </row>
        <row r="519">
          <cell r="B519" t="str">
            <v>SS739</v>
          </cell>
          <cell r="M519">
            <v>1745.6662201716695</v>
          </cell>
          <cell r="Q519">
            <v>1602.6526687614162</v>
          </cell>
          <cell r="U519">
            <v>1707.1474244133874</v>
          </cell>
          <cell r="Y519">
            <v>1843.2500025171958</v>
          </cell>
        </row>
        <row r="520">
          <cell r="B520" t="str">
            <v>SS740</v>
          </cell>
          <cell r="M520">
            <v>4064.1547794238923</v>
          </cell>
          <cell r="Q520">
            <v>4130.6341351246956</v>
          </cell>
          <cell r="U520">
            <v>4511.3756487085811</v>
          </cell>
          <cell r="Y520">
            <v>3390.1765724842276</v>
          </cell>
        </row>
        <row r="521">
          <cell r="B521" t="str">
            <v>SS747</v>
          </cell>
          <cell r="M521">
            <v>284.25896011685626</v>
          </cell>
          <cell r="Q521">
            <v>355.00062224375478</v>
          </cell>
          <cell r="U521">
            <v>363.81700920352608</v>
          </cell>
          <cell r="Y521">
            <v>282.01444240319631</v>
          </cell>
        </row>
        <row r="522">
          <cell r="B522" t="str">
            <v>SS748</v>
          </cell>
          <cell r="M522">
            <v>299.40968746416837</v>
          </cell>
          <cell r="Q522">
            <v>345.38602067524232</v>
          </cell>
          <cell r="U522">
            <v>264.82322772208204</v>
          </cell>
          <cell r="Y522">
            <v>319.79221709035062</v>
          </cell>
        </row>
        <row r="523">
          <cell r="B523" t="str">
            <v>SS771</v>
          </cell>
          <cell r="M523">
            <v>8466.1236376333436</v>
          </cell>
          <cell r="Q523">
            <v>8722.3558116637487</v>
          </cell>
          <cell r="U523">
            <v>8121.2165160144204</v>
          </cell>
          <cell r="Y523">
            <v>6351.8536899349874</v>
          </cell>
        </row>
        <row r="524">
          <cell r="B524" t="str">
            <v>SS772</v>
          </cell>
          <cell r="M524">
            <v>8031.5871643636192</v>
          </cell>
          <cell r="Q524">
            <v>8651.8378227883259</v>
          </cell>
          <cell r="U524">
            <v>7318.1515418553636</v>
          </cell>
          <cell r="Y524">
            <v>7128.4905542578508</v>
          </cell>
        </row>
        <row r="525">
          <cell r="B525" t="str">
            <v>SS839</v>
          </cell>
        </row>
        <row r="526">
          <cell r="B526" t="str">
            <v>SS840</v>
          </cell>
        </row>
        <row r="527">
          <cell r="B527" t="str">
            <v>SS847</v>
          </cell>
        </row>
        <row r="528">
          <cell r="B528" t="str">
            <v>SS848</v>
          </cell>
        </row>
        <row r="529">
          <cell r="B529" t="str">
            <v>SS871</v>
          </cell>
        </row>
        <row r="530">
          <cell r="B530" t="str">
            <v>SS872</v>
          </cell>
        </row>
        <row r="531">
          <cell r="B531" t="str">
            <v>SS500</v>
          </cell>
          <cell r="M531">
            <v>36.304496102451118</v>
          </cell>
          <cell r="Q531">
            <v>30.90282476112732</v>
          </cell>
          <cell r="U531">
            <v>32.555520302576191</v>
          </cell>
          <cell r="Y531">
            <v>33.546491528460578</v>
          </cell>
        </row>
        <row r="532">
          <cell r="B532" t="str">
            <v>SS501</v>
          </cell>
          <cell r="M532">
            <v>64.094079836074698</v>
          </cell>
          <cell r="Q532">
            <v>75.111024399683401</v>
          </cell>
          <cell r="U532">
            <v>81.951409332211796</v>
          </cell>
          <cell r="Y532">
            <v>86.691888424032143</v>
          </cell>
        </row>
        <row r="533">
          <cell r="B533" t="str">
            <v>SS502</v>
          </cell>
          <cell r="M533">
            <v>517.46900755170384</v>
          </cell>
          <cell r="Q533">
            <v>486.40363424390569</v>
          </cell>
          <cell r="U533">
            <v>499.66770279404068</v>
          </cell>
          <cell r="Y533">
            <v>359.92348024835832</v>
          </cell>
        </row>
        <row r="534">
          <cell r="B534" t="str">
            <v>SS503</v>
          </cell>
          <cell r="M534">
            <v>627.46391710894329</v>
          </cell>
          <cell r="Q534">
            <v>618.92652497948723</v>
          </cell>
          <cell r="U534">
            <v>789.60622159717263</v>
          </cell>
          <cell r="Y534">
            <v>574.04357476865016</v>
          </cell>
        </row>
        <row r="535">
          <cell r="B535" t="str">
            <v>SS504</v>
          </cell>
          <cell r="M535">
            <v>108.72247812485261</v>
          </cell>
          <cell r="Q535">
            <v>143.34344469780416</v>
          </cell>
          <cell r="U535">
            <v>115.53862748488808</v>
          </cell>
          <cell r="Y535">
            <v>121.04000312923831</v>
          </cell>
        </row>
        <row r="536">
          <cell r="B536" t="str">
            <v>SS505</v>
          </cell>
          <cell r="M536">
            <v>214.94568867547923</v>
          </cell>
          <cell r="Q536">
            <v>280.88956033958652</v>
          </cell>
          <cell r="U536">
            <v>222.30559388917052</v>
          </cell>
          <cell r="Y536">
            <v>271.20873353649813</v>
          </cell>
        </row>
        <row r="537">
          <cell r="B537" t="str">
            <v>SS506</v>
          </cell>
          <cell r="M537">
            <v>43.487284996278824</v>
          </cell>
          <cell r="Q537">
            <v>31.958403867400257</v>
          </cell>
          <cell r="U537">
            <v>31.960537212808052</v>
          </cell>
          <cell r="Y537">
            <v>39.832095803949244</v>
          </cell>
        </row>
        <row r="538">
          <cell r="B538" t="str">
            <v>SS507</v>
          </cell>
          <cell r="M538">
            <v>71.56023681126257</v>
          </cell>
          <cell r="Q538">
            <v>68.75027803413704</v>
          </cell>
          <cell r="U538">
            <v>59.972355654514985</v>
          </cell>
          <cell r="Y538">
            <v>78.381374774683508</v>
          </cell>
        </row>
        <row r="539">
          <cell r="B539" t="str">
            <v>SS508</v>
          </cell>
          <cell r="M539">
            <v>469.21984693566395</v>
          </cell>
          <cell r="Q539">
            <v>359.03969828896948</v>
          </cell>
          <cell r="U539">
            <v>386.21160873737261</v>
          </cell>
          <cell r="Y539">
            <v>390.79883919533245</v>
          </cell>
        </row>
        <row r="540">
          <cell r="B540" t="str">
            <v>SS509</v>
          </cell>
          <cell r="M540">
            <v>803.34324817527204</v>
          </cell>
          <cell r="Q540">
            <v>789.37230425223402</v>
          </cell>
          <cell r="U540">
            <v>770.50292051192082</v>
          </cell>
          <cell r="Y540">
            <v>768.7515319511632</v>
          </cell>
        </row>
        <row r="541">
          <cell r="B541" t="str">
            <v>SS510</v>
          </cell>
          <cell r="M541">
            <v>140.28053059713133</v>
          </cell>
          <cell r="Q541">
            <v>135.14622676845576</v>
          </cell>
          <cell r="U541">
            <v>141.59353020802121</v>
          </cell>
          <cell r="Y541">
            <v>117.71481594718114</v>
          </cell>
        </row>
        <row r="542">
          <cell r="B542" t="str">
            <v>SS511</v>
          </cell>
          <cell r="M542">
            <v>212.66168499292041</v>
          </cell>
          <cell r="Q542">
            <v>224.14300053621281</v>
          </cell>
          <cell r="U542">
            <v>293.07342943503693</v>
          </cell>
          <cell r="Y542">
            <v>255.55074574854007</v>
          </cell>
        </row>
        <row r="543">
          <cell r="B543">
            <v>0</v>
          </cell>
          <cell r="M543">
            <v>0</v>
          </cell>
          <cell r="Q543">
            <v>0</v>
          </cell>
          <cell r="U543">
            <v>0</v>
          </cell>
          <cell r="Y543">
            <v>0</v>
          </cell>
        </row>
        <row r="544">
          <cell r="B544">
            <v>0</v>
          </cell>
          <cell r="M544">
            <v>0</v>
          </cell>
          <cell r="Q544">
            <v>0</v>
          </cell>
          <cell r="U544">
            <v>0</v>
          </cell>
          <cell r="Y544">
            <v>0</v>
          </cell>
        </row>
        <row r="545">
          <cell r="B545">
            <v>0</v>
          </cell>
          <cell r="M545">
            <v>0</v>
          </cell>
          <cell r="Q545">
            <v>0</v>
          </cell>
          <cell r="U545">
            <v>0</v>
          </cell>
          <cell r="Y545">
            <v>0</v>
          </cell>
        </row>
        <row r="546">
          <cell r="B546">
            <v>0</v>
          </cell>
          <cell r="M546">
            <v>0</v>
          </cell>
          <cell r="Q546">
            <v>0</v>
          </cell>
          <cell r="U546">
            <v>0</v>
          </cell>
          <cell r="Y546">
            <v>0</v>
          </cell>
        </row>
        <row r="547">
          <cell r="B547">
            <v>0</v>
          </cell>
          <cell r="M547">
            <v>0</v>
          </cell>
          <cell r="Q547">
            <v>0</v>
          </cell>
          <cell r="U547">
            <v>0</v>
          </cell>
          <cell r="Y547">
            <v>0</v>
          </cell>
        </row>
        <row r="548">
          <cell r="B548">
            <v>0</v>
          </cell>
          <cell r="M548">
            <v>0</v>
          </cell>
          <cell r="Q548">
            <v>0</v>
          </cell>
          <cell r="U548">
            <v>0</v>
          </cell>
          <cell r="Y548">
            <v>0</v>
          </cell>
        </row>
        <row r="549">
          <cell r="B549">
            <v>0</v>
          </cell>
          <cell r="M549">
            <v>0</v>
          </cell>
          <cell r="Q549">
            <v>0</v>
          </cell>
          <cell r="U549">
            <v>0</v>
          </cell>
          <cell r="Y549">
            <v>0</v>
          </cell>
        </row>
        <row r="550">
          <cell r="B550">
            <v>0</v>
          </cell>
          <cell r="M550">
            <v>0</v>
          </cell>
          <cell r="Q550">
            <v>0</v>
          </cell>
          <cell r="U550">
            <v>0</v>
          </cell>
          <cell r="Y550">
            <v>0</v>
          </cell>
        </row>
        <row r="551">
          <cell r="B551">
            <v>0</v>
          </cell>
          <cell r="M551">
            <v>0</v>
          </cell>
          <cell r="Q551">
            <v>0</v>
          </cell>
          <cell r="U551">
            <v>0</v>
          </cell>
          <cell r="Y551">
            <v>0</v>
          </cell>
        </row>
        <row r="552">
          <cell r="B552">
            <v>0</v>
          </cell>
          <cell r="M552">
            <v>0</v>
          </cell>
          <cell r="Q552">
            <v>0</v>
          </cell>
          <cell r="U552">
            <v>0</v>
          </cell>
          <cell r="Y552">
            <v>0</v>
          </cell>
        </row>
        <row r="553">
          <cell r="B553">
            <v>0</v>
          </cell>
          <cell r="M553">
            <v>0</v>
          </cell>
          <cell r="Q553">
            <v>0</v>
          </cell>
          <cell r="U553">
            <v>0</v>
          </cell>
          <cell r="Y553">
            <v>0</v>
          </cell>
        </row>
        <row r="554">
          <cell r="B554">
            <v>0</v>
          </cell>
          <cell r="M554">
            <v>0</v>
          </cell>
          <cell r="Q554">
            <v>0</v>
          </cell>
          <cell r="U554">
            <v>0</v>
          </cell>
          <cell r="Y554">
            <v>0</v>
          </cell>
        </row>
        <row r="555">
          <cell r="B555">
            <v>0</v>
          </cell>
          <cell r="M555">
            <v>0</v>
          </cell>
          <cell r="Q555">
            <v>0</v>
          </cell>
          <cell r="U555">
            <v>0</v>
          </cell>
          <cell r="Y555">
            <v>0</v>
          </cell>
        </row>
        <row r="556">
          <cell r="B556">
            <v>0</v>
          </cell>
          <cell r="M556">
            <v>0</v>
          </cell>
          <cell r="Q556">
            <v>0</v>
          </cell>
          <cell r="U556">
            <v>0</v>
          </cell>
          <cell r="Y556">
            <v>0</v>
          </cell>
        </row>
        <row r="557">
          <cell r="B557">
            <v>0</v>
          </cell>
          <cell r="M557">
            <v>0</v>
          </cell>
          <cell r="Q557">
            <v>0</v>
          </cell>
          <cell r="U557">
            <v>0</v>
          </cell>
          <cell r="Y557">
            <v>0</v>
          </cell>
        </row>
        <row r="558">
          <cell r="B558">
            <v>0</v>
          </cell>
          <cell r="M558">
            <v>0</v>
          </cell>
          <cell r="Q558">
            <v>0</v>
          </cell>
          <cell r="U558">
            <v>0</v>
          </cell>
          <cell r="Y558">
            <v>0</v>
          </cell>
        </row>
        <row r="559">
          <cell r="B559">
            <v>0</v>
          </cell>
          <cell r="M559">
            <v>0</v>
          </cell>
          <cell r="Q559">
            <v>0</v>
          </cell>
          <cell r="U559">
            <v>0</v>
          </cell>
          <cell r="Y559">
            <v>0</v>
          </cell>
        </row>
        <row r="560">
          <cell r="B560">
            <v>0</v>
          </cell>
          <cell r="M560">
            <v>0</v>
          </cell>
          <cell r="Q560">
            <v>0</v>
          </cell>
          <cell r="U560">
            <v>0</v>
          </cell>
          <cell r="Y560">
            <v>0</v>
          </cell>
        </row>
        <row r="561">
          <cell r="B561">
            <v>0</v>
          </cell>
          <cell r="M561">
            <v>0</v>
          </cell>
          <cell r="Q561">
            <v>0</v>
          </cell>
          <cell r="U561">
            <v>0</v>
          </cell>
          <cell r="Y561">
            <v>0</v>
          </cell>
        </row>
        <row r="562">
          <cell r="B562">
            <v>0</v>
          </cell>
          <cell r="M562">
            <v>0</v>
          </cell>
          <cell r="Q562">
            <v>0</v>
          </cell>
          <cell r="U562">
            <v>0</v>
          </cell>
          <cell r="Y562">
            <v>0</v>
          </cell>
        </row>
        <row r="563">
          <cell r="B563">
            <v>0</v>
          </cell>
          <cell r="M563">
            <v>0</v>
          </cell>
          <cell r="Q563">
            <v>0</v>
          </cell>
          <cell r="U563">
            <v>0</v>
          </cell>
          <cell r="Y563">
            <v>0</v>
          </cell>
        </row>
        <row r="564">
          <cell r="B564">
            <v>0</v>
          </cell>
          <cell r="M564">
            <v>0</v>
          </cell>
          <cell r="Q564">
            <v>0</v>
          </cell>
          <cell r="U564">
            <v>0</v>
          </cell>
          <cell r="Y564">
            <v>0</v>
          </cell>
        </row>
        <row r="565">
          <cell r="B565">
            <v>0</v>
          </cell>
          <cell r="M565">
            <v>0</v>
          </cell>
          <cell r="Q565">
            <v>0</v>
          </cell>
          <cell r="U565">
            <v>0</v>
          </cell>
          <cell r="Y565">
            <v>0</v>
          </cell>
        </row>
        <row r="566">
          <cell r="B566">
            <v>0</v>
          </cell>
          <cell r="M566">
            <v>0</v>
          </cell>
          <cell r="Q566">
            <v>0</v>
          </cell>
          <cell r="U566">
            <v>0</v>
          </cell>
          <cell r="Y566">
            <v>0</v>
          </cell>
        </row>
        <row r="567">
          <cell r="B567">
            <v>0</v>
          </cell>
          <cell r="M567">
            <v>0</v>
          </cell>
          <cell r="Q567">
            <v>0</v>
          </cell>
          <cell r="U567">
            <v>0</v>
          </cell>
          <cell r="Y567">
            <v>0</v>
          </cell>
        </row>
        <row r="568">
          <cell r="B568">
            <v>0</v>
          </cell>
          <cell r="M568">
            <v>0</v>
          </cell>
          <cell r="Q568">
            <v>0</v>
          </cell>
          <cell r="U568">
            <v>0</v>
          </cell>
          <cell r="Y568">
            <v>0</v>
          </cell>
        </row>
        <row r="569">
          <cell r="B569">
            <v>0</v>
          </cell>
          <cell r="M569">
            <v>0</v>
          </cell>
          <cell r="Q569">
            <v>0</v>
          </cell>
          <cell r="U569">
            <v>0</v>
          </cell>
          <cell r="Y569">
            <v>0</v>
          </cell>
        </row>
        <row r="570">
          <cell r="B570">
            <v>0</v>
          </cell>
          <cell r="M570">
            <v>0</v>
          </cell>
          <cell r="Q570">
            <v>0</v>
          </cell>
          <cell r="U570">
            <v>0</v>
          </cell>
          <cell r="Y570">
            <v>0</v>
          </cell>
        </row>
        <row r="571">
          <cell r="B571">
            <v>0</v>
          </cell>
          <cell r="M571">
            <v>0</v>
          </cell>
          <cell r="Q571">
            <v>0</v>
          </cell>
          <cell r="U571">
            <v>0</v>
          </cell>
          <cell r="Y571">
            <v>0</v>
          </cell>
        </row>
        <row r="572">
          <cell r="B572">
            <v>0</v>
          </cell>
          <cell r="M572">
            <v>0</v>
          </cell>
          <cell r="Q572">
            <v>0</v>
          </cell>
          <cell r="U572">
            <v>0</v>
          </cell>
          <cell r="Y572">
            <v>0</v>
          </cell>
        </row>
        <row r="573">
          <cell r="B573">
            <v>0</v>
          </cell>
          <cell r="M573">
            <v>0</v>
          </cell>
          <cell r="Q573">
            <v>0</v>
          </cell>
          <cell r="U573">
            <v>0</v>
          </cell>
          <cell r="Y573">
            <v>0</v>
          </cell>
        </row>
        <row r="574">
          <cell r="B574">
            <v>0</v>
          </cell>
          <cell r="M574">
            <v>0</v>
          </cell>
          <cell r="Q574">
            <v>0</v>
          </cell>
          <cell r="U574">
            <v>0</v>
          </cell>
          <cell r="Y574">
            <v>0</v>
          </cell>
        </row>
        <row r="575">
          <cell r="B575">
            <v>0</v>
          </cell>
          <cell r="M575">
            <v>0</v>
          </cell>
          <cell r="Q575">
            <v>0</v>
          </cell>
          <cell r="U575">
            <v>0</v>
          </cell>
          <cell r="Y575">
            <v>0</v>
          </cell>
        </row>
        <row r="576">
          <cell r="B576">
            <v>0</v>
          </cell>
          <cell r="M576">
            <v>0</v>
          </cell>
          <cell r="Q576">
            <v>0</v>
          </cell>
          <cell r="U576">
            <v>0</v>
          </cell>
          <cell r="Y576">
            <v>0</v>
          </cell>
        </row>
        <row r="577">
          <cell r="B577">
            <v>0</v>
          </cell>
          <cell r="M577">
            <v>0</v>
          </cell>
          <cell r="Q577">
            <v>0</v>
          </cell>
          <cell r="U577">
            <v>0</v>
          </cell>
          <cell r="Y577">
            <v>0</v>
          </cell>
        </row>
        <row r="578">
          <cell r="B578">
            <v>0</v>
          </cell>
          <cell r="M578">
            <v>0</v>
          </cell>
          <cell r="Q578">
            <v>0</v>
          </cell>
          <cell r="U578">
            <v>0</v>
          </cell>
          <cell r="Y578">
            <v>0</v>
          </cell>
        </row>
        <row r="579">
          <cell r="B579">
            <v>0</v>
          </cell>
          <cell r="M579">
            <v>0</v>
          </cell>
          <cell r="Q579">
            <v>0</v>
          </cell>
          <cell r="U579">
            <v>0</v>
          </cell>
          <cell r="Y579">
            <v>0</v>
          </cell>
        </row>
        <row r="580">
          <cell r="B580">
            <v>0</v>
          </cell>
          <cell r="M580">
            <v>0</v>
          </cell>
          <cell r="Q580">
            <v>0</v>
          </cell>
          <cell r="U580">
            <v>0</v>
          </cell>
          <cell r="Y580">
            <v>0</v>
          </cell>
        </row>
        <row r="581">
          <cell r="B581">
            <v>0</v>
          </cell>
          <cell r="M581">
            <v>0</v>
          </cell>
          <cell r="Q581">
            <v>0</v>
          </cell>
          <cell r="U581">
            <v>0</v>
          </cell>
          <cell r="Y581">
            <v>0</v>
          </cell>
        </row>
        <row r="582">
          <cell r="B582">
            <v>0</v>
          </cell>
          <cell r="M582">
            <v>0</v>
          </cell>
          <cell r="Q582">
            <v>0</v>
          </cell>
          <cell r="U582">
            <v>0</v>
          </cell>
          <cell r="Y582">
            <v>0</v>
          </cell>
        </row>
        <row r="583">
          <cell r="B583">
            <v>0</v>
          </cell>
          <cell r="M583">
            <v>0</v>
          </cell>
          <cell r="Q583">
            <v>0</v>
          </cell>
          <cell r="U583">
            <v>0</v>
          </cell>
          <cell r="Y583">
            <v>0</v>
          </cell>
        </row>
        <row r="584">
          <cell r="B584">
            <v>0</v>
          </cell>
          <cell r="M584">
            <v>0</v>
          </cell>
          <cell r="Q584">
            <v>0</v>
          </cell>
          <cell r="U584">
            <v>0</v>
          </cell>
          <cell r="Y584">
            <v>0</v>
          </cell>
        </row>
        <row r="585">
          <cell r="B585">
            <v>0</v>
          </cell>
          <cell r="M585">
            <v>0</v>
          </cell>
          <cell r="Q585">
            <v>0</v>
          </cell>
          <cell r="U585">
            <v>0</v>
          </cell>
          <cell r="Y585">
            <v>0</v>
          </cell>
        </row>
        <row r="586">
          <cell r="B586">
            <v>0</v>
          </cell>
          <cell r="M586">
            <v>0</v>
          </cell>
          <cell r="Q586">
            <v>0</v>
          </cell>
          <cell r="U586">
            <v>0</v>
          </cell>
          <cell r="Y586">
            <v>0</v>
          </cell>
        </row>
        <row r="587">
          <cell r="B587">
            <v>0</v>
          </cell>
          <cell r="M587">
            <v>0</v>
          </cell>
          <cell r="Q587">
            <v>0</v>
          </cell>
          <cell r="U587">
            <v>0</v>
          </cell>
          <cell r="Y587">
            <v>0</v>
          </cell>
        </row>
        <row r="588">
          <cell r="B588">
            <v>0</v>
          </cell>
          <cell r="M588">
            <v>0</v>
          </cell>
          <cell r="Q588">
            <v>0</v>
          </cell>
          <cell r="U588">
            <v>0</v>
          </cell>
          <cell r="Y588">
            <v>0</v>
          </cell>
        </row>
        <row r="589">
          <cell r="B589">
            <v>0</v>
          </cell>
          <cell r="M589">
            <v>0</v>
          </cell>
          <cell r="Q589">
            <v>0</v>
          </cell>
          <cell r="U589">
            <v>0</v>
          </cell>
          <cell r="Y589">
            <v>0</v>
          </cell>
        </row>
        <row r="590">
          <cell r="B590">
            <v>0</v>
          </cell>
          <cell r="M590">
            <v>0</v>
          </cell>
          <cell r="Q590">
            <v>0</v>
          </cell>
          <cell r="U590">
            <v>0</v>
          </cell>
          <cell r="Y590">
            <v>0</v>
          </cell>
        </row>
        <row r="591">
          <cell r="B591">
            <v>0</v>
          </cell>
          <cell r="M591">
            <v>0</v>
          </cell>
          <cell r="Q591">
            <v>0</v>
          </cell>
          <cell r="U591">
            <v>0</v>
          </cell>
          <cell r="Y591">
            <v>0</v>
          </cell>
        </row>
        <row r="592">
          <cell r="B592">
            <v>0</v>
          </cell>
          <cell r="M592">
            <v>0</v>
          </cell>
          <cell r="Q592">
            <v>0</v>
          </cell>
          <cell r="U592">
            <v>0</v>
          </cell>
          <cell r="Y592">
            <v>0</v>
          </cell>
        </row>
        <row r="593">
          <cell r="B593">
            <v>0</v>
          </cell>
          <cell r="M593">
            <v>0</v>
          </cell>
          <cell r="Q593">
            <v>0</v>
          </cell>
          <cell r="U593">
            <v>0</v>
          </cell>
          <cell r="Y593">
            <v>0</v>
          </cell>
        </row>
        <row r="594">
          <cell r="B594">
            <v>0</v>
          </cell>
          <cell r="M594">
            <v>0</v>
          </cell>
          <cell r="Q594">
            <v>0</v>
          </cell>
          <cell r="U594">
            <v>0</v>
          </cell>
          <cell r="Y594">
            <v>0</v>
          </cell>
        </row>
        <row r="595">
          <cell r="B595">
            <v>0</v>
          </cell>
          <cell r="M595">
            <v>0</v>
          </cell>
          <cell r="Q595">
            <v>0</v>
          </cell>
          <cell r="U595">
            <v>0</v>
          </cell>
          <cell r="Y595">
            <v>0</v>
          </cell>
        </row>
        <row r="596">
          <cell r="B596">
            <v>0</v>
          </cell>
          <cell r="M596">
            <v>0</v>
          </cell>
          <cell r="Q596">
            <v>0</v>
          </cell>
          <cell r="U596">
            <v>0</v>
          </cell>
          <cell r="Y596">
            <v>0</v>
          </cell>
        </row>
        <row r="597">
          <cell r="B597">
            <v>0</v>
          </cell>
          <cell r="M597">
            <v>0</v>
          </cell>
          <cell r="Q597">
            <v>0</v>
          </cell>
          <cell r="U597">
            <v>0</v>
          </cell>
          <cell r="Y597">
            <v>0</v>
          </cell>
        </row>
        <row r="598">
          <cell r="B598">
            <v>0</v>
          </cell>
          <cell r="M598">
            <v>0</v>
          </cell>
          <cell r="Q598">
            <v>0</v>
          </cell>
          <cell r="U598">
            <v>0</v>
          </cell>
          <cell r="Y598">
            <v>0</v>
          </cell>
        </row>
        <row r="599">
          <cell r="B599">
            <v>0</v>
          </cell>
          <cell r="M599">
            <v>0</v>
          </cell>
          <cell r="Q599">
            <v>0</v>
          </cell>
          <cell r="U599">
            <v>0</v>
          </cell>
          <cell r="Y599">
            <v>0</v>
          </cell>
        </row>
        <row r="600">
          <cell r="B600">
            <v>0</v>
          </cell>
          <cell r="M600">
            <v>0</v>
          </cell>
          <cell r="Q600">
            <v>0</v>
          </cell>
          <cell r="U600">
            <v>0</v>
          </cell>
          <cell r="Y600">
            <v>0</v>
          </cell>
        </row>
        <row r="601">
          <cell r="B601">
            <v>0</v>
          </cell>
          <cell r="M601">
            <v>0</v>
          </cell>
          <cell r="Q601">
            <v>0</v>
          </cell>
          <cell r="U601">
            <v>0</v>
          </cell>
          <cell r="Y601">
            <v>0</v>
          </cell>
        </row>
        <row r="602">
          <cell r="B602">
            <v>0</v>
          </cell>
          <cell r="M602">
            <v>0</v>
          </cell>
          <cell r="Q602">
            <v>0</v>
          </cell>
          <cell r="U602">
            <v>0</v>
          </cell>
          <cell r="Y602">
            <v>0</v>
          </cell>
        </row>
        <row r="603">
          <cell r="B603">
            <v>0</v>
          </cell>
          <cell r="M603">
            <v>0</v>
          </cell>
          <cell r="Q603">
            <v>0</v>
          </cell>
          <cell r="U603">
            <v>0</v>
          </cell>
          <cell r="Y603">
            <v>0</v>
          </cell>
        </row>
        <row r="604">
          <cell r="B604">
            <v>0</v>
          </cell>
          <cell r="M604">
            <v>0</v>
          </cell>
          <cell r="Q604">
            <v>0</v>
          </cell>
          <cell r="U604">
            <v>0</v>
          </cell>
          <cell r="Y604">
            <v>0</v>
          </cell>
        </row>
        <row r="605">
          <cell r="B605">
            <v>0</v>
          </cell>
          <cell r="M605">
            <v>0</v>
          </cell>
          <cell r="Q605">
            <v>0</v>
          </cell>
          <cell r="U605">
            <v>0</v>
          </cell>
          <cell r="Y605">
            <v>0</v>
          </cell>
        </row>
        <row r="606">
          <cell r="B606">
            <v>0</v>
          </cell>
          <cell r="M606">
            <v>0</v>
          </cell>
          <cell r="Q606">
            <v>0</v>
          </cell>
          <cell r="U606">
            <v>0</v>
          </cell>
          <cell r="Y606">
            <v>0</v>
          </cell>
        </row>
        <row r="607">
          <cell r="B607">
            <v>0</v>
          </cell>
          <cell r="M607">
            <v>0</v>
          </cell>
          <cell r="Q607">
            <v>0</v>
          </cell>
          <cell r="U607">
            <v>0</v>
          </cell>
          <cell r="Y607">
            <v>0</v>
          </cell>
        </row>
        <row r="608">
          <cell r="B608">
            <v>0</v>
          </cell>
          <cell r="M608">
            <v>0</v>
          </cell>
          <cell r="Q608">
            <v>0</v>
          </cell>
          <cell r="U608">
            <v>0</v>
          </cell>
          <cell r="Y608">
            <v>0</v>
          </cell>
        </row>
        <row r="609">
          <cell r="B609">
            <v>0</v>
          </cell>
          <cell r="M609">
            <v>0</v>
          </cell>
          <cell r="Q609">
            <v>0</v>
          </cell>
          <cell r="U609">
            <v>0</v>
          </cell>
          <cell r="Y609">
            <v>0</v>
          </cell>
        </row>
      </sheetData>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ow r="5">
          <cell r="C5" t="str">
            <v>Base case Area 3</v>
          </cell>
          <cell r="D5" t="str">
            <v>High costs Area 3</v>
          </cell>
          <cell r="E5" t="str">
            <v>Low costs Area 3</v>
          </cell>
          <cell r="H5" t="str">
            <v>Base case Area 3</v>
          </cell>
          <cell r="I5" t="str">
            <v>High costs Area 3</v>
          </cell>
          <cell r="J5" t="str">
            <v>Low costs Area 3</v>
          </cell>
        </row>
        <row r="6">
          <cell r="B6" t="str">
            <v>Unreg copper rentals (incl. MPF)</v>
          </cell>
          <cell r="C6">
            <v>-0.02</v>
          </cell>
          <cell r="D6">
            <v>1.2500000000000001E-2</v>
          </cell>
          <cell r="E6">
            <v>-4.4999999999999998E-2</v>
          </cell>
          <cell r="H6">
            <v>-0.02</v>
          </cell>
          <cell r="I6">
            <v>1.2500000000000001E-2</v>
          </cell>
          <cell r="J6">
            <v>-4.4999999999999998E-2</v>
          </cell>
        </row>
        <row r="7">
          <cell r="B7" t="str">
            <v>Unreg copper connections (incl. MPF)</v>
          </cell>
          <cell r="C7">
            <v>0.1825</v>
          </cell>
          <cell r="D7">
            <v>0.22</v>
          </cell>
          <cell r="E7">
            <v>0.16250000000000001</v>
          </cell>
          <cell r="H7">
            <v>0.1825</v>
          </cell>
          <cell r="I7">
            <v>0.22</v>
          </cell>
          <cell r="J7">
            <v>0.16250000000000001</v>
          </cell>
        </row>
        <row r="8">
          <cell r="B8" t="str">
            <v>Non-FTTP VULA rentals</v>
          </cell>
          <cell r="C8">
            <v>6.25E-2</v>
          </cell>
          <cell r="D8">
            <v>7.7499999999999999E-2</v>
          </cell>
          <cell r="E8">
            <v>0.05</v>
          </cell>
          <cell r="H8">
            <v>6.5000000000000002E-2</v>
          </cell>
          <cell r="I8">
            <v>0.08</v>
          </cell>
          <cell r="J8">
            <v>5.2499999999999998E-2</v>
          </cell>
        </row>
        <row r="9">
          <cell r="B9" t="str">
            <v>Non-FTTP VULA connections</v>
          </cell>
          <cell r="C9">
            <v>0.77500000000000002</v>
          </cell>
          <cell r="D9">
            <v>0.8075</v>
          </cell>
          <cell r="E9">
            <v>0.75249999999999995</v>
          </cell>
          <cell r="H9">
            <v>0.77500000000000002</v>
          </cell>
          <cell r="I9">
            <v>0.8075</v>
          </cell>
          <cell r="J9">
            <v>0.75249999999999995</v>
          </cell>
        </row>
        <row r="10">
          <cell r="B10" t="str">
            <v>WLR (PSTN) rentals and connections</v>
          </cell>
          <cell r="C10">
            <v>-0.1075</v>
          </cell>
          <cell r="D10">
            <v>-7.7499999999999999E-2</v>
          </cell>
          <cell r="E10">
            <v>-0.13</v>
          </cell>
          <cell r="H10">
            <v>-0.1075</v>
          </cell>
          <cell r="I10">
            <v>-7.7499999999999999E-2</v>
          </cell>
          <cell r="J10">
            <v>-0.13</v>
          </cell>
        </row>
      </sheetData>
      <sheetData sheetId="124"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EA207-B17D-4E93-90E4-330ECBDB6C4A}">
  <dimension ref="A1:E24"/>
  <sheetViews>
    <sheetView topLeftCell="A6" workbookViewId="0">
      <selection activeCell="A24" sqref="A24"/>
    </sheetView>
  </sheetViews>
  <sheetFormatPr defaultColWidth="12.53125" defaultRowHeight="14.25" x14ac:dyDescent="0.45"/>
  <cols>
    <col min="1" max="1" width="28.46484375" style="185" customWidth="1"/>
    <col min="2" max="3" width="59.796875" style="185" customWidth="1"/>
    <col min="4" max="4" width="14.46484375" style="185" customWidth="1"/>
    <col min="5" max="5" width="15" style="185" customWidth="1"/>
    <col min="6" max="16384" width="12.53125" style="185"/>
  </cols>
  <sheetData>
    <row r="1" spans="1:4" ht="125.25" customHeight="1" x14ac:dyDescent="0.9">
      <c r="C1" s="193" t="s">
        <v>505</v>
      </c>
    </row>
    <row r="2" spans="1:4" ht="7.5" customHeight="1" x14ac:dyDescent="0.45"/>
    <row r="3" spans="1:4" ht="21" x14ac:dyDescent="0.65">
      <c r="A3" s="186" t="s">
        <v>506</v>
      </c>
      <c r="D3" s="187"/>
    </row>
    <row r="4" spans="1:4" ht="6" customHeight="1" x14ac:dyDescent="0.45"/>
    <row r="5" spans="1:4" x14ac:dyDescent="0.45">
      <c r="A5" s="185" t="s">
        <v>507</v>
      </c>
      <c r="B5" s="185" t="s">
        <v>505</v>
      </c>
    </row>
    <row r="6" spans="1:4" x14ac:dyDescent="0.45">
      <c r="A6" s="185" t="s">
        <v>508</v>
      </c>
      <c r="B6" s="185" t="s">
        <v>509</v>
      </c>
      <c r="D6" s="188"/>
    </row>
    <row r="8" spans="1:4" x14ac:dyDescent="0.45">
      <c r="A8" s="185" t="s">
        <v>510</v>
      </c>
      <c r="B8" s="185" t="s">
        <v>511</v>
      </c>
    </row>
    <row r="10" spans="1:4" ht="21" x14ac:dyDescent="0.65">
      <c r="A10" s="186" t="s">
        <v>512</v>
      </c>
    </row>
    <row r="11" spans="1:4" ht="10.5" customHeight="1" x14ac:dyDescent="0.45"/>
    <row r="12" spans="1:4" ht="18" x14ac:dyDescent="0.55000000000000004">
      <c r="A12" s="189" t="s">
        <v>513</v>
      </c>
      <c r="B12" s="189" t="s">
        <v>514</v>
      </c>
      <c r="C12" s="190"/>
    </row>
    <row r="13" spans="1:4" x14ac:dyDescent="0.45">
      <c r="A13" s="185" t="s">
        <v>512</v>
      </c>
      <c r="B13" s="185" t="s">
        <v>515</v>
      </c>
    </row>
    <row r="14" spans="1:4" x14ac:dyDescent="0.45">
      <c r="A14" s="185" t="s">
        <v>459</v>
      </c>
      <c r="B14" s="185" t="s">
        <v>516</v>
      </c>
    </row>
    <row r="15" spans="1:4" ht="8.25" customHeight="1" x14ac:dyDescent="0.45"/>
    <row r="16" spans="1:4" x14ac:dyDescent="0.45">
      <c r="A16" s="191" t="s">
        <v>517</v>
      </c>
    </row>
    <row r="17" spans="1:5" x14ac:dyDescent="0.45">
      <c r="A17" s="185" t="s">
        <v>518</v>
      </c>
      <c r="B17" s="185" t="s">
        <v>519</v>
      </c>
    </row>
    <row r="18" spans="1:5" x14ac:dyDescent="0.45">
      <c r="A18" s="185" t="s">
        <v>520</v>
      </c>
      <c r="B18" s="185" t="s">
        <v>521</v>
      </c>
    </row>
    <row r="19" spans="1:5" x14ac:dyDescent="0.45">
      <c r="A19" s="185" t="s">
        <v>522</v>
      </c>
      <c r="B19" s="185" t="s">
        <v>523</v>
      </c>
    </row>
    <row r="21" spans="1:5" ht="21" x14ac:dyDescent="0.45">
      <c r="A21" s="192" t="s">
        <v>524</v>
      </c>
    </row>
    <row r="22" spans="1:5" ht="265.5" customHeight="1" x14ac:dyDescent="0.45">
      <c r="A22" s="223" t="s">
        <v>525</v>
      </c>
      <c r="B22" s="223"/>
      <c r="C22" s="223"/>
      <c r="D22" s="223"/>
      <c r="E22" s="223"/>
    </row>
    <row r="24" spans="1:5" x14ac:dyDescent="0.45">
      <c r="A24" s="184"/>
    </row>
  </sheetData>
  <mergeCells count="1">
    <mergeCell ref="A22:E22"/>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2206D-1E78-4057-8893-B723CADEC97B}">
  <dimension ref="B2:X179"/>
  <sheetViews>
    <sheetView zoomScale="80" zoomScaleNormal="80" workbookViewId="0">
      <selection activeCell="C2" sqref="C2"/>
    </sheetView>
  </sheetViews>
  <sheetFormatPr defaultRowHeight="14.25" x14ac:dyDescent="0.45"/>
  <cols>
    <col min="2" max="2" width="10.265625" bestFit="1" customWidth="1"/>
    <col min="3" max="3" width="61.73046875" bestFit="1" customWidth="1"/>
    <col min="4" max="13" width="12.73046875" customWidth="1"/>
    <col min="16" max="16" width="10" bestFit="1" customWidth="1"/>
    <col min="20" max="20" width="11" bestFit="1" customWidth="1"/>
    <col min="21" max="21" width="10.86328125" bestFit="1" customWidth="1"/>
    <col min="22" max="24" width="13.265625" bestFit="1" customWidth="1"/>
  </cols>
  <sheetData>
    <row r="2" spans="2:13" x14ac:dyDescent="0.45">
      <c r="B2" t="s">
        <v>412</v>
      </c>
      <c r="C2" s="8" t="str">
        <f>'[4]Control panel'!$I$7</f>
        <v>National - base costs</v>
      </c>
      <c r="D2" s="228" t="s">
        <v>455</v>
      </c>
      <c r="E2" s="229"/>
      <c r="F2" s="229"/>
      <c r="G2" s="229"/>
      <c r="H2" s="229"/>
      <c r="I2" s="229"/>
      <c r="J2" s="229"/>
      <c r="K2" s="229"/>
      <c r="L2" s="229"/>
      <c r="M2" s="229"/>
    </row>
    <row r="3" spans="2:13" ht="14.65" thickBot="1" x14ac:dyDescent="0.5">
      <c r="D3" s="15" t="s">
        <v>5</v>
      </c>
      <c r="E3" s="15" t="s">
        <v>6</v>
      </c>
      <c r="F3" s="16" t="s">
        <v>7</v>
      </c>
      <c r="G3" s="16" t="s">
        <v>8</v>
      </c>
      <c r="H3" s="15" t="s">
        <v>9</v>
      </c>
      <c r="I3" s="15" t="s">
        <v>10</v>
      </c>
      <c r="J3" s="15" t="s">
        <v>11</v>
      </c>
      <c r="K3" s="16" t="s">
        <v>12</v>
      </c>
      <c r="L3" s="16" t="s">
        <v>13</v>
      </c>
      <c r="M3" s="15" t="s">
        <v>14</v>
      </c>
    </row>
    <row r="4" spans="2:13" ht="14.65" thickBot="1" x14ac:dyDescent="0.5">
      <c r="B4" s="9" t="str" cm="1">
        <f t="array" ref="B4:B43">TD_service_codes</f>
        <v>WN127</v>
      </c>
      <c r="C4" t="s">
        <v>274</v>
      </c>
      <c r="D4" s="100"/>
      <c r="E4" s="178">
        <v>585856.40744959435</v>
      </c>
      <c r="F4" s="100"/>
      <c r="G4" s="168">
        <f>INDEX([4]!FC.TotalCosts_Service,MATCH($B4,[4]TotalCosts_Service!$B$9:$B$608,0),MATCH(G$3,[4]TotalCosts_Service!$CH$8:$CN$8,0))*million</f>
        <v>494004.98958327377</v>
      </c>
      <c r="H4" s="100">
        <f>INDEX([4]!FC.TotalCosts_Service,MATCH($B4,[4]TotalCosts_Service!$B$9:$B$608,0),MATCH(H$3,[4]TotalCosts_Service!$CH$8:$CN$8,0))*million</f>
        <v>219423.96728686948</v>
      </c>
      <c r="I4" s="100">
        <f>INDEX([4]!FC.TotalCosts_Service,MATCH($B4,[4]TotalCosts_Service!$B$9:$B$608,0),MATCH(I$3,[4]TotalCosts_Service!$CH$8:$CN$8,0))*million</f>
        <v>155874.38750755251</v>
      </c>
      <c r="J4" s="100">
        <f>INDEX([4]!FC.TotalCosts_Service,MATCH($B4,[4]TotalCosts_Service!$B$9:$B$608,0),MATCH(J$3,[4]TotalCosts_Service!$CH$8:$CN$8,0))*million</f>
        <v>57582.359741248496</v>
      </c>
      <c r="K4" s="100">
        <f>INDEX([4]!FC.TotalCosts_Service,MATCH($B4,[4]TotalCosts_Service!$B$9:$B$608,0),MATCH(K$3,[4]TotalCosts_Service!$CH$8:$CN$8,0))*million</f>
        <v>44644.340883251964</v>
      </c>
      <c r="L4" s="100">
        <f>INDEX([4]!FC.TotalCosts_Service,MATCH($B4,[4]TotalCosts_Service!$B$9:$B$608,0),MATCH(L$3,[4]TotalCosts_Service!$CH$8:$CN$8,0))*million</f>
        <v>41494.637768391083</v>
      </c>
      <c r="M4" s="100">
        <f>INDEX([4]!FC.TotalCosts_Service,MATCH($B4,[4]TotalCosts_Service!$B$9:$B$608,0),MATCH(M$3,[4]TotalCosts_Service!$CH$8:$CN$8,0))*million</f>
        <v>41771.821078962683</v>
      </c>
    </row>
    <row r="5" spans="2:13" ht="14.65" thickBot="1" x14ac:dyDescent="0.5">
      <c r="B5" s="9" t="str">
        <v>WN346</v>
      </c>
      <c r="C5" t="s">
        <v>276</v>
      </c>
      <c r="D5" s="100"/>
      <c r="E5" s="178">
        <v>1805.484053119103</v>
      </c>
      <c r="F5" s="100"/>
      <c r="G5" s="100">
        <f>INDEX([4]!FC.TotalCosts_Service,MATCH($B5,[4]TotalCosts_Service!$B$9:$B$608,0),MATCH(G$3,[4]TotalCosts_Service!$CH$8:$CN$8,0))*million</f>
        <v>1696.7620292524941</v>
      </c>
      <c r="H5" s="100">
        <f>INDEX([4]!FC.TotalCosts_Service,MATCH($B5,[4]TotalCosts_Service!$B$9:$B$608,0),MATCH(H$3,[4]TotalCosts_Service!$CH$8:$CN$8,0))*million</f>
        <v>736.17275250132843</v>
      </c>
      <c r="I5" s="100">
        <f>INDEX([4]!FC.TotalCosts_Service,MATCH($B5,[4]TotalCosts_Service!$B$9:$B$608,0),MATCH(I$3,[4]TotalCosts_Service!$CH$8:$CN$8,0))*million</f>
        <v>515.01118758918483</v>
      </c>
      <c r="J5" s="100">
        <f>INDEX([4]!FC.TotalCosts_Service,MATCH($B5,[4]TotalCosts_Service!$B$9:$B$608,0),MATCH(J$3,[4]TotalCosts_Service!$CH$8:$CN$8,0))*million</f>
        <v>190.45502504447481</v>
      </c>
      <c r="K5" s="100">
        <f>INDEX([4]!FC.TotalCosts_Service,MATCH($B5,[4]TotalCosts_Service!$B$9:$B$608,0),MATCH(K$3,[4]TotalCosts_Service!$CH$8:$CN$8,0))*million</f>
        <v>145.56755397180379</v>
      </c>
      <c r="L5" s="100">
        <f>INDEX([4]!FC.TotalCosts_Service,MATCH($B5,[4]TotalCosts_Service!$B$9:$B$608,0),MATCH(L$3,[4]TotalCosts_Service!$CH$8:$CN$8,0))*million</f>
        <v>133.22338954064085</v>
      </c>
      <c r="M5" s="100">
        <f>INDEX([4]!FC.TotalCosts_Service,MATCH($B5,[4]TotalCosts_Service!$B$9:$B$608,0),MATCH(M$3,[4]TotalCosts_Service!$CH$8:$CN$8,0))*million</f>
        <v>132.96738562632987</v>
      </c>
    </row>
    <row r="6" spans="2:13" ht="14.65" thickBot="1" x14ac:dyDescent="0.5">
      <c r="B6" s="9" t="str">
        <v>WX130</v>
      </c>
      <c r="C6" t="s">
        <v>277</v>
      </c>
      <c r="D6" s="100"/>
      <c r="E6" s="178">
        <v>9405393.6214725822</v>
      </c>
      <c r="F6" s="100"/>
      <c r="G6" s="100">
        <f>INDEX([4]!FC.TotalCosts_Service,MATCH($B6,[4]TotalCosts_Service!$B$9:$B$608,0),MATCH(G$3,[4]TotalCosts_Service!$CH$8:$CN$8,0))*million</f>
        <v>12613141.733548516</v>
      </c>
      <c r="H6" s="100">
        <f>INDEX([4]!FC.TotalCosts_Service,MATCH($B6,[4]TotalCosts_Service!$B$9:$B$608,0),MATCH(H$3,[4]TotalCosts_Service!$CH$8:$CN$8,0))*million</f>
        <v>4096477.0233449535</v>
      </c>
      <c r="I6" s="100">
        <f>INDEX([4]!FC.TotalCosts_Service,MATCH($B6,[4]TotalCosts_Service!$B$9:$B$608,0),MATCH(I$3,[4]TotalCosts_Service!$CH$8:$CN$8,0))*million</f>
        <v>3067572.0652401615</v>
      </c>
      <c r="J6" s="100">
        <f>INDEX([4]!FC.TotalCosts_Service,MATCH($B6,[4]TotalCosts_Service!$B$9:$B$608,0),MATCH(J$3,[4]TotalCosts_Service!$CH$8:$CN$8,0))*million</f>
        <v>1193591.4086912719</v>
      </c>
      <c r="K6" s="100">
        <f>INDEX([4]!FC.TotalCosts_Service,MATCH($B6,[4]TotalCosts_Service!$B$9:$B$608,0),MATCH(K$3,[4]TotalCosts_Service!$CH$8:$CN$8,0))*million</f>
        <v>938612.97121697874</v>
      </c>
      <c r="L6" s="100">
        <f>INDEX([4]!FC.TotalCosts_Service,MATCH($B6,[4]TotalCosts_Service!$B$9:$B$608,0),MATCH(L$3,[4]TotalCosts_Service!$CH$8:$CN$8,0))*million</f>
        <v>884940.53315623768</v>
      </c>
      <c r="M6" s="100">
        <f>INDEX([4]!FC.TotalCosts_Service,MATCH($B6,[4]TotalCosts_Service!$B$9:$B$608,0),MATCH(M$3,[4]TotalCosts_Service!$CH$8:$CN$8,0))*million</f>
        <v>905361.34759272111</v>
      </c>
    </row>
    <row r="7" spans="2:13" ht="14.65" thickBot="1" x14ac:dyDescent="0.5">
      <c r="B7" s="9" t="str">
        <v>WX347</v>
      </c>
      <c r="C7" t="s">
        <v>278</v>
      </c>
      <c r="D7" s="100"/>
      <c r="E7" s="178">
        <v>102573547.17984532</v>
      </c>
      <c r="F7" s="100"/>
      <c r="G7" s="100">
        <f>INDEX([4]!FC.TotalCosts_Service,MATCH($B7,[4]TotalCosts_Service!$B$9:$B$608,0),MATCH(G$3,[4]TotalCosts_Service!$CH$8:$CN$8,0))*million</f>
        <v>153130379.85124862</v>
      </c>
      <c r="H7" s="100">
        <f>INDEX([4]!FC.TotalCosts_Service,MATCH($B7,[4]TotalCosts_Service!$B$9:$B$608,0),MATCH(H$3,[4]TotalCosts_Service!$CH$8:$CN$8,0))*million</f>
        <v>49881421.726046674</v>
      </c>
      <c r="I7" s="100">
        <f>INDEX([4]!FC.TotalCosts_Service,MATCH($B7,[4]TotalCosts_Service!$B$9:$B$608,0),MATCH(I$3,[4]TotalCosts_Service!$CH$8:$CN$8,0))*million</f>
        <v>38323190.668618426</v>
      </c>
      <c r="J7" s="100">
        <f>INDEX([4]!FC.TotalCosts_Service,MATCH($B7,[4]TotalCosts_Service!$B$9:$B$608,0),MATCH(J$3,[4]TotalCosts_Service!$CH$8:$CN$8,0))*million</f>
        <v>14305506.57273205</v>
      </c>
      <c r="K7" s="100">
        <f>INDEX([4]!FC.TotalCosts_Service,MATCH($B7,[4]TotalCosts_Service!$B$9:$B$608,0),MATCH(K$3,[4]TotalCosts_Service!$CH$8:$CN$8,0))*million</f>
        <v>11145283.90792734</v>
      </c>
      <c r="L7" s="100">
        <f>INDEX([4]!FC.TotalCosts_Service,MATCH($B7,[4]TotalCosts_Service!$B$9:$B$608,0),MATCH(L$3,[4]TotalCosts_Service!$CH$8:$CN$8,0))*million</f>
        <v>10328747.888472296</v>
      </c>
      <c r="M7" s="100">
        <f>INDEX([4]!FC.TotalCosts_Service,MATCH($B7,[4]TotalCosts_Service!$B$9:$B$608,0),MATCH(M$3,[4]TotalCosts_Service!$CH$8:$CN$8,0))*million</f>
        <v>10576800.318845455</v>
      </c>
    </row>
    <row r="8" spans="2:13" ht="14.65" thickBot="1" x14ac:dyDescent="0.5">
      <c r="B8" s="9" t="str">
        <v>WX129</v>
      </c>
      <c r="C8" t="s">
        <v>279</v>
      </c>
      <c r="D8" s="100"/>
      <c r="E8" s="178">
        <v>4220129.7638664637</v>
      </c>
      <c r="F8" s="100"/>
      <c r="G8" s="100">
        <f>INDEX([4]!FC.TotalCosts_Service,MATCH($B8,[4]TotalCosts_Service!$B$9:$B$608,0),MATCH(G$3,[4]TotalCosts_Service!$CH$8:$CN$8,0))*million</f>
        <v>1683580.4985543217</v>
      </c>
      <c r="H8" s="100">
        <f>INDEX([4]!FC.TotalCosts_Service,MATCH($B8,[4]TotalCosts_Service!$B$9:$B$608,0),MATCH(H$3,[4]TotalCosts_Service!$CH$8:$CN$8,0))*million</f>
        <v>674087.43000320776</v>
      </c>
      <c r="I8" s="100">
        <f>INDEX([4]!FC.TotalCosts_Service,MATCH($B8,[4]TotalCosts_Service!$B$9:$B$608,0),MATCH(I$3,[4]TotalCosts_Service!$CH$8:$CN$8,0))*million</f>
        <v>360694.95331396599</v>
      </c>
      <c r="J8" s="100">
        <f>INDEX([4]!FC.TotalCosts_Service,MATCH($B8,[4]TotalCosts_Service!$B$9:$B$608,0),MATCH(J$3,[4]TotalCosts_Service!$CH$8:$CN$8,0))*million</f>
        <v>123130.11897275948</v>
      </c>
      <c r="K8" s="100">
        <f>INDEX([4]!FC.TotalCosts_Service,MATCH($B8,[4]TotalCosts_Service!$B$9:$B$608,0),MATCH(K$3,[4]TotalCosts_Service!$CH$8:$CN$8,0))*million</f>
        <v>87559.09456526587</v>
      </c>
      <c r="L8" s="100">
        <f>INDEX([4]!FC.TotalCosts_Service,MATCH($B8,[4]TotalCosts_Service!$B$9:$B$608,0),MATCH(L$3,[4]TotalCosts_Service!$CH$8:$CN$8,0))*million</f>
        <v>72756.680317609353</v>
      </c>
      <c r="M8" s="100">
        <f>INDEX([4]!FC.TotalCosts_Service,MATCH($B8,[4]TotalCosts_Service!$B$9:$B$608,0),MATCH(M$3,[4]TotalCosts_Service!$CH$8:$CN$8,0))*million</f>
        <v>146257.68181584979</v>
      </c>
    </row>
    <row r="9" spans="2:13" ht="14.65" thickBot="1" x14ac:dyDescent="0.5">
      <c r="B9" s="9" t="str">
        <v>WN123</v>
      </c>
      <c r="C9" t="s">
        <v>280</v>
      </c>
      <c r="D9" s="100"/>
      <c r="E9" s="178">
        <v>59.551951612406441</v>
      </c>
      <c r="F9" s="100"/>
      <c r="G9" s="100">
        <f>INDEX([4]!FC.TotalCosts_Service,MATCH($B9,[4]TotalCosts_Service!$B$9:$B$608,0),MATCH(G$3,[4]TotalCosts_Service!$CH$8:$CN$8,0))*million</f>
        <v>2032.4527493775984</v>
      </c>
      <c r="H9" s="100">
        <f>INDEX([4]!FC.TotalCosts_Service,MATCH($B9,[4]TotalCosts_Service!$B$9:$B$608,0),MATCH(H$3,[4]TotalCosts_Service!$CH$8:$CN$8,0))*million</f>
        <v>0</v>
      </c>
      <c r="I9" s="100">
        <f>INDEX([4]!FC.TotalCosts_Service,MATCH($B9,[4]TotalCosts_Service!$B$9:$B$608,0),MATCH(I$3,[4]TotalCosts_Service!$CH$8:$CN$8,0))*million</f>
        <v>0</v>
      </c>
      <c r="J9" s="100">
        <f>INDEX([4]!FC.TotalCosts_Service,MATCH($B9,[4]TotalCosts_Service!$B$9:$B$608,0),MATCH(J$3,[4]TotalCosts_Service!$CH$8:$CN$8,0))*million</f>
        <v>0</v>
      </c>
      <c r="K9" s="100">
        <f>INDEX([4]!FC.TotalCosts_Service,MATCH($B9,[4]TotalCosts_Service!$B$9:$B$608,0),MATCH(K$3,[4]TotalCosts_Service!$CH$8:$CN$8,0))*million</f>
        <v>0</v>
      </c>
      <c r="L9" s="100">
        <f>INDEX([4]!FC.TotalCosts_Service,MATCH($B9,[4]TotalCosts_Service!$B$9:$B$608,0),MATCH(L$3,[4]TotalCosts_Service!$CH$8:$CN$8,0))*million</f>
        <v>0</v>
      </c>
      <c r="M9" s="100">
        <f>INDEX([4]!FC.TotalCosts_Service,MATCH($B9,[4]TotalCosts_Service!$B$9:$B$608,0),MATCH(M$3,[4]TotalCosts_Service!$CH$8:$CN$8,0))*million</f>
        <v>0</v>
      </c>
    </row>
    <row r="10" spans="2:13" ht="14.65" thickBot="1" x14ac:dyDescent="0.5">
      <c r="B10" s="9" t="str">
        <v>WN300</v>
      </c>
      <c r="C10" t="s">
        <v>281</v>
      </c>
      <c r="D10" s="100"/>
      <c r="E10" s="178">
        <v>44881881.334117956</v>
      </c>
      <c r="F10" s="100"/>
      <c r="G10" s="100">
        <f>INDEX([4]!FC.TotalCosts_Service,MATCH($B10,[4]TotalCosts_Service!$B$9:$B$608,0),MATCH(G$3,[4]TotalCosts_Service!$CH$8:$CN$8,0))*million</f>
        <v>34551318.056597315</v>
      </c>
      <c r="H10" s="100">
        <f>INDEX([4]!FC.TotalCosts_Service,MATCH($B10,[4]TotalCosts_Service!$B$9:$B$608,0),MATCH(H$3,[4]TotalCosts_Service!$CH$8:$CN$8,0))*million</f>
        <v>10477194.740343003</v>
      </c>
      <c r="I10" s="100">
        <f>INDEX([4]!FC.TotalCosts_Service,MATCH($B10,[4]TotalCosts_Service!$B$9:$B$608,0),MATCH(I$3,[4]TotalCosts_Service!$CH$8:$CN$8,0))*million</f>
        <v>4861647.1592921866</v>
      </c>
      <c r="J10" s="100">
        <f>INDEX([4]!FC.TotalCosts_Service,MATCH($B10,[4]TotalCosts_Service!$B$9:$B$608,0),MATCH(J$3,[4]TotalCosts_Service!$CH$8:$CN$8,0))*million</f>
        <v>303924.47872254136</v>
      </c>
      <c r="K10" s="100">
        <f>INDEX([4]!FC.TotalCosts_Service,MATCH($B10,[4]TotalCosts_Service!$B$9:$B$608,0),MATCH(K$3,[4]TotalCosts_Service!$CH$8:$CN$8,0))*million</f>
        <v>0</v>
      </c>
      <c r="L10" s="100">
        <f>INDEX([4]!FC.TotalCosts_Service,MATCH($B10,[4]TotalCosts_Service!$B$9:$B$608,0),MATCH(L$3,[4]TotalCosts_Service!$CH$8:$CN$8,0))*million</f>
        <v>0</v>
      </c>
      <c r="M10" s="100">
        <f>INDEX([4]!FC.TotalCosts_Service,MATCH($B10,[4]TotalCosts_Service!$B$9:$B$608,0),MATCH(M$3,[4]TotalCosts_Service!$CH$8:$CN$8,0))*million</f>
        <v>0</v>
      </c>
    </row>
    <row r="11" spans="2:13" ht="14.65" thickBot="1" x14ac:dyDescent="0.5">
      <c r="B11" s="9" t="str">
        <v>WN301</v>
      </c>
      <c r="C11" t="s">
        <v>282</v>
      </c>
      <c r="D11" s="100"/>
      <c r="E11" s="178">
        <v>17377467.17507752</v>
      </c>
      <c r="F11" s="100"/>
      <c r="G11" s="100">
        <f>INDEX([4]!FC.TotalCosts_Service,MATCH($B11,[4]TotalCosts_Service!$B$9:$B$608,0),MATCH(G$3,[4]TotalCosts_Service!$CH$8:$CN$8,0))*million</f>
        <v>20831862.191613849</v>
      </c>
      <c r="H11" s="100">
        <f>INDEX([4]!FC.TotalCosts_Service,MATCH($B11,[4]TotalCosts_Service!$B$9:$B$608,0),MATCH(H$3,[4]TotalCosts_Service!$CH$8:$CN$8,0))*million</f>
        <v>5311579.6633551596</v>
      </c>
      <c r="I11" s="100">
        <f>INDEX([4]!FC.TotalCosts_Service,MATCH($B11,[4]TotalCosts_Service!$B$9:$B$608,0),MATCH(I$3,[4]TotalCosts_Service!$CH$8:$CN$8,0))*million</f>
        <v>2441606.1035738126</v>
      </c>
      <c r="J11" s="100">
        <f>INDEX([4]!FC.TotalCosts_Service,MATCH($B11,[4]TotalCosts_Service!$B$9:$B$608,0),MATCH(J$3,[4]TotalCosts_Service!$CH$8:$CN$8,0))*million</f>
        <v>150092.73325945571</v>
      </c>
      <c r="K11" s="100">
        <f>INDEX([4]!FC.TotalCosts_Service,MATCH($B11,[4]TotalCosts_Service!$B$9:$B$608,0),MATCH(K$3,[4]TotalCosts_Service!$CH$8:$CN$8,0))*million</f>
        <v>0</v>
      </c>
      <c r="L11" s="100">
        <f>INDEX([4]!FC.TotalCosts_Service,MATCH($B11,[4]TotalCosts_Service!$B$9:$B$608,0),MATCH(L$3,[4]TotalCosts_Service!$CH$8:$CN$8,0))*million</f>
        <v>0</v>
      </c>
      <c r="M11" s="100">
        <f>INDEX([4]!FC.TotalCosts_Service,MATCH($B11,[4]TotalCosts_Service!$B$9:$B$608,0),MATCH(M$3,[4]TotalCosts_Service!$CH$8:$CN$8,0))*million</f>
        <v>0</v>
      </c>
    </row>
    <row r="12" spans="2:13" ht="14.65" thickBot="1" x14ac:dyDescent="0.5">
      <c r="B12" s="9" t="str">
        <v>WX310</v>
      </c>
      <c r="C12" t="s">
        <v>283</v>
      </c>
      <c r="D12" s="100"/>
      <c r="E12" s="178">
        <v>45166155.552527644</v>
      </c>
      <c r="F12" s="100"/>
      <c r="G12" s="100">
        <f>INDEX([4]!FC.TotalCosts_Service,MATCH($B12,[4]TotalCosts_Service!$B$9:$B$608,0),MATCH(G$3,[4]TotalCosts_Service!$CH$8:$CN$8,0))*million</f>
        <v>63695063.241337642</v>
      </c>
      <c r="H12" s="100">
        <f>INDEX([4]!FC.TotalCosts_Service,MATCH($B12,[4]TotalCosts_Service!$B$9:$B$608,0),MATCH(H$3,[4]TotalCosts_Service!$CH$8:$CN$8,0))*million</f>
        <v>19930206.162307393</v>
      </c>
      <c r="I12" s="100">
        <f>INDEX([4]!FC.TotalCosts_Service,MATCH($B12,[4]TotalCosts_Service!$B$9:$B$608,0),MATCH(I$3,[4]TotalCosts_Service!$CH$8:$CN$8,0))*million</f>
        <v>9150949.2934773844</v>
      </c>
      <c r="J12" s="100">
        <f>INDEX([4]!FC.TotalCosts_Service,MATCH($B12,[4]TotalCosts_Service!$B$9:$B$608,0),MATCH(J$3,[4]TotalCosts_Service!$CH$8:$CN$8,0))*million</f>
        <v>569968.93750939588</v>
      </c>
      <c r="K12" s="100">
        <f>INDEX([4]!FC.TotalCosts_Service,MATCH($B12,[4]TotalCosts_Service!$B$9:$B$608,0),MATCH(K$3,[4]TotalCosts_Service!$CH$8:$CN$8,0))*million</f>
        <v>0</v>
      </c>
      <c r="L12" s="100">
        <f>INDEX([4]!FC.TotalCosts_Service,MATCH($B12,[4]TotalCosts_Service!$B$9:$B$608,0),MATCH(L$3,[4]TotalCosts_Service!$CH$8:$CN$8,0))*million</f>
        <v>0</v>
      </c>
      <c r="M12" s="100">
        <f>INDEX([4]!FC.TotalCosts_Service,MATCH($B12,[4]TotalCosts_Service!$B$9:$B$608,0),MATCH(M$3,[4]TotalCosts_Service!$CH$8:$CN$8,0))*million</f>
        <v>0</v>
      </c>
    </row>
    <row r="13" spans="2:13" ht="14.65" thickBot="1" x14ac:dyDescent="0.5">
      <c r="B13" s="9" t="str">
        <v>WX311</v>
      </c>
      <c r="C13" t="s">
        <v>284</v>
      </c>
      <c r="D13" s="100"/>
      <c r="E13" s="178">
        <v>30694119.971384704</v>
      </c>
      <c r="F13" s="100"/>
      <c r="G13" s="100">
        <f>INDEX([4]!FC.TotalCosts_Service,MATCH($B13,[4]TotalCosts_Service!$B$9:$B$608,0),MATCH(G$3,[4]TotalCosts_Service!$CH$8:$CN$8,0))*million</f>
        <v>34581013.668831803</v>
      </c>
      <c r="H13" s="100">
        <f>INDEX([4]!FC.TotalCosts_Service,MATCH($B13,[4]TotalCosts_Service!$B$9:$B$608,0),MATCH(H$3,[4]TotalCosts_Service!$CH$8:$CN$8,0))*million</f>
        <v>11569088.727604141</v>
      </c>
      <c r="I13" s="100">
        <f>INDEX([4]!FC.TotalCosts_Service,MATCH($B13,[4]TotalCosts_Service!$B$9:$B$608,0),MATCH(I$3,[4]TotalCosts_Service!$CH$8:$CN$8,0))*million</f>
        <v>5256681.8016062714</v>
      </c>
      <c r="J13" s="100">
        <f>INDEX([4]!FC.TotalCosts_Service,MATCH($B13,[4]TotalCosts_Service!$B$9:$B$608,0),MATCH(J$3,[4]TotalCosts_Service!$CH$8:$CN$8,0))*million</f>
        <v>322180.6568537936</v>
      </c>
      <c r="K13" s="100">
        <f>INDEX([4]!FC.TotalCosts_Service,MATCH($B13,[4]TotalCosts_Service!$B$9:$B$608,0),MATCH(K$3,[4]TotalCosts_Service!$CH$8:$CN$8,0))*million</f>
        <v>0</v>
      </c>
      <c r="L13" s="100">
        <f>INDEX([4]!FC.TotalCosts_Service,MATCH($B13,[4]TotalCosts_Service!$B$9:$B$608,0),MATCH(L$3,[4]TotalCosts_Service!$CH$8:$CN$8,0))*million</f>
        <v>0</v>
      </c>
      <c r="M13" s="100">
        <f>INDEX([4]!FC.TotalCosts_Service,MATCH($B13,[4]TotalCosts_Service!$B$9:$B$608,0),MATCH(M$3,[4]TotalCosts_Service!$CH$8:$CN$8,0))*million</f>
        <v>0</v>
      </c>
    </row>
    <row r="14" spans="2:13" ht="14.65" thickBot="1" x14ac:dyDescent="0.5">
      <c r="B14" s="9" t="str">
        <v>WN302</v>
      </c>
      <c r="C14" t="s">
        <v>285</v>
      </c>
      <c r="D14" s="100"/>
      <c r="E14" s="178">
        <v>670974.11892116535</v>
      </c>
      <c r="F14" s="100"/>
      <c r="G14" s="100">
        <f>INDEX([4]!FC.TotalCosts_Service,MATCH($B14,[4]TotalCosts_Service!$B$9:$B$608,0),MATCH(G$3,[4]TotalCosts_Service!$CH$8:$CN$8,0))*million</f>
        <v>346150.87184835691</v>
      </c>
      <c r="H14" s="100">
        <f>INDEX([4]!FC.TotalCosts_Service,MATCH($B14,[4]TotalCosts_Service!$B$9:$B$608,0),MATCH(H$3,[4]TotalCosts_Service!$CH$8:$CN$8,0))*million</f>
        <v>61981.84163603979</v>
      </c>
      <c r="I14" s="100">
        <f>INDEX([4]!FC.TotalCosts_Service,MATCH($B14,[4]TotalCosts_Service!$B$9:$B$608,0),MATCH(I$3,[4]TotalCosts_Service!$CH$8:$CN$8,0))*million</f>
        <v>23775.937785851664</v>
      </c>
      <c r="J14" s="100">
        <f>INDEX([4]!FC.TotalCosts_Service,MATCH($B14,[4]TotalCosts_Service!$B$9:$B$608,0),MATCH(J$3,[4]TotalCosts_Service!$CH$8:$CN$8,0))*million</f>
        <v>1319.2632545179431</v>
      </c>
      <c r="K14" s="100">
        <f>INDEX([4]!FC.TotalCosts_Service,MATCH($B14,[4]TotalCosts_Service!$B$9:$B$608,0),MATCH(K$3,[4]TotalCosts_Service!$CH$8:$CN$8,0))*million</f>
        <v>0</v>
      </c>
      <c r="L14" s="100">
        <f>INDEX([4]!FC.TotalCosts_Service,MATCH($B14,[4]TotalCosts_Service!$B$9:$B$608,0),MATCH(L$3,[4]TotalCosts_Service!$CH$8:$CN$8,0))*million</f>
        <v>0</v>
      </c>
      <c r="M14" s="100">
        <f>INDEX([4]!FC.TotalCosts_Service,MATCH($B14,[4]TotalCosts_Service!$B$9:$B$608,0),MATCH(M$3,[4]TotalCosts_Service!$CH$8:$CN$8,0))*million</f>
        <v>0</v>
      </c>
    </row>
    <row r="15" spans="2:13" ht="14.65" thickBot="1" x14ac:dyDescent="0.5">
      <c r="B15" s="9" t="str">
        <v>WX312</v>
      </c>
      <c r="C15" t="s">
        <v>286</v>
      </c>
      <c r="D15" s="100"/>
      <c r="E15" s="178">
        <v>582600.33033226139</v>
      </c>
      <c r="F15" s="100"/>
      <c r="G15" s="100">
        <f>INDEX([4]!FC.TotalCosts_Service,MATCH($B15,[4]TotalCosts_Service!$B$9:$B$608,0),MATCH(G$3,[4]TotalCosts_Service!$CH$8:$CN$8,0))*million</f>
        <v>1240425.8750573297</v>
      </c>
      <c r="H15" s="100">
        <f>INDEX([4]!FC.TotalCosts_Service,MATCH($B15,[4]TotalCosts_Service!$B$9:$B$608,0),MATCH(H$3,[4]TotalCosts_Service!$CH$8:$CN$8,0))*million</f>
        <v>319743.25218969875</v>
      </c>
      <c r="I15" s="100">
        <f>INDEX([4]!FC.TotalCosts_Service,MATCH($B15,[4]TotalCosts_Service!$B$9:$B$608,0),MATCH(I$3,[4]TotalCosts_Service!$CH$8:$CN$8,0))*million</f>
        <v>124677.75791268647</v>
      </c>
      <c r="J15" s="100">
        <f>INDEX([4]!FC.TotalCosts_Service,MATCH($B15,[4]TotalCosts_Service!$B$9:$B$608,0),MATCH(J$3,[4]TotalCosts_Service!$CH$8:$CN$8,0))*million</f>
        <v>7333.2833752472998</v>
      </c>
      <c r="K15" s="100">
        <f>INDEX([4]!FC.TotalCosts_Service,MATCH($B15,[4]TotalCosts_Service!$B$9:$B$608,0),MATCH(K$3,[4]TotalCosts_Service!$CH$8:$CN$8,0))*million</f>
        <v>0</v>
      </c>
      <c r="L15" s="100">
        <f>INDEX([4]!FC.TotalCosts_Service,MATCH($B15,[4]TotalCosts_Service!$B$9:$B$608,0),MATCH(L$3,[4]TotalCosts_Service!$CH$8:$CN$8,0))*million</f>
        <v>0</v>
      </c>
      <c r="M15" s="100">
        <f>INDEX([4]!FC.TotalCosts_Service,MATCH($B15,[4]TotalCosts_Service!$B$9:$B$608,0),MATCH(M$3,[4]TotalCosts_Service!$CH$8:$CN$8,0))*million</f>
        <v>0</v>
      </c>
    </row>
    <row r="16" spans="2:13" ht="14.65" thickBot="1" x14ac:dyDescent="0.5">
      <c r="B16" s="9" t="str">
        <v>WX338</v>
      </c>
      <c r="C16" t="s">
        <v>287</v>
      </c>
      <c r="D16" s="100"/>
      <c r="E16" s="178">
        <v>573934.19377263437</v>
      </c>
      <c r="F16" s="100"/>
      <c r="G16" s="100">
        <f>INDEX([4]!FC.TotalCosts_Service,MATCH($B16,[4]TotalCosts_Service!$B$9:$B$608,0),MATCH(G$3,[4]TotalCosts_Service!$CH$8:$CN$8,0))*million</f>
        <v>353935.50991685339</v>
      </c>
      <c r="H16" s="100">
        <f>INDEX([4]!FC.TotalCosts_Service,MATCH($B16,[4]TotalCosts_Service!$B$9:$B$608,0),MATCH(H$3,[4]TotalCosts_Service!$CH$8:$CN$8,0))*million</f>
        <v>106370.99610773876</v>
      </c>
      <c r="I16" s="100">
        <f>INDEX([4]!FC.TotalCosts_Service,MATCH($B16,[4]TotalCosts_Service!$B$9:$B$608,0),MATCH(I$3,[4]TotalCosts_Service!$CH$8:$CN$8,0))*million</f>
        <v>41104.601920202535</v>
      </c>
      <c r="J16" s="100">
        <f>INDEX([4]!FC.TotalCosts_Service,MATCH($B16,[4]TotalCosts_Service!$B$9:$B$608,0),MATCH(J$3,[4]TotalCosts_Service!$CH$8:$CN$8,0))*million</f>
        <v>2407.2785717685015</v>
      </c>
      <c r="K16" s="100">
        <f>INDEX([4]!FC.TotalCosts_Service,MATCH($B16,[4]TotalCosts_Service!$B$9:$B$608,0),MATCH(K$3,[4]TotalCosts_Service!$CH$8:$CN$8,0))*million</f>
        <v>0</v>
      </c>
      <c r="L16" s="100">
        <f>INDEX([4]!FC.TotalCosts_Service,MATCH($B16,[4]TotalCosts_Service!$B$9:$B$608,0),MATCH(L$3,[4]TotalCosts_Service!$CH$8:$CN$8,0))*million</f>
        <v>0</v>
      </c>
      <c r="M16" s="100">
        <f>INDEX([4]!FC.TotalCosts_Service,MATCH($B16,[4]TotalCosts_Service!$B$9:$B$608,0),MATCH(M$3,[4]TotalCosts_Service!$CH$8:$CN$8,0))*million</f>
        <v>0</v>
      </c>
    </row>
    <row r="17" spans="2:13" ht="14.65" thickBot="1" x14ac:dyDescent="0.5">
      <c r="B17" s="9" t="str">
        <v>WN336</v>
      </c>
      <c r="C17" t="s">
        <v>288</v>
      </c>
      <c r="D17" s="100"/>
      <c r="E17" s="178">
        <v>312903.68169659638</v>
      </c>
      <c r="F17" s="100"/>
      <c r="G17" s="100">
        <f>INDEX([4]!FC.TotalCosts_Service,MATCH($B17,[4]TotalCosts_Service!$B$9:$B$608,0),MATCH(G$3,[4]TotalCosts_Service!$CH$8:$CN$8,0))*million</f>
        <v>158607.69492772871</v>
      </c>
      <c r="H17" s="100">
        <f>INDEX([4]!FC.TotalCosts_Service,MATCH($B17,[4]TotalCosts_Service!$B$9:$B$608,0),MATCH(H$3,[4]TotalCosts_Service!$CH$8:$CN$8,0))*million</f>
        <v>32802.313924195601</v>
      </c>
      <c r="I17" s="100">
        <f>INDEX([4]!FC.TotalCosts_Service,MATCH($B17,[4]TotalCosts_Service!$B$9:$B$608,0),MATCH(I$3,[4]TotalCosts_Service!$CH$8:$CN$8,0))*million</f>
        <v>12463.614947947977</v>
      </c>
      <c r="J17" s="100">
        <f>INDEX([4]!FC.TotalCosts_Service,MATCH($B17,[4]TotalCosts_Service!$B$9:$B$608,0),MATCH(J$3,[4]TotalCosts_Service!$CH$8:$CN$8,0))*million</f>
        <v>688.10133574281554</v>
      </c>
      <c r="K17" s="100">
        <f>INDEX([4]!FC.TotalCosts_Service,MATCH($B17,[4]TotalCosts_Service!$B$9:$B$608,0),MATCH(K$3,[4]TotalCosts_Service!$CH$8:$CN$8,0))*million</f>
        <v>0</v>
      </c>
      <c r="L17" s="100">
        <f>INDEX([4]!FC.TotalCosts_Service,MATCH($B17,[4]TotalCosts_Service!$B$9:$B$608,0),MATCH(L$3,[4]TotalCosts_Service!$CH$8:$CN$8,0))*million</f>
        <v>0</v>
      </c>
      <c r="M17" s="100">
        <f>INDEX([4]!FC.TotalCosts_Service,MATCH($B17,[4]TotalCosts_Service!$B$9:$B$608,0),MATCH(M$3,[4]TotalCosts_Service!$CH$8:$CN$8,0))*million</f>
        <v>0</v>
      </c>
    </row>
    <row r="18" spans="2:13" ht="14.65" thickBot="1" x14ac:dyDescent="0.5">
      <c r="B18" s="9" t="str">
        <v>WN303</v>
      </c>
      <c r="C18" t="s">
        <v>289</v>
      </c>
      <c r="D18" s="100"/>
      <c r="E18" s="178">
        <v>4595973.3094172068</v>
      </c>
      <c r="F18" s="100"/>
      <c r="G18" s="100">
        <f>INDEX([4]!FC.TotalCosts_Service,MATCH($B18,[4]TotalCosts_Service!$B$9:$B$608,0),MATCH(G$3,[4]TotalCosts_Service!$CH$8:$CN$8,0))*million</f>
        <v>1640528.0187242881</v>
      </c>
      <c r="H18" s="100">
        <f>INDEX([4]!FC.TotalCosts_Service,MATCH($B18,[4]TotalCosts_Service!$B$9:$B$608,0),MATCH(H$3,[4]TotalCosts_Service!$CH$8:$CN$8,0))*million</f>
        <v>412115.50513163779</v>
      </c>
      <c r="I18" s="100">
        <f>INDEX([4]!FC.TotalCosts_Service,MATCH($B18,[4]TotalCosts_Service!$B$9:$B$608,0),MATCH(I$3,[4]TotalCosts_Service!$CH$8:$CN$8,0))*million</f>
        <v>156667.66512388934</v>
      </c>
      <c r="J18" s="100">
        <f>INDEX([4]!FC.TotalCosts_Service,MATCH($B18,[4]TotalCosts_Service!$B$9:$B$608,0),MATCH(J$3,[4]TotalCosts_Service!$CH$8:$CN$8,0))*million</f>
        <v>8664.6537910369025</v>
      </c>
      <c r="K18" s="100">
        <f>INDEX([4]!FC.TotalCosts_Service,MATCH($B18,[4]TotalCosts_Service!$B$9:$B$608,0),MATCH(K$3,[4]TotalCosts_Service!$CH$8:$CN$8,0))*million</f>
        <v>0</v>
      </c>
      <c r="L18" s="100">
        <f>INDEX([4]!FC.TotalCosts_Service,MATCH($B18,[4]TotalCosts_Service!$B$9:$B$608,0),MATCH(L$3,[4]TotalCosts_Service!$CH$8:$CN$8,0))*million</f>
        <v>0</v>
      </c>
      <c r="M18" s="100">
        <f>INDEX([4]!FC.TotalCosts_Service,MATCH($B18,[4]TotalCosts_Service!$B$9:$B$608,0),MATCH(M$3,[4]TotalCosts_Service!$CH$8:$CN$8,0))*million</f>
        <v>0</v>
      </c>
    </row>
    <row r="19" spans="2:13" ht="14.65" thickBot="1" x14ac:dyDescent="0.5">
      <c r="B19" s="9" t="str">
        <v>WN337</v>
      </c>
      <c r="C19" t="s">
        <v>290</v>
      </c>
      <c r="D19" s="100"/>
      <c r="E19" s="178">
        <v>3369389.7751770038</v>
      </c>
      <c r="F19" s="100"/>
      <c r="G19" s="100">
        <f>INDEX([4]!FC.TotalCosts_Service,MATCH($B19,[4]TotalCosts_Service!$B$9:$B$608,0),MATCH(G$3,[4]TotalCosts_Service!$CH$8:$CN$8,0))*million</f>
        <v>863381.4809703225</v>
      </c>
      <c r="H19" s="100">
        <f>INDEX([4]!FC.TotalCosts_Service,MATCH($B19,[4]TotalCosts_Service!$B$9:$B$608,0),MATCH(H$3,[4]TotalCosts_Service!$CH$8:$CN$8,0))*million</f>
        <v>152311.42257407369</v>
      </c>
      <c r="I19" s="100">
        <f>INDEX([4]!FC.TotalCosts_Service,MATCH($B19,[4]TotalCosts_Service!$B$9:$B$608,0),MATCH(I$3,[4]TotalCosts_Service!$CH$8:$CN$8,0))*million</f>
        <v>58447.564544655674</v>
      </c>
      <c r="J19" s="100">
        <f>INDEX([4]!FC.TotalCosts_Service,MATCH($B19,[4]TotalCosts_Service!$B$9:$B$608,0),MATCH(J$3,[4]TotalCosts_Service!$CH$8:$CN$8,0))*million</f>
        <v>3247.2218133400406</v>
      </c>
      <c r="K19" s="100">
        <f>INDEX([4]!FC.TotalCosts_Service,MATCH($B19,[4]TotalCosts_Service!$B$9:$B$608,0),MATCH(K$3,[4]TotalCosts_Service!$CH$8:$CN$8,0))*million</f>
        <v>0</v>
      </c>
      <c r="L19" s="100">
        <f>INDEX([4]!FC.TotalCosts_Service,MATCH($B19,[4]TotalCosts_Service!$B$9:$B$608,0),MATCH(L$3,[4]TotalCosts_Service!$CH$8:$CN$8,0))*million</f>
        <v>0</v>
      </c>
      <c r="M19" s="100">
        <f>INDEX([4]!FC.TotalCosts_Service,MATCH($B19,[4]TotalCosts_Service!$B$9:$B$608,0),MATCH(M$3,[4]TotalCosts_Service!$CH$8:$CN$8,0))*million</f>
        <v>0</v>
      </c>
    </row>
    <row r="20" spans="2:13" ht="14.65" thickBot="1" x14ac:dyDescent="0.5">
      <c r="B20" s="9" t="str">
        <v>WX313</v>
      </c>
      <c r="C20" t="s">
        <v>291</v>
      </c>
      <c r="D20" s="100"/>
      <c r="E20" s="178">
        <v>3926540.8147761151</v>
      </c>
      <c r="F20" s="100"/>
      <c r="G20" s="100">
        <f>INDEX([4]!FC.TotalCosts_Service,MATCH($B20,[4]TotalCosts_Service!$B$9:$B$608,0),MATCH(G$3,[4]TotalCosts_Service!$CH$8:$CN$8,0))*million</f>
        <v>773931.41368708853</v>
      </c>
      <c r="H20" s="100">
        <f>INDEX([4]!FC.TotalCosts_Service,MATCH($B20,[4]TotalCosts_Service!$B$9:$B$608,0),MATCH(H$3,[4]TotalCosts_Service!$CH$8:$CN$8,0))*million</f>
        <v>257251.41155040925</v>
      </c>
      <c r="I20" s="100">
        <f>INDEX([4]!FC.TotalCosts_Service,MATCH($B20,[4]TotalCosts_Service!$B$9:$B$608,0),MATCH(I$3,[4]TotalCosts_Service!$CH$8:$CN$8,0))*million</f>
        <v>99491.626526109801</v>
      </c>
      <c r="J20" s="100">
        <f>INDEX([4]!FC.TotalCosts_Service,MATCH($B20,[4]TotalCosts_Service!$B$9:$B$608,0),MATCH(J$3,[4]TotalCosts_Service!$CH$8:$CN$8,0))*million</f>
        <v>5842.1368836219672</v>
      </c>
      <c r="K20" s="100">
        <f>INDEX([4]!FC.TotalCosts_Service,MATCH($B20,[4]TotalCosts_Service!$B$9:$B$608,0),MATCH(K$3,[4]TotalCosts_Service!$CH$8:$CN$8,0))*million</f>
        <v>0</v>
      </c>
      <c r="L20" s="100">
        <f>INDEX([4]!FC.TotalCosts_Service,MATCH($B20,[4]TotalCosts_Service!$B$9:$B$608,0),MATCH(L$3,[4]TotalCosts_Service!$CH$8:$CN$8,0))*million</f>
        <v>0</v>
      </c>
      <c r="M20" s="100">
        <f>INDEX([4]!FC.TotalCosts_Service,MATCH($B20,[4]TotalCosts_Service!$B$9:$B$608,0),MATCH(M$3,[4]TotalCosts_Service!$CH$8:$CN$8,0))*million</f>
        <v>0</v>
      </c>
    </row>
    <row r="21" spans="2:13" ht="14.65" thickBot="1" x14ac:dyDescent="0.5">
      <c r="B21" s="9" t="str">
        <v>WX339</v>
      </c>
      <c r="C21" t="s">
        <v>292</v>
      </c>
      <c r="D21" s="100"/>
      <c r="E21" s="178">
        <v>8893337.7880018838</v>
      </c>
      <c r="F21" s="100"/>
      <c r="G21" s="100">
        <f>INDEX([4]!FC.TotalCosts_Service,MATCH($B21,[4]TotalCosts_Service!$B$9:$B$608,0),MATCH(G$3,[4]TotalCosts_Service!$CH$8:$CN$8,0))*million</f>
        <v>1916626.6314547767</v>
      </c>
      <c r="H21" s="100">
        <f>INDEX([4]!FC.TotalCosts_Service,MATCH($B21,[4]TotalCosts_Service!$B$9:$B$608,0),MATCH(H$3,[4]TotalCosts_Service!$CH$8:$CN$8,0))*million</f>
        <v>563296.46398625814</v>
      </c>
      <c r="I21" s="100">
        <f>INDEX([4]!FC.TotalCosts_Service,MATCH($B21,[4]TotalCosts_Service!$B$9:$B$608,0),MATCH(I$3,[4]TotalCosts_Service!$CH$8:$CN$8,0))*million</f>
        <v>219881.68856733566</v>
      </c>
      <c r="J21" s="100">
        <f>INDEX([4]!FC.TotalCosts_Service,MATCH($B21,[4]TotalCosts_Service!$B$9:$B$608,0),MATCH(J$3,[4]TotalCosts_Service!$CH$8:$CN$8,0))*million</f>
        <v>12954.881418440476</v>
      </c>
      <c r="K21" s="100">
        <f>INDEX([4]!FC.TotalCosts_Service,MATCH($B21,[4]TotalCosts_Service!$B$9:$B$608,0),MATCH(K$3,[4]TotalCosts_Service!$CH$8:$CN$8,0))*million</f>
        <v>0</v>
      </c>
      <c r="L21" s="100">
        <f>INDEX([4]!FC.TotalCosts_Service,MATCH($B21,[4]TotalCosts_Service!$B$9:$B$608,0),MATCH(L$3,[4]TotalCosts_Service!$CH$8:$CN$8,0))*million</f>
        <v>0</v>
      </c>
      <c r="M21" s="100">
        <f>INDEX([4]!FC.TotalCosts_Service,MATCH($B21,[4]TotalCosts_Service!$B$9:$B$608,0),MATCH(M$3,[4]TotalCosts_Service!$CH$8:$CN$8,0))*million</f>
        <v>0</v>
      </c>
    </row>
    <row r="22" spans="2:13" ht="14.65" thickBot="1" x14ac:dyDescent="0.5">
      <c r="B22" s="9" t="str">
        <v>WN332</v>
      </c>
      <c r="C22" t="s">
        <v>293</v>
      </c>
      <c r="D22" s="100"/>
      <c r="E22" s="178">
        <v>2235727.3038539048</v>
      </c>
      <c r="F22" s="100"/>
      <c r="G22" s="100">
        <f>INDEX([4]!FC.TotalCosts_Service,MATCH($B22,[4]TotalCosts_Service!$B$9:$B$608,0),MATCH(G$3,[4]TotalCosts_Service!$CH$8:$CN$8,0))*million</f>
        <v>2934779.8391642617</v>
      </c>
      <c r="H22" s="100">
        <f>INDEX([4]!FC.TotalCosts_Service,MATCH($B22,[4]TotalCosts_Service!$B$9:$B$608,0),MATCH(H$3,[4]TotalCosts_Service!$CH$8:$CN$8,0))*million</f>
        <v>905095.28640242585</v>
      </c>
      <c r="I22" s="100">
        <f>INDEX([4]!FC.TotalCosts_Service,MATCH($B22,[4]TotalCosts_Service!$B$9:$B$608,0),MATCH(I$3,[4]TotalCosts_Service!$CH$8:$CN$8,0))*million</f>
        <v>1194575.1817983915</v>
      </c>
      <c r="J22" s="100">
        <f>INDEX([4]!FC.TotalCosts_Service,MATCH($B22,[4]TotalCosts_Service!$B$9:$B$608,0),MATCH(J$3,[4]TotalCosts_Service!$CH$8:$CN$8,0))*million</f>
        <v>1318769.4955525789</v>
      </c>
      <c r="K22" s="100">
        <f>INDEX([4]!FC.TotalCosts_Service,MATCH($B22,[4]TotalCosts_Service!$B$9:$B$608,0),MATCH(K$3,[4]TotalCosts_Service!$CH$8:$CN$8,0))*million</f>
        <v>1545353.5755811334</v>
      </c>
      <c r="L22" s="100">
        <f>INDEX([4]!FC.TotalCosts_Service,MATCH($B22,[4]TotalCosts_Service!$B$9:$B$608,0),MATCH(L$3,[4]TotalCosts_Service!$CH$8:$CN$8,0))*million</f>
        <v>1859844.2949394574</v>
      </c>
      <c r="M22" s="100">
        <f>INDEX([4]!FC.TotalCosts_Service,MATCH($B22,[4]TotalCosts_Service!$B$9:$B$608,0),MATCH(M$3,[4]TotalCosts_Service!$CH$8:$CN$8,0))*million</f>
        <v>2333140.0815500156</v>
      </c>
    </row>
    <row r="23" spans="2:13" ht="14.65" thickBot="1" x14ac:dyDescent="0.5">
      <c r="B23" s="9" t="str">
        <v>WX334</v>
      </c>
      <c r="C23" t="s">
        <v>295</v>
      </c>
      <c r="D23" s="100"/>
      <c r="E23" s="178">
        <v>1229872.7860739336</v>
      </c>
      <c r="F23" s="100"/>
      <c r="G23" s="100">
        <f>INDEX([4]!FC.TotalCosts_Service,MATCH($B23,[4]TotalCosts_Service!$B$9:$B$608,0),MATCH(G$3,[4]TotalCosts_Service!$CH$8:$CN$8,0))*million</f>
        <v>3036953.4678108292</v>
      </c>
      <c r="H23" s="100">
        <f>INDEX([4]!FC.TotalCosts_Service,MATCH($B23,[4]TotalCosts_Service!$B$9:$B$608,0),MATCH(H$3,[4]TotalCosts_Service!$CH$8:$CN$8,0))*million</f>
        <v>1574273.2244915282</v>
      </c>
      <c r="I23" s="100">
        <f>INDEX([4]!FC.TotalCosts_Service,MATCH($B23,[4]TotalCosts_Service!$B$9:$B$608,0),MATCH(I$3,[4]TotalCosts_Service!$CH$8:$CN$8,0))*million</f>
        <v>1992803.3266679659</v>
      </c>
      <c r="J23" s="100">
        <f>INDEX([4]!FC.TotalCosts_Service,MATCH($B23,[4]TotalCosts_Service!$B$9:$B$608,0),MATCH(J$3,[4]TotalCosts_Service!$CH$8:$CN$8,0))*million</f>
        <v>2168739.3590314728</v>
      </c>
      <c r="K23" s="100">
        <f>INDEX([4]!FC.TotalCosts_Service,MATCH($B23,[4]TotalCosts_Service!$B$9:$B$608,0),MATCH(K$3,[4]TotalCosts_Service!$CH$8:$CN$8,0))*million</f>
        <v>2463419.834746398</v>
      </c>
      <c r="L23" s="100">
        <f>INDEX([4]!FC.TotalCosts_Service,MATCH($B23,[4]TotalCosts_Service!$B$9:$B$608,0),MATCH(L$3,[4]TotalCosts_Service!$CH$8:$CN$8,0))*million</f>
        <v>2856767.1557650114</v>
      </c>
      <c r="M23" s="100">
        <f>INDEX([4]!FC.TotalCosts_Service,MATCH($B23,[4]TotalCosts_Service!$B$9:$B$608,0),MATCH(M$3,[4]TotalCosts_Service!$CH$8:$CN$8,0))*million</f>
        <v>3479052.7757513202</v>
      </c>
    </row>
    <row r="24" spans="2:13" ht="14.65" thickBot="1" x14ac:dyDescent="0.5">
      <c r="B24" s="9" t="str">
        <v>WN333</v>
      </c>
      <c r="C24" t="s">
        <v>296</v>
      </c>
      <c r="D24" s="100"/>
      <c r="E24" s="178">
        <v>470338.50842743111</v>
      </c>
      <c r="F24" s="100"/>
      <c r="G24" s="100">
        <f>INDEX([4]!FC.TotalCosts_Service,MATCH($B24,[4]TotalCosts_Service!$B$9:$B$608,0),MATCH(G$3,[4]TotalCosts_Service!$CH$8:$CN$8,0))*million</f>
        <v>256227.55440886441</v>
      </c>
      <c r="H24" s="100">
        <f>INDEX([4]!FC.TotalCosts_Service,MATCH($B24,[4]TotalCosts_Service!$B$9:$B$608,0),MATCH(H$3,[4]TotalCosts_Service!$CH$8:$CN$8,0))*million</f>
        <v>159516.90713252657</v>
      </c>
      <c r="I24" s="100">
        <f>INDEX([4]!FC.TotalCosts_Service,MATCH($B24,[4]TotalCosts_Service!$B$9:$B$608,0),MATCH(I$3,[4]TotalCosts_Service!$CH$8:$CN$8,0))*million</f>
        <v>171043.70695379455</v>
      </c>
      <c r="J24" s="100">
        <f>INDEX([4]!FC.TotalCosts_Service,MATCH($B24,[4]TotalCosts_Service!$B$9:$B$608,0),MATCH(J$3,[4]TotalCosts_Service!$CH$8:$CN$8,0))*million</f>
        <v>170658.00093871017</v>
      </c>
      <c r="K24" s="100">
        <f>INDEX([4]!FC.TotalCosts_Service,MATCH($B24,[4]TotalCosts_Service!$B$9:$B$608,0),MATCH(K$3,[4]TotalCosts_Service!$CH$8:$CN$8,0))*million</f>
        <v>172747.5621819337</v>
      </c>
      <c r="L24" s="100">
        <f>INDEX([4]!FC.TotalCosts_Service,MATCH($B24,[4]TotalCosts_Service!$B$9:$B$608,0),MATCH(L$3,[4]TotalCosts_Service!$CH$8:$CN$8,0))*million</f>
        <v>171522.56929011855</v>
      </c>
      <c r="M24" s="100">
        <f>INDEX([4]!FC.TotalCosts_Service,MATCH($B24,[4]TotalCosts_Service!$B$9:$B$608,0),MATCH(M$3,[4]TotalCosts_Service!$CH$8:$CN$8,0))*million</f>
        <v>321653.91924236796</v>
      </c>
    </row>
    <row r="25" spans="2:13" ht="14.65" thickBot="1" x14ac:dyDescent="0.5">
      <c r="B25" s="9" t="str">
        <v>WX335</v>
      </c>
      <c r="C25" t="s">
        <v>297</v>
      </c>
      <c r="D25" s="100"/>
      <c r="E25" s="178">
        <v>274420.08276416466</v>
      </c>
      <c r="F25" s="100"/>
      <c r="G25" s="100">
        <f>INDEX([4]!FC.TotalCosts_Service,MATCH($B25,[4]TotalCosts_Service!$B$9:$B$608,0),MATCH(G$3,[4]TotalCosts_Service!$CH$8:$CN$8,0))*million</f>
        <v>50796.655364845072</v>
      </c>
      <c r="H25" s="100">
        <f>INDEX([4]!FC.TotalCosts_Service,MATCH($B25,[4]TotalCosts_Service!$B$9:$B$608,0),MATCH(H$3,[4]TotalCosts_Service!$CH$8:$CN$8,0))*million</f>
        <v>78756.410022268945</v>
      </c>
      <c r="I25" s="100">
        <f>INDEX([4]!FC.TotalCosts_Service,MATCH($B25,[4]TotalCosts_Service!$B$9:$B$608,0),MATCH(I$3,[4]TotalCosts_Service!$CH$8:$CN$8,0))*million</f>
        <v>85844.484036214664</v>
      </c>
      <c r="J25" s="100">
        <f>INDEX([4]!FC.TotalCosts_Service,MATCH($B25,[4]TotalCosts_Service!$B$9:$B$608,0),MATCH(J$3,[4]TotalCosts_Service!$CH$8:$CN$8,0))*million</f>
        <v>90828.471398915557</v>
      </c>
      <c r="K25" s="100">
        <f>INDEX([4]!FC.TotalCosts_Service,MATCH($B25,[4]TotalCosts_Service!$B$9:$B$608,0),MATCH(K$3,[4]TotalCosts_Service!$CH$8:$CN$8,0))*million</f>
        <v>93935.873042825304</v>
      </c>
      <c r="L25" s="100">
        <f>INDEX([4]!FC.TotalCosts_Service,MATCH($B25,[4]TotalCosts_Service!$B$9:$B$608,0),MATCH(L$3,[4]TotalCosts_Service!$CH$8:$CN$8,0))*million</f>
        <v>98303.976720078252</v>
      </c>
      <c r="M25" s="100">
        <f>INDEX([4]!FC.TotalCosts_Service,MATCH($B25,[4]TotalCosts_Service!$B$9:$B$608,0),MATCH(M$3,[4]TotalCosts_Service!$CH$8:$CN$8,0))*million</f>
        <v>1440423.1226858504</v>
      </c>
    </row>
    <row r="26" spans="2:13" ht="14.65" thickBot="1" x14ac:dyDescent="0.5">
      <c r="B26" s="9" t="str">
        <v>WN348</v>
      </c>
      <c r="C26" t="s">
        <v>298</v>
      </c>
      <c r="D26" s="100"/>
      <c r="E26" s="178">
        <v>11240905.877808275</v>
      </c>
      <c r="F26" s="100"/>
      <c r="G26" s="100">
        <f>INDEX([4]!FC.TotalCosts_Service,MATCH($B26,[4]TotalCosts_Service!$B$9:$B$608,0),MATCH(G$3,[4]TotalCosts_Service!$CH$8:$CN$8,0))*million</f>
        <v>51079265.231080942</v>
      </c>
      <c r="H26" s="100">
        <f>INDEX([4]!FC.TotalCosts_Service,MATCH($B26,[4]TotalCosts_Service!$B$9:$B$608,0),MATCH(H$3,[4]TotalCosts_Service!$CH$8:$CN$8,0))*million</f>
        <v>40055644.525058426</v>
      </c>
      <c r="I26" s="100">
        <f>INDEX([4]!FC.TotalCosts_Service,MATCH($B26,[4]TotalCosts_Service!$B$9:$B$608,0),MATCH(I$3,[4]TotalCosts_Service!$CH$8:$CN$8,0))*million</f>
        <v>54336100.069678381</v>
      </c>
      <c r="J26" s="100">
        <f>INDEX([4]!FC.TotalCosts_Service,MATCH($B26,[4]TotalCosts_Service!$B$9:$B$608,0),MATCH(J$3,[4]TotalCosts_Service!$CH$8:$CN$8,0))*million</f>
        <v>80607187.017060518</v>
      </c>
      <c r="K26" s="100">
        <f>INDEX([4]!FC.TotalCosts_Service,MATCH($B26,[4]TotalCosts_Service!$B$9:$B$608,0),MATCH(K$3,[4]TotalCosts_Service!$CH$8:$CN$8,0))*million</f>
        <v>80742450.400080189</v>
      </c>
      <c r="L26" s="100">
        <f>INDEX([4]!FC.TotalCosts_Service,MATCH($B26,[4]TotalCosts_Service!$B$9:$B$608,0),MATCH(L$3,[4]TotalCosts_Service!$CH$8:$CN$8,0))*million</f>
        <v>63068305.029597804</v>
      </c>
      <c r="M26" s="100">
        <f>INDEX([4]!FC.TotalCosts_Service,MATCH($B26,[4]TotalCosts_Service!$B$9:$B$608,0),MATCH(M$3,[4]TotalCosts_Service!$CH$8:$CN$8,0))*million</f>
        <v>37448993.345893309</v>
      </c>
    </row>
    <row r="27" spans="2:13" ht="14.65" thickBot="1" x14ac:dyDescent="0.5">
      <c r="B27" s="9" t="str">
        <v>WN350</v>
      </c>
      <c r="C27" t="s">
        <v>300</v>
      </c>
      <c r="D27" s="100"/>
      <c r="E27" s="178">
        <v>37493395.625035085</v>
      </c>
      <c r="F27" s="100"/>
      <c r="G27" s="100">
        <f>INDEX([4]!FC.TotalCosts_Service,MATCH($B27,[4]TotalCosts_Service!$B$9:$B$608,0),MATCH(G$3,[4]TotalCosts_Service!$CH$8:$CN$8,0))*million</f>
        <v>151451019.81441465</v>
      </c>
      <c r="H27" s="100">
        <f>INDEX([4]!FC.TotalCosts_Service,MATCH($B27,[4]TotalCosts_Service!$B$9:$B$608,0),MATCH(H$3,[4]TotalCosts_Service!$CH$8:$CN$8,0))*million</f>
        <v>89800855.522688389</v>
      </c>
      <c r="I27" s="100">
        <f>INDEX([4]!FC.TotalCosts_Service,MATCH($B27,[4]TotalCosts_Service!$B$9:$B$608,0),MATCH(I$3,[4]TotalCosts_Service!$CH$8:$CN$8,0))*million</f>
        <v>118203597.68120404</v>
      </c>
      <c r="J27" s="100">
        <f>INDEX([4]!FC.TotalCosts_Service,MATCH($B27,[4]TotalCosts_Service!$B$9:$B$608,0),MATCH(J$3,[4]TotalCosts_Service!$CH$8:$CN$8,0))*million</f>
        <v>123174888.28306788</v>
      </c>
      <c r="K27" s="100">
        <f>INDEX([4]!FC.TotalCosts_Service,MATCH($B27,[4]TotalCosts_Service!$B$9:$B$608,0),MATCH(K$3,[4]TotalCosts_Service!$CH$8:$CN$8,0))*million</f>
        <v>113192332.18931839</v>
      </c>
      <c r="L27" s="100">
        <f>INDEX([4]!FC.TotalCosts_Service,MATCH($B27,[4]TotalCosts_Service!$B$9:$B$608,0),MATCH(L$3,[4]TotalCosts_Service!$CH$8:$CN$8,0))*million</f>
        <v>112100400.82479325</v>
      </c>
      <c r="M27" s="100">
        <f>INDEX([4]!FC.TotalCosts_Service,MATCH($B27,[4]TotalCosts_Service!$B$9:$B$608,0),MATCH(M$3,[4]TotalCosts_Service!$CH$8:$CN$8,0))*million</f>
        <v>115874809.14553604</v>
      </c>
    </row>
    <row r="28" spans="2:13" ht="14.65" thickBot="1" x14ac:dyDescent="0.5">
      <c r="B28" s="9" t="str">
        <v>WX349</v>
      </c>
      <c r="C28" t="s">
        <v>301</v>
      </c>
      <c r="D28" s="100"/>
      <c r="E28" s="178">
        <v>6520736.2472740905</v>
      </c>
      <c r="F28" s="100"/>
      <c r="G28" s="100">
        <f>INDEX([4]!FC.TotalCosts_Service,MATCH($B28,[4]TotalCosts_Service!$B$9:$B$608,0),MATCH(G$3,[4]TotalCosts_Service!$CH$8:$CN$8,0))*million</f>
        <v>31035903.277018171</v>
      </c>
      <c r="H28" s="100">
        <f>INDEX([4]!FC.TotalCosts_Service,MATCH($B28,[4]TotalCosts_Service!$B$9:$B$608,0),MATCH(H$3,[4]TotalCosts_Service!$CH$8:$CN$8,0))*million</f>
        <v>25785443.075565103</v>
      </c>
      <c r="I28" s="100">
        <f>INDEX([4]!FC.TotalCosts_Service,MATCH($B28,[4]TotalCosts_Service!$B$9:$B$608,0),MATCH(I$3,[4]TotalCosts_Service!$CH$8:$CN$8,0))*million</f>
        <v>35563092.157698594</v>
      </c>
      <c r="J28" s="100">
        <f>INDEX([4]!FC.TotalCosts_Service,MATCH($B28,[4]TotalCosts_Service!$B$9:$B$608,0),MATCH(J$3,[4]TotalCosts_Service!$CH$8:$CN$8,0))*million</f>
        <v>52725811.775582321</v>
      </c>
      <c r="K28" s="100">
        <f>INDEX([4]!FC.TotalCosts_Service,MATCH($B28,[4]TotalCosts_Service!$B$9:$B$608,0),MATCH(K$3,[4]TotalCosts_Service!$CH$8:$CN$8,0))*million</f>
        <v>53525326.028283119</v>
      </c>
      <c r="L28" s="100">
        <f>INDEX([4]!FC.TotalCosts_Service,MATCH($B28,[4]TotalCosts_Service!$B$9:$B$608,0),MATCH(L$3,[4]TotalCosts_Service!$CH$8:$CN$8,0))*million</f>
        <v>40990716.824281715</v>
      </c>
      <c r="M28" s="100">
        <f>INDEX([4]!FC.TotalCosts_Service,MATCH($B28,[4]TotalCosts_Service!$B$9:$B$608,0),MATCH(M$3,[4]TotalCosts_Service!$CH$8:$CN$8,0))*million</f>
        <v>24489547.236529887</v>
      </c>
    </row>
    <row r="29" spans="2:13" ht="14.65" thickBot="1" x14ac:dyDescent="0.5">
      <c r="B29" s="9" t="str">
        <v>WX351</v>
      </c>
      <c r="C29" t="s">
        <v>302</v>
      </c>
      <c r="D29" s="100"/>
      <c r="E29" s="178">
        <v>20843384.571444687</v>
      </c>
      <c r="F29" s="100"/>
      <c r="G29" s="100">
        <f>INDEX([4]!FC.TotalCosts_Service,MATCH($B29,[4]TotalCosts_Service!$B$9:$B$608,0),MATCH(G$3,[4]TotalCosts_Service!$CH$8:$CN$8,0))*million</f>
        <v>79407375.905386806</v>
      </c>
      <c r="H29" s="100">
        <f>INDEX([4]!FC.TotalCosts_Service,MATCH($B29,[4]TotalCosts_Service!$B$9:$B$608,0),MATCH(H$3,[4]TotalCosts_Service!$CH$8:$CN$8,0))*million</f>
        <v>52898502.38261696</v>
      </c>
      <c r="I29" s="100">
        <f>INDEX([4]!FC.TotalCosts_Service,MATCH($B29,[4]TotalCosts_Service!$B$9:$B$608,0),MATCH(I$3,[4]TotalCosts_Service!$CH$8:$CN$8,0))*million</f>
        <v>70811550.455634087</v>
      </c>
      <c r="J29" s="100">
        <f>INDEX([4]!FC.TotalCosts_Service,MATCH($B29,[4]TotalCosts_Service!$B$9:$B$608,0),MATCH(J$3,[4]TotalCosts_Service!$CH$8:$CN$8,0))*million</f>
        <v>74593737.872301906</v>
      </c>
      <c r="K29" s="100">
        <f>INDEX([4]!FC.TotalCosts_Service,MATCH($B29,[4]TotalCosts_Service!$B$9:$B$608,0),MATCH(K$3,[4]TotalCosts_Service!$CH$8:$CN$8,0))*million</f>
        <v>68671738.875046581</v>
      </c>
      <c r="L29" s="100">
        <f>INDEX([4]!FC.TotalCosts_Service,MATCH($B29,[4]TotalCosts_Service!$B$9:$B$608,0),MATCH(L$3,[4]TotalCosts_Service!$CH$8:$CN$8,0))*million</f>
        <v>68435494.545886293</v>
      </c>
      <c r="M29" s="100">
        <f>INDEX([4]!FC.TotalCosts_Service,MATCH($B29,[4]TotalCosts_Service!$B$9:$B$608,0),MATCH(M$3,[4]TotalCosts_Service!$CH$8:$CN$8,0))*million</f>
        <v>70677386.508151188</v>
      </c>
    </row>
    <row r="30" spans="2:13" ht="14.65" thickBot="1" x14ac:dyDescent="0.5">
      <c r="B30" s="9" t="str">
        <v>WX355</v>
      </c>
      <c r="C30" t="s">
        <v>303</v>
      </c>
      <c r="D30" s="100"/>
      <c r="E30" s="178">
        <v>21515448.984485999</v>
      </c>
      <c r="F30" s="100"/>
      <c r="G30" s="100">
        <f>INDEX([4]!FC.TotalCosts_Service,MATCH($B30,[4]TotalCosts_Service!$B$9:$B$608,0),MATCH(G$3,[4]TotalCosts_Service!$CH$8:$CN$8,0))*million</f>
        <v>23153629.479076944</v>
      </c>
      <c r="H30" s="100">
        <f>INDEX([4]!FC.TotalCosts_Service,MATCH($B30,[4]TotalCosts_Service!$B$9:$B$608,0),MATCH(H$3,[4]TotalCosts_Service!$CH$8:$CN$8,0))*million</f>
        <v>15461616.53371791</v>
      </c>
      <c r="I30" s="100">
        <f>INDEX([4]!FC.TotalCosts_Service,MATCH($B30,[4]TotalCosts_Service!$B$9:$B$608,0),MATCH(I$3,[4]TotalCosts_Service!$CH$8:$CN$8,0))*million</f>
        <v>14950384.780907085</v>
      </c>
      <c r="J30" s="100">
        <f>INDEX([4]!FC.TotalCosts_Service,MATCH($B30,[4]TotalCosts_Service!$B$9:$B$608,0),MATCH(J$3,[4]TotalCosts_Service!$CH$8:$CN$8,0))*million</f>
        <v>10455367.233149709</v>
      </c>
      <c r="K30" s="100">
        <f>INDEX([4]!FC.TotalCosts_Service,MATCH($B30,[4]TotalCosts_Service!$B$9:$B$608,0),MATCH(K$3,[4]TotalCosts_Service!$CH$8:$CN$8,0))*million</f>
        <v>9882970.5573033188</v>
      </c>
      <c r="L30" s="100">
        <f>INDEX([4]!FC.TotalCosts_Service,MATCH($B30,[4]TotalCosts_Service!$B$9:$B$608,0),MATCH(L$3,[4]TotalCosts_Service!$CH$8:$CN$8,0))*million</f>
        <v>7911291.392588852</v>
      </c>
      <c r="M30" s="100">
        <f>INDEX([4]!FC.TotalCosts_Service,MATCH($B30,[4]TotalCosts_Service!$B$9:$B$608,0),MATCH(M$3,[4]TotalCosts_Service!$CH$8:$CN$8,0))*million</f>
        <v>0</v>
      </c>
    </row>
    <row r="31" spans="2:13" ht="14.65" thickBot="1" x14ac:dyDescent="0.5">
      <c r="B31" s="9" t="str">
        <v>WN354</v>
      </c>
      <c r="C31" t="s">
        <v>304</v>
      </c>
      <c r="D31" s="100"/>
      <c r="E31" s="178">
        <v>27811003.921969086</v>
      </c>
      <c r="F31" s="100"/>
      <c r="G31" s="100">
        <f>INDEX([4]!FC.TotalCosts_Service,MATCH($B31,[4]TotalCosts_Service!$B$9:$B$608,0),MATCH(G$3,[4]TotalCosts_Service!$CH$8:$CN$8,0))*million</f>
        <v>39706063.904815093</v>
      </c>
      <c r="H31" s="100">
        <f>INDEX([4]!FC.TotalCosts_Service,MATCH($B31,[4]TotalCosts_Service!$B$9:$B$608,0),MATCH(H$3,[4]TotalCosts_Service!$CH$8:$CN$8,0))*million</f>
        <v>24798196.52477733</v>
      </c>
      <c r="I31" s="100">
        <f>INDEX([4]!FC.TotalCosts_Service,MATCH($B31,[4]TotalCosts_Service!$B$9:$B$608,0),MATCH(I$3,[4]TotalCosts_Service!$CH$8:$CN$8,0))*million</f>
        <v>23976828.558713961</v>
      </c>
      <c r="J31" s="100">
        <f>INDEX([4]!FC.TotalCosts_Service,MATCH($B31,[4]TotalCosts_Service!$B$9:$B$608,0),MATCH(J$3,[4]TotalCosts_Service!$CH$8:$CN$8,0))*million</f>
        <v>16722872.385986481</v>
      </c>
      <c r="K31" s="100">
        <f>INDEX([4]!FC.TotalCosts_Service,MATCH($B31,[4]TotalCosts_Service!$B$9:$B$608,0),MATCH(K$3,[4]TotalCosts_Service!$CH$8:$CN$8,0))*million</f>
        <v>15795430.350566061</v>
      </c>
      <c r="L31" s="100">
        <f>INDEX([4]!FC.TotalCosts_Service,MATCH($B31,[4]TotalCosts_Service!$B$9:$B$608,0),MATCH(L$3,[4]TotalCosts_Service!$CH$8:$CN$8,0))*million</f>
        <v>12652932.086185452</v>
      </c>
      <c r="M31" s="100">
        <f>INDEX([4]!FC.TotalCosts_Service,MATCH($B31,[4]TotalCosts_Service!$B$9:$B$608,0),MATCH(M$3,[4]TotalCosts_Service!$CH$8:$CN$8,0))*million</f>
        <v>0</v>
      </c>
    </row>
    <row r="32" spans="2:13" ht="14.65" thickBot="1" x14ac:dyDescent="0.5">
      <c r="B32" s="9" t="str">
        <v>WN158</v>
      </c>
      <c r="C32" t="s">
        <v>305</v>
      </c>
      <c r="D32" s="100"/>
      <c r="E32" s="178">
        <v>942989.49369093124</v>
      </c>
      <c r="F32" s="100"/>
      <c r="G32" s="100">
        <f>INDEX([4]!FC.TotalCosts_Service,MATCH($B32,[4]TotalCosts_Service!$B$9:$B$608,0),MATCH(G$3,[4]TotalCosts_Service!$CH$8:$CN$8,0))*million</f>
        <v>1255226.5465084636</v>
      </c>
      <c r="H32" s="100">
        <f>INDEX([4]!FC.TotalCosts_Service,MATCH($B32,[4]TotalCosts_Service!$B$9:$B$608,0),MATCH(H$3,[4]TotalCosts_Service!$CH$8:$CN$8,0))*million</f>
        <v>991649.565477508</v>
      </c>
      <c r="I32" s="100">
        <f>INDEX([4]!FC.TotalCosts_Service,MATCH($B32,[4]TotalCosts_Service!$B$9:$B$608,0),MATCH(I$3,[4]TotalCosts_Service!$CH$8:$CN$8,0))*million</f>
        <v>878172.02230032627</v>
      </c>
      <c r="J32" s="100">
        <f>INDEX([4]!FC.TotalCosts_Service,MATCH($B32,[4]TotalCosts_Service!$B$9:$B$608,0),MATCH(J$3,[4]TotalCosts_Service!$CH$8:$CN$8,0))*million</f>
        <v>793286.14538714744</v>
      </c>
      <c r="K32" s="100">
        <f>INDEX([4]!FC.TotalCosts_Service,MATCH($B32,[4]TotalCosts_Service!$B$9:$B$608,0),MATCH(K$3,[4]TotalCosts_Service!$CH$8:$CN$8,0))*million</f>
        <v>622370.04954869801</v>
      </c>
      <c r="L32" s="100">
        <f>INDEX([4]!FC.TotalCosts_Service,MATCH($B32,[4]TotalCosts_Service!$B$9:$B$608,0),MATCH(L$3,[4]TotalCosts_Service!$CH$8:$CN$8,0))*million</f>
        <v>478751.72861855896</v>
      </c>
      <c r="M32" s="100">
        <f>INDEX([4]!FC.TotalCosts_Service,MATCH($B32,[4]TotalCosts_Service!$B$9:$B$608,0),MATCH(M$3,[4]TotalCosts_Service!$CH$8:$CN$8,0))*million</f>
        <v>369348.6400367996</v>
      </c>
    </row>
    <row r="33" spans="2:24" ht="14.65" thickBot="1" x14ac:dyDescent="0.5">
      <c r="B33" s="9" t="str">
        <v>WX135</v>
      </c>
      <c r="C33" t="s">
        <v>306</v>
      </c>
      <c r="D33" s="100"/>
      <c r="E33" s="178">
        <v>303272.88799594517</v>
      </c>
      <c r="F33" s="100"/>
      <c r="G33" s="100">
        <f>INDEX([4]!FC.TotalCosts_Service,MATCH($B33,[4]TotalCosts_Service!$B$9:$B$608,0),MATCH(G$3,[4]TotalCosts_Service!$CH$8:$CN$8,0))*million</f>
        <v>171036.94102571771</v>
      </c>
      <c r="H33" s="100">
        <f>INDEX([4]!FC.TotalCosts_Service,MATCH($B33,[4]TotalCosts_Service!$B$9:$B$608,0),MATCH(H$3,[4]TotalCosts_Service!$CH$8:$CN$8,0))*million</f>
        <v>123155.80585317717</v>
      </c>
      <c r="I33" s="100">
        <f>INDEX([4]!FC.TotalCosts_Service,MATCH($B33,[4]TotalCosts_Service!$B$9:$B$608,0),MATCH(I$3,[4]TotalCosts_Service!$CH$8:$CN$8,0))*million</f>
        <v>109139.22737622468</v>
      </c>
      <c r="J33" s="100">
        <f>INDEX([4]!FC.TotalCosts_Service,MATCH($B33,[4]TotalCosts_Service!$B$9:$B$608,0),MATCH(J$3,[4]TotalCosts_Service!$CH$8:$CN$8,0))*million</f>
        <v>96476.073379054127</v>
      </c>
      <c r="K33" s="100">
        <f>INDEX([4]!FC.TotalCosts_Service,MATCH($B33,[4]TotalCosts_Service!$B$9:$B$608,0),MATCH(K$3,[4]TotalCosts_Service!$CH$8:$CN$8,0))*million</f>
        <v>75320.162997179999</v>
      </c>
      <c r="L33" s="100">
        <f>INDEX([4]!FC.TotalCosts_Service,MATCH($B33,[4]TotalCosts_Service!$B$9:$B$608,0),MATCH(L$3,[4]TotalCosts_Service!$CH$8:$CN$8,0))*million</f>
        <v>57544.61139030206</v>
      </c>
      <c r="M33" s="100">
        <f>INDEX([4]!FC.TotalCosts_Service,MATCH($B33,[4]TotalCosts_Service!$B$9:$B$608,0),MATCH(M$3,[4]TotalCosts_Service!$CH$8:$CN$8,0))*million</f>
        <v>43813.006579943496</v>
      </c>
    </row>
    <row r="34" spans="2:24" ht="14.65" thickBot="1" x14ac:dyDescent="0.5">
      <c r="B34" s="9" t="str">
        <v>WN138</v>
      </c>
      <c r="C34" t="s">
        <v>307</v>
      </c>
      <c r="D34" s="100"/>
      <c r="E34" s="178">
        <v>424689.19173136179</v>
      </c>
      <c r="F34" s="100"/>
      <c r="G34" s="100">
        <f>INDEX([4]!FC.TotalCosts_Service,MATCH($B34,[4]TotalCosts_Service!$B$9:$B$608,0),MATCH(G$3,[4]TotalCosts_Service!$CH$8:$CN$8,0))*million</f>
        <v>629064.30393024569</v>
      </c>
      <c r="H34" s="100">
        <f>INDEX([4]!FC.TotalCosts_Service,MATCH($B34,[4]TotalCosts_Service!$B$9:$B$608,0),MATCH(H$3,[4]TotalCosts_Service!$CH$8:$CN$8,0))*million</f>
        <v>434138.78653378063</v>
      </c>
      <c r="I34" s="100">
        <f>INDEX([4]!FC.TotalCosts_Service,MATCH($B34,[4]TotalCosts_Service!$B$9:$B$608,0),MATCH(I$3,[4]TotalCosts_Service!$CH$8:$CN$8,0))*million</f>
        <v>322347.95202382462</v>
      </c>
      <c r="J34" s="100">
        <f>INDEX([4]!FC.TotalCosts_Service,MATCH($B34,[4]TotalCosts_Service!$B$9:$B$608,0),MATCH(J$3,[4]TotalCosts_Service!$CH$8:$CN$8,0))*million</f>
        <v>222589.01787982369</v>
      </c>
      <c r="K34" s="100">
        <f>INDEX([4]!FC.TotalCosts_Service,MATCH($B34,[4]TotalCosts_Service!$B$9:$B$608,0),MATCH(K$3,[4]TotalCosts_Service!$CH$8:$CN$8,0))*million</f>
        <v>144190.33816194409</v>
      </c>
      <c r="L34" s="100">
        <f>INDEX([4]!FC.TotalCosts_Service,MATCH($B34,[4]TotalCosts_Service!$B$9:$B$608,0),MATCH(L$3,[4]TotalCosts_Service!$CH$8:$CN$8,0))*million</f>
        <v>87246.031073758932</v>
      </c>
      <c r="M34" s="100">
        <f>INDEX([4]!FC.TotalCosts_Service,MATCH($B34,[4]TotalCosts_Service!$B$9:$B$608,0),MATCH(M$3,[4]TotalCosts_Service!$CH$8:$CN$8,0))*million</f>
        <v>65629.129936244935</v>
      </c>
    </row>
    <row r="35" spans="2:24" ht="14.65" thickBot="1" x14ac:dyDescent="0.5">
      <c r="B35" s="9" t="str">
        <v>WX134</v>
      </c>
      <c r="C35" t="s">
        <v>308</v>
      </c>
      <c r="D35" s="100"/>
      <c r="E35" s="178">
        <v>38537.130748341893</v>
      </c>
      <c r="F35" s="100"/>
      <c r="G35" s="100">
        <f>INDEX([4]!FC.TotalCosts_Service,MATCH($B35,[4]TotalCosts_Service!$B$9:$B$608,0),MATCH(G$3,[4]TotalCosts_Service!$CH$8:$CN$8,0))*million</f>
        <v>2035.5065616112136</v>
      </c>
      <c r="H35" s="100">
        <f>INDEX([4]!FC.TotalCosts_Service,MATCH($B35,[4]TotalCosts_Service!$B$9:$B$608,0),MATCH(H$3,[4]TotalCosts_Service!$CH$8:$CN$8,0))*million</f>
        <v>1310.5710036574151</v>
      </c>
      <c r="I35" s="100">
        <f>INDEX([4]!FC.TotalCosts_Service,MATCH($B35,[4]TotalCosts_Service!$B$9:$B$608,0),MATCH(I$3,[4]TotalCosts_Service!$CH$8:$CN$8,0))*million</f>
        <v>1002.6365458705624</v>
      </c>
      <c r="J35" s="100">
        <f>INDEX([4]!FC.TotalCosts_Service,MATCH($B35,[4]TotalCosts_Service!$B$9:$B$608,0),MATCH(J$3,[4]TotalCosts_Service!$CH$8:$CN$8,0))*million</f>
        <v>760.38048476429788</v>
      </c>
      <c r="K35" s="100">
        <f>INDEX([4]!FC.TotalCosts_Service,MATCH($B35,[4]TotalCosts_Service!$B$9:$B$608,0),MATCH(K$3,[4]TotalCosts_Service!$CH$8:$CN$8,0))*million</f>
        <v>524.96365285332638</v>
      </c>
      <c r="L35" s="100">
        <f>INDEX([4]!FC.TotalCosts_Service,MATCH($B35,[4]TotalCosts_Service!$B$9:$B$608,0),MATCH(L$3,[4]TotalCosts_Service!$CH$8:$CN$8,0))*million</f>
        <v>342.16406152175119</v>
      </c>
      <c r="M35" s="100">
        <f>INDEX([4]!FC.TotalCosts_Service,MATCH($B35,[4]TotalCosts_Service!$B$9:$B$608,0),MATCH(M$3,[4]TotalCosts_Service!$CH$8:$CN$8,0))*million</f>
        <v>468.27096475649302</v>
      </c>
    </row>
    <row r="36" spans="2:24" ht="14.65" thickBot="1" x14ac:dyDescent="0.5">
      <c r="B36" s="9" t="str">
        <v>SL121</v>
      </c>
      <c r="C36" t="s">
        <v>309</v>
      </c>
      <c r="D36" s="100"/>
      <c r="E36" s="178">
        <v>5811561.1019512787</v>
      </c>
      <c r="F36" s="100"/>
      <c r="G36" s="100">
        <f>INDEX([4]!FC.TotalCosts_Service,MATCH($B36,[4]TotalCosts_Service!$B$9:$B$608,0),MATCH(G$3,[4]TotalCosts_Service!$CH$8:$CN$8,0))*million</f>
        <v>30546003.26568846</v>
      </c>
      <c r="H36" s="100">
        <f>INDEX([4]!FC.TotalCosts_Service,MATCH($B36,[4]TotalCosts_Service!$B$9:$B$608,0),MATCH(H$3,[4]TotalCosts_Service!$CH$8:$CN$8,0))*million</f>
        <v>21802117.69066266</v>
      </c>
      <c r="I36" s="100">
        <f>INDEX([4]!FC.TotalCosts_Service,MATCH($B36,[4]TotalCosts_Service!$B$9:$B$608,0),MATCH(I$3,[4]TotalCosts_Service!$CH$8:$CN$8,0))*million</f>
        <v>17452984.936597444</v>
      </c>
      <c r="J36" s="100">
        <f>INDEX([4]!FC.TotalCosts_Service,MATCH($B36,[4]TotalCosts_Service!$B$9:$B$608,0),MATCH(J$3,[4]TotalCosts_Service!$CH$8:$CN$8,0))*million</f>
        <v>11788669.681392124</v>
      </c>
      <c r="K36" s="100">
        <f>INDEX([4]!FC.TotalCosts_Service,MATCH($B36,[4]TotalCosts_Service!$B$9:$B$608,0),MATCH(K$3,[4]TotalCosts_Service!$CH$8:$CN$8,0))*million</f>
        <v>8322351.8982665753</v>
      </c>
      <c r="L36" s="100">
        <f>INDEX([4]!FC.TotalCosts_Service,MATCH($B36,[4]TotalCosts_Service!$B$9:$B$608,0),MATCH(L$3,[4]TotalCosts_Service!$CH$8:$CN$8,0))*million</f>
        <v>4932832.6534712566</v>
      </c>
      <c r="M36" s="100">
        <f>INDEX([4]!FC.TotalCosts_Service,MATCH($B36,[4]TotalCosts_Service!$B$9:$B$608,0),MATCH(M$3,[4]TotalCosts_Service!$CH$8:$CN$8,0))*million</f>
        <v>1365740.146352839</v>
      </c>
    </row>
    <row r="37" spans="2:24" ht="14.65" thickBot="1" x14ac:dyDescent="0.5">
      <c r="B37" s="9" t="str">
        <v>SL122</v>
      </c>
      <c r="C37" t="s">
        <v>310</v>
      </c>
      <c r="D37" s="100"/>
      <c r="E37" s="178">
        <v>85552580.804881677</v>
      </c>
      <c r="F37" s="100"/>
      <c r="G37" s="100">
        <f>INDEX([4]!FC.TotalCosts_Service,MATCH($B37,[4]TotalCosts_Service!$B$9:$B$608,0),MATCH(G$3,[4]TotalCosts_Service!$CH$8:$CN$8,0))*million</f>
        <v>317397904.93518466</v>
      </c>
      <c r="H37" s="100">
        <f>INDEX([4]!FC.TotalCosts_Service,MATCH($B37,[4]TotalCosts_Service!$B$9:$B$608,0),MATCH(H$3,[4]TotalCosts_Service!$CH$8:$CN$8,0))*million</f>
        <v>244110946.47924551</v>
      </c>
      <c r="I37" s="100">
        <f>INDEX([4]!FC.TotalCosts_Service,MATCH($B37,[4]TotalCosts_Service!$B$9:$B$608,0),MATCH(I$3,[4]TotalCosts_Service!$CH$8:$CN$8,0))*million</f>
        <v>201064562.49378148</v>
      </c>
      <c r="J37" s="100">
        <f>INDEX([4]!FC.TotalCosts_Service,MATCH($B37,[4]TotalCosts_Service!$B$9:$B$608,0),MATCH(J$3,[4]TotalCosts_Service!$CH$8:$CN$8,0))*million</f>
        <v>136063227.66807789</v>
      </c>
      <c r="K37" s="100">
        <f>INDEX([4]!FC.TotalCosts_Service,MATCH($B37,[4]TotalCosts_Service!$B$9:$B$608,0),MATCH(K$3,[4]TotalCosts_Service!$CH$8:$CN$8,0))*million</f>
        <v>96417310.13556312</v>
      </c>
      <c r="L37" s="100">
        <f>INDEX([4]!FC.TotalCosts_Service,MATCH($B37,[4]TotalCosts_Service!$B$9:$B$608,0),MATCH(L$3,[4]TotalCosts_Service!$CH$8:$CN$8,0))*million</f>
        <v>57349375.216460027</v>
      </c>
      <c r="M37" s="100">
        <f>INDEX([4]!FC.TotalCosts_Service,MATCH($B37,[4]TotalCosts_Service!$B$9:$B$608,0),MATCH(M$3,[4]TotalCosts_Service!$CH$8:$CN$8,0))*million</f>
        <v>15911362.493166126</v>
      </c>
    </row>
    <row r="38" spans="2:24" ht="14.65" thickBot="1" x14ac:dyDescent="0.5">
      <c r="B38" s="9" t="str">
        <v>SL150</v>
      </c>
      <c r="C38" t="s">
        <v>311</v>
      </c>
      <c r="D38" s="100"/>
      <c r="E38" s="178">
        <v>11894657.786227703</v>
      </c>
      <c r="F38" s="100"/>
      <c r="G38" s="100">
        <f>INDEX([4]!FC.TotalCosts_Service,MATCH($B38,[4]TotalCosts_Service!$B$9:$B$608,0),MATCH(G$3,[4]TotalCosts_Service!$CH$8:$CN$8,0))*million</f>
        <v>50575933.10083098</v>
      </c>
      <c r="H38" s="100">
        <f>INDEX([4]!FC.TotalCosts_Service,MATCH($B38,[4]TotalCosts_Service!$B$9:$B$608,0),MATCH(H$3,[4]TotalCosts_Service!$CH$8:$CN$8,0))*million</f>
        <v>35891489.825268097</v>
      </c>
      <c r="I38" s="100">
        <f>INDEX([4]!FC.TotalCosts_Service,MATCH($B38,[4]TotalCosts_Service!$B$9:$B$608,0),MATCH(I$3,[4]TotalCosts_Service!$CH$8:$CN$8,0))*million</f>
        <v>29115945.659016728</v>
      </c>
      <c r="J38" s="100">
        <f>INDEX([4]!FC.TotalCosts_Service,MATCH($B38,[4]TotalCosts_Service!$B$9:$B$608,0),MATCH(J$3,[4]TotalCosts_Service!$CH$8:$CN$8,0))*million</f>
        <v>19681466.002040017</v>
      </c>
      <c r="K38" s="100">
        <f>INDEX([4]!FC.TotalCosts_Service,MATCH($B38,[4]TotalCosts_Service!$B$9:$B$608,0),MATCH(K$3,[4]TotalCosts_Service!$CH$8:$CN$8,0))*million</f>
        <v>14092266.992631774</v>
      </c>
      <c r="L38" s="100">
        <f>INDEX([4]!FC.TotalCosts_Service,MATCH($B38,[4]TotalCosts_Service!$B$9:$B$608,0),MATCH(L$3,[4]TotalCosts_Service!$CH$8:$CN$8,0))*million</f>
        <v>8371052.8766698074</v>
      </c>
      <c r="M38" s="100">
        <f>INDEX([4]!FC.TotalCosts_Service,MATCH($B38,[4]TotalCosts_Service!$B$9:$B$608,0),MATCH(M$3,[4]TotalCosts_Service!$CH$8:$CN$8,0))*million</f>
        <v>2337411.3985130503</v>
      </c>
    </row>
    <row r="39" spans="2:24" ht="14.65" thickBot="1" x14ac:dyDescent="0.5">
      <c r="B39" s="9" t="str">
        <v>SL151</v>
      </c>
      <c r="C39" t="s">
        <v>312</v>
      </c>
      <c r="D39" s="100"/>
      <c r="E39" s="178">
        <v>36698167.613360316</v>
      </c>
      <c r="F39" s="100"/>
      <c r="G39" s="100">
        <f>INDEX([4]!FC.TotalCosts_Service,MATCH($B39,[4]TotalCosts_Service!$B$9:$B$608,0),MATCH(G$3,[4]TotalCosts_Service!$CH$8:$CN$8,0))*million</f>
        <v>90238752.210666955</v>
      </c>
      <c r="H39" s="100">
        <f>INDEX([4]!FC.TotalCosts_Service,MATCH($B39,[4]TotalCosts_Service!$B$9:$B$608,0),MATCH(H$3,[4]TotalCosts_Service!$CH$8:$CN$8,0))*million</f>
        <v>64052796.75371629</v>
      </c>
      <c r="I39" s="100">
        <f>INDEX([4]!FC.TotalCosts_Service,MATCH($B39,[4]TotalCosts_Service!$B$9:$B$608,0),MATCH(I$3,[4]TotalCosts_Service!$CH$8:$CN$8,0))*million</f>
        <v>52815642.111733086</v>
      </c>
      <c r="J39" s="100">
        <f>INDEX([4]!FC.TotalCosts_Service,MATCH($B39,[4]TotalCosts_Service!$B$9:$B$608,0),MATCH(J$3,[4]TotalCosts_Service!$CH$8:$CN$8,0))*million</f>
        <v>35373280.269649938</v>
      </c>
      <c r="K39" s="100">
        <f>INDEX([4]!FC.TotalCosts_Service,MATCH($B39,[4]TotalCosts_Service!$B$9:$B$608,0),MATCH(K$3,[4]TotalCosts_Service!$CH$8:$CN$8,0))*million</f>
        <v>25647630.780392718</v>
      </c>
      <c r="L39" s="100">
        <f>INDEX([4]!FC.TotalCosts_Service,MATCH($B39,[4]TotalCosts_Service!$B$9:$B$608,0),MATCH(L$3,[4]TotalCosts_Service!$CH$8:$CN$8,0))*million</f>
        <v>14848990.906670084</v>
      </c>
      <c r="M39" s="100">
        <f>INDEX([4]!FC.TotalCosts_Service,MATCH($B39,[4]TotalCosts_Service!$B$9:$B$608,0),MATCH(M$3,[4]TotalCosts_Service!$CH$8:$CN$8,0))*million</f>
        <v>4148572.6467589866</v>
      </c>
    </row>
    <row r="40" spans="2:24" ht="14.65" thickBot="1" x14ac:dyDescent="0.5">
      <c r="B40" s="9" t="str">
        <v>SL111</v>
      </c>
      <c r="C40" t="s">
        <v>313</v>
      </c>
      <c r="D40" s="100"/>
      <c r="E40" s="178">
        <v>27894.875001888548</v>
      </c>
      <c r="F40" s="100"/>
      <c r="G40" s="100">
        <f>INDEX([4]!FC.TotalCosts_Service,MATCH($B40,[4]TotalCosts_Service!$B$9:$B$608,0),MATCH(G$3,[4]TotalCosts_Service!$CH$8:$CN$8,0))*million</f>
        <v>25460.326320373344</v>
      </c>
      <c r="H40" s="100">
        <f>INDEX([4]!FC.TotalCosts_Service,MATCH($B40,[4]TotalCosts_Service!$B$9:$B$608,0),MATCH(H$3,[4]TotalCosts_Service!$CH$8:$CN$8,0))*million</f>
        <v>17443.821364876912</v>
      </c>
      <c r="I40" s="100">
        <f>INDEX([4]!FC.TotalCosts_Service,MATCH($B40,[4]TotalCosts_Service!$B$9:$B$608,0),MATCH(I$3,[4]TotalCosts_Service!$CH$8:$CN$8,0))*million</f>
        <v>9923.0532330876486</v>
      </c>
      <c r="J40" s="100">
        <f>INDEX([4]!FC.TotalCosts_Service,MATCH($B40,[4]TotalCosts_Service!$B$9:$B$608,0),MATCH(J$3,[4]TotalCosts_Service!$CH$8:$CN$8,0))*million</f>
        <v>5808.0159806898546</v>
      </c>
      <c r="K40" s="100">
        <f>INDEX([4]!FC.TotalCosts_Service,MATCH($B40,[4]TotalCosts_Service!$B$9:$B$608,0),MATCH(K$3,[4]TotalCosts_Service!$CH$8:$CN$8,0))*million</f>
        <v>3653.5992009568049</v>
      </c>
      <c r="L40" s="100">
        <f>INDEX([4]!FC.TotalCosts_Service,MATCH($B40,[4]TotalCosts_Service!$B$9:$B$608,0),MATCH(L$3,[4]TotalCosts_Service!$CH$8:$CN$8,0))*million</f>
        <v>1823.2389673154776</v>
      </c>
      <c r="M40" s="100">
        <f>INDEX([4]!FC.TotalCosts_Service,MATCH($B40,[4]TotalCosts_Service!$B$9:$B$608,0),MATCH(M$3,[4]TotalCosts_Service!$CH$8:$CN$8,0))*million</f>
        <v>1210.0274419827454</v>
      </c>
    </row>
    <row r="41" spans="2:24" ht="14.65" thickBot="1" x14ac:dyDescent="0.5">
      <c r="B41" s="9" t="str">
        <v>SL112</v>
      </c>
      <c r="C41" t="s">
        <v>314</v>
      </c>
      <c r="D41" s="100"/>
      <c r="E41" s="178">
        <v>498995.10478032118</v>
      </c>
      <c r="F41" s="100"/>
      <c r="G41" s="100">
        <f>INDEX([4]!FC.TotalCosts_Service,MATCH($B41,[4]TotalCosts_Service!$B$9:$B$608,0),MATCH(G$3,[4]TotalCosts_Service!$CH$8:$CN$8,0))*million</f>
        <v>263901.09322004899</v>
      </c>
      <c r="H41" s="100">
        <f>INDEX([4]!FC.TotalCosts_Service,MATCH($B41,[4]TotalCosts_Service!$B$9:$B$608,0),MATCH(H$3,[4]TotalCosts_Service!$CH$8:$CN$8,0))*million</f>
        <v>162898.72014343418</v>
      </c>
      <c r="I41" s="100">
        <f>INDEX([4]!FC.TotalCosts_Service,MATCH($B41,[4]TotalCosts_Service!$B$9:$B$608,0),MATCH(I$3,[4]TotalCosts_Service!$CH$8:$CN$8,0))*million</f>
        <v>92677.745058750559</v>
      </c>
      <c r="J41" s="100">
        <f>INDEX([4]!FC.TotalCosts_Service,MATCH($B41,[4]TotalCosts_Service!$B$9:$B$608,0),MATCH(J$3,[4]TotalCosts_Service!$CH$8:$CN$8,0))*million</f>
        <v>54296.697224290234</v>
      </c>
      <c r="K41" s="100">
        <f>INDEX([4]!FC.TotalCosts_Service,MATCH($B41,[4]TotalCosts_Service!$B$9:$B$608,0),MATCH(K$3,[4]TotalCosts_Service!$CH$8:$CN$8,0))*million</f>
        <v>34160.070635008531</v>
      </c>
      <c r="L41" s="100">
        <f>INDEX([4]!FC.TotalCosts_Service,MATCH($B41,[4]TotalCosts_Service!$B$9:$B$608,0),MATCH(L$3,[4]TotalCosts_Service!$CH$8:$CN$8,0))*million</f>
        <v>17062.245086422787</v>
      </c>
      <c r="M41" s="100">
        <f>INDEX([4]!FC.TotalCosts_Service,MATCH($B41,[4]TotalCosts_Service!$B$9:$B$608,0),MATCH(M$3,[4]TotalCosts_Service!$CH$8:$CN$8,0))*million</f>
        <v>11693.608377516055</v>
      </c>
    </row>
    <row r="42" spans="2:24" ht="14.65" thickBot="1" x14ac:dyDescent="0.5">
      <c r="B42" s="9" t="str">
        <v>SL140</v>
      </c>
      <c r="C42" t="s">
        <v>315</v>
      </c>
      <c r="D42" s="100"/>
      <c r="E42" s="178">
        <v>238941.28442621944</v>
      </c>
      <c r="F42" s="100"/>
      <c r="G42" s="100">
        <f>INDEX([4]!FC.TotalCosts_Service,MATCH($B42,[4]TotalCosts_Service!$B$9:$B$608,0),MATCH(G$3,[4]TotalCosts_Service!$CH$8:$CN$8,0))*million</f>
        <v>22688.054645675256</v>
      </c>
      <c r="H42" s="100">
        <f>INDEX([4]!FC.TotalCosts_Service,MATCH($B42,[4]TotalCosts_Service!$B$9:$B$608,0),MATCH(H$3,[4]TotalCosts_Service!$CH$8:$CN$8,0))*million</f>
        <v>11844.891926113198</v>
      </c>
      <c r="I42" s="100">
        <f>INDEX([4]!FC.TotalCosts_Service,MATCH($B42,[4]TotalCosts_Service!$B$9:$B$608,0),MATCH(I$3,[4]TotalCosts_Service!$CH$8:$CN$8,0))*million</f>
        <v>6740.4131939613471</v>
      </c>
      <c r="J42" s="100">
        <f>INDEX([4]!FC.TotalCosts_Service,MATCH($B42,[4]TotalCosts_Service!$B$9:$B$608,0),MATCH(J$3,[4]TotalCosts_Service!$CH$8:$CN$8,0))*million</f>
        <v>3948.3876218890719</v>
      </c>
      <c r="K42" s="100">
        <f>INDEX([4]!FC.TotalCosts_Service,MATCH($B42,[4]TotalCosts_Service!$B$9:$B$608,0),MATCH(K$3,[4]TotalCosts_Service!$CH$8:$CN$8,0))*million</f>
        <v>2483.8688213235728</v>
      </c>
      <c r="L42" s="100">
        <f>INDEX([4]!FC.TotalCosts_Service,MATCH($B42,[4]TotalCosts_Service!$B$9:$B$608,0),MATCH(L$3,[4]TotalCosts_Service!$CH$8:$CN$8,0))*million</f>
        <v>1240.3374795736038</v>
      </c>
      <c r="M42" s="100">
        <f>INDEX([4]!FC.TotalCosts_Service,MATCH($B42,[4]TotalCosts_Service!$B$9:$B$608,0),MATCH(M$3,[4]TotalCosts_Service!$CH$8:$CN$8,0))*million</f>
        <v>841.95409820305099</v>
      </c>
    </row>
    <row r="43" spans="2:24" x14ac:dyDescent="0.45">
      <c r="B43" s="9" t="str">
        <v>SL144</v>
      </c>
      <c r="C43" t="s">
        <v>316</v>
      </c>
      <c r="D43" s="100"/>
      <c r="E43" s="178">
        <v>99525.537874684014</v>
      </c>
      <c r="F43" s="100"/>
      <c r="G43" s="100">
        <f>INDEX([4]!FC.TotalCosts_Service,MATCH($B43,[4]TotalCosts_Service!$B$9:$B$608,0),MATCH(G$3,[4]TotalCosts_Service!$CH$8:$CN$8,0))*million</f>
        <v>23177.033749369988</v>
      </c>
      <c r="H43" s="100">
        <f>INDEX([4]!FC.TotalCosts_Service,MATCH($B43,[4]TotalCosts_Service!$B$9:$B$608,0),MATCH(H$3,[4]TotalCosts_Service!$CH$8:$CN$8,0))*million</f>
        <v>17165.517304555684</v>
      </c>
      <c r="I43" s="100">
        <f>INDEX([4]!FC.TotalCosts_Service,MATCH($B43,[4]TotalCosts_Service!$B$9:$B$608,0),MATCH(I$3,[4]TotalCosts_Service!$CH$8:$CN$8,0))*million</f>
        <v>9768.6070564752281</v>
      </c>
      <c r="J43" s="100">
        <f>INDEX([4]!FC.TotalCosts_Service,MATCH($B43,[4]TotalCosts_Service!$B$9:$B$608,0),MATCH(J$3,[4]TotalCosts_Service!$CH$8:$CN$8,0))*million</f>
        <v>5725.7283976875715</v>
      </c>
      <c r="K43" s="100">
        <f>INDEX([4]!FC.TotalCosts_Service,MATCH($B43,[4]TotalCosts_Service!$B$9:$B$608,0),MATCH(K$3,[4]TotalCosts_Service!$CH$8:$CN$8,0))*million</f>
        <v>3602.9326072723588</v>
      </c>
      <c r="L43" s="100">
        <f>INDEX([4]!FC.TotalCosts_Service,MATCH($B43,[4]TotalCosts_Service!$B$9:$B$608,0),MATCH(L$3,[4]TotalCosts_Service!$CH$8:$CN$8,0))*million</f>
        <v>1799.9577702504168</v>
      </c>
      <c r="M43" s="100">
        <f>INDEX([4]!FC.TotalCosts_Service,MATCH($B43,[4]TotalCosts_Service!$B$9:$B$608,0),MATCH(M$3,[4]TotalCosts_Service!$CH$8:$CN$8,0))*million</f>
        <v>1245.1944475891282</v>
      </c>
    </row>
    <row r="45" spans="2:24" x14ac:dyDescent="0.45">
      <c r="G45" s="230" t="s">
        <v>452</v>
      </c>
      <c r="H45" s="230"/>
      <c r="I45" s="230"/>
      <c r="J45" s="230"/>
      <c r="K45" s="230"/>
      <c r="L45" s="230"/>
      <c r="M45" s="230"/>
    </row>
    <row r="46" spans="2:24" ht="15.75" x14ac:dyDescent="0.5">
      <c r="E46" s="169" t="s">
        <v>457</v>
      </c>
      <c r="G46" s="230" t="s">
        <v>456</v>
      </c>
      <c r="H46" s="230"/>
      <c r="I46" s="230"/>
      <c r="J46" s="230"/>
      <c r="K46" s="230"/>
      <c r="L46" s="230"/>
      <c r="M46" s="230"/>
      <c r="O46" s="154" t="s">
        <v>392</v>
      </c>
      <c r="U46" s="154" t="s">
        <v>418</v>
      </c>
    </row>
    <row r="47" spans="2:24" x14ac:dyDescent="0.45">
      <c r="E47" s="170" t="s">
        <v>419</v>
      </c>
      <c r="G47" s="170" t="s">
        <v>419</v>
      </c>
      <c r="H47" s="171" t="s">
        <v>420</v>
      </c>
      <c r="I47" s="171"/>
      <c r="J47" s="171"/>
      <c r="K47" s="171"/>
      <c r="L47" s="171"/>
      <c r="M47" s="171"/>
    </row>
    <row r="48" spans="2:24" x14ac:dyDescent="0.45">
      <c r="D48" s="15" t="s">
        <v>5</v>
      </c>
      <c r="E48" s="15" t="s">
        <v>6</v>
      </c>
      <c r="F48" s="16" t="s">
        <v>7</v>
      </c>
      <c r="G48" s="16" t="s">
        <v>8</v>
      </c>
      <c r="H48" s="15" t="s">
        <v>9</v>
      </c>
      <c r="I48" s="15" t="s">
        <v>10</v>
      </c>
      <c r="J48" s="15" t="s">
        <v>11</v>
      </c>
      <c r="K48" s="16" t="s">
        <v>12</v>
      </c>
      <c r="L48" s="16" t="s">
        <v>13</v>
      </c>
      <c r="M48" s="15" t="s">
        <v>14</v>
      </c>
      <c r="O48" s="15" t="s">
        <v>5</v>
      </c>
      <c r="P48" s="15" t="s">
        <v>6</v>
      </c>
      <c r="Q48" s="16" t="s">
        <v>7</v>
      </c>
      <c r="R48" s="16" t="s">
        <v>8</v>
      </c>
      <c r="U48" s="15" t="s">
        <v>5</v>
      </c>
      <c r="V48" s="15" t="s">
        <v>6</v>
      </c>
      <c r="W48" s="16" t="s">
        <v>7</v>
      </c>
      <c r="X48" s="16" t="s">
        <v>8</v>
      </c>
    </row>
    <row r="49" spans="2:24" ht="14.65" thickBot="1" x14ac:dyDescent="0.5">
      <c r="B49" s="11" t="s">
        <v>4</v>
      </c>
      <c r="C49" s="8" t="s">
        <v>413</v>
      </c>
      <c r="D49" s="12" t="s">
        <v>452</v>
      </c>
      <c r="E49" s="12"/>
      <c r="F49" s="12"/>
      <c r="G49" s="12"/>
      <c r="H49" s="12"/>
      <c r="J49" s="28"/>
    </row>
    <row r="50" spans="2:24" ht="14.65" thickBot="1" x14ac:dyDescent="0.5">
      <c r="B50" s="9" t="s">
        <v>361</v>
      </c>
      <c r="C50" t="s">
        <v>274</v>
      </c>
      <c r="D50" s="90"/>
      <c r="E50" s="178">
        <v>585856.40744959435</v>
      </c>
      <c r="F50" s="90"/>
      <c r="G50" s="90">
        <v>494004.98958327377</v>
      </c>
      <c r="H50" s="90">
        <v>219423.96728686948</v>
      </c>
      <c r="I50" s="90">
        <v>155874.38750755251</v>
      </c>
      <c r="J50" s="90">
        <v>57582.359741248496</v>
      </c>
      <c r="K50" s="90">
        <v>44644.340883251964</v>
      </c>
      <c r="L50" s="90">
        <v>41494.637768391083</v>
      </c>
      <c r="M50" s="90">
        <v>41771.821078962683</v>
      </c>
      <c r="O50" s="28"/>
      <c r="P50" s="28">
        <f>E50/INDEX('Top Down inputs'!$C$98:$Q$137,MATCH('Re-scaled copper costs'!$B50,_xlfn.ANCHORARRAY('Top Down inputs'!$S$98),0),MATCH(P$48,'Top Down inputs'!$C$96:$Q$96,0))</f>
        <v>78.555087221082417</v>
      </c>
      <c r="Q50" s="28">
        <f>AVERAGE(P50,R50)</f>
        <v>155.11646382469903</v>
      </c>
      <c r="R50" s="28">
        <f>G50/INDEX('Top Down inputs'!$C$98:$Q$137,MATCH('Re-scaled copper costs'!$B50,_xlfn.ANCHORARRAY('Top Down inputs'!$S$98),0),MATCH(R$48,'Top Down inputs'!$C$96:$Q$96,0))</f>
        <v>231.67784042831565</v>
      </c>
      <c r="T50" s="28"/>
      <c r="U50" s="28"/>
      <c r="V50" s="26">
        <f>P50*INDEX('Top Down inputs'!$U$98:$AI$137,MATCH('Re-scaled copper costs'!$B50,_xlfn.ANCHORARRAY('Top Down inputs'!$S$98),0),MATCH('Re-scaled copper costs'!V$48,'Top Down inputs'!$U$96:$AI$96,0))</f>
        <v>282491.67687755439</v>
      </c>
      <c r="W50" s="26">
        <f>Q50*INDEX('Top Down inputs'!$U$98:$AI$137,MATCH('Re-scaled copper costs'!$B50,_xlfn.ANCHORARRAY('Top Down inputs'!$S$98),0),MATCH('Re-scaled copper costs'!W$48,'Top Down inputs'!$U$96:$AI$96,0))</f>
        <v>352265.27683948161</v>
      </c>
      <c r="X50" s="26">
        <f>R50*INDEX('Top Down inputs'!$U$98:$AI$137,MATCH('Re-scaled copper costs'!$B50,_xlfn.ANCHORARRAY('Top Down inputs'!$S$98),0),MATCH('Re-scaled copper costs'!X$48,'Top Down inputs'!$U$96:$AI$96,0))</f>
        <v>238202.22177097981</v>
      </c>
    </row>
    <row r="51" spans="2:24" ht="14.65" thickBot="1" x14ac:dyDescent="0.5">
      <c r="B51" s="9" t="s">
        <v>362</v>
      </c>
      <c r="C51" t="s">
        <v>276</v>
      </c>
      <c r="D51" s="90"/>
      <c r="E51" s="178">
        <v>1805.484053119103</v>
      </c>
      <c r="F51" s="90"/>
      <c r="G51" s="90">
        <v>1696.7620292524941</v>
      </c>
      <c r="H51" s="90">
        <v>736.17275250132843</v>
      </c>
      <c r="I51" s="90">
        <v>515.01118758918483</v>
      </c>
      <c r="J51" s="90">
        <v>190.45502504447481</v>
      </c>
      <c r="K51" s="90">
        <v>145.56755397180379</v>
      </c>
      <c r="L51" s="90">
        <v>133.22338954064085</v>
      </c>
      <c r="M51" s="90">
        <v>132.96738562632987</v>
      </c>
      <c r="P51" s="28">
        <f>E51/INDEX('Top Down inputs'!$C$98:$Q$137,MATCH('Re-scaled copper costs'!$B51,_xlfn.ANCHORARRAY('Top Down inputs'!$S$98),0),MATCH(P$48,'Top Down inputs'!$C$96:$Q$96,0))</f>
        <v>63.120613409722701</v>
      </c>
      <c r="Q51" s="28">
        <f t="shared" ref="Q51:Q89" si="0">AVERAGE(P51,R51)</f>
        <v>152.44782470548321</v>
      </c>
      <c r="R51" s="28">
        <f>G51/INDEX('Top Down inputs'!$C$98:$Q$137,MATCH('Re-scaled copper costs'!$B51,_xlfn.ANCHORARRAY('Top Down inputs'!$S$98),0),MATCH(R$48,'Top Down inputs'!$C$96:$Q$96,0))</f>
        <v>241.77503600124371</v>
      </c>
      <c r="V51" s="26">
        <f>P51*INDEX('Top Down inputs'!$U$98:$AI$137,MATCH('Re-scaled copper costs'!$B51,_xlfn.ANCHORARRAY('Top Down inputs'!$S$98),0),MATCH('Re-scaled copper costs'!V$48,'Top Down inputs'!$U$96:$AI$96,0))</f>
        <v>870.57888461377115</v>
      </c>
      <c r="W51" s="26">
        <f>Q51*INDEX('Top Down inputs'!$U$98:$AI$137,MATCH('Re-scaled copper costs'!$B51,_xlfn.ANCHORARRAY('Top Down inputs'!$S$98),0),MATCH('Re-scaled copper costs'!W$48,'Top Down inputs'!$U$96:$AI$96,0))</f>
        <v>794.50503161636516</v>
      </c>
      <c r="X51" s="26">
        <f>R51*INDEX('Top Down inputs'!$U$98:$AI$137,MATCH('Re-scaled copper costs'!$B51,_xlfn.ANCHORARRAY('Top Down inputs'!$S$98),0),MATCH('Re-scaled copper costs'!X$48,'Top Down inputs'!$U$96:$AI$96,0))</f>
        <v>818.15466180923977</v>
      </c>
    </row>
    <row r="52" spans="2:24" ht="14.65" thickBot="1" x14ac:dyDescent="0.5">
      <c r="B52" s="9" t="s">
        <v>363</v>
      </c>
      <c r="C52" t="s">
        <v>277</v>
      </c>
      <c r="D52" s="90"/>
      <c r="E52" s="178">
        <v>9405393.6214725822</v>
      </c>
      <c r="F52" s="90"/>
      <c r="G52" s="90">
        <v>12613141.733548516</v>
      </c>
      <c r="H52" s="90">
        <v>4096477.0233449535</v>
      </c>
      <c r="I52" s="90">
        <v>3067572.0652401615</v>
      </c>
      <c r="J52" s="90">
        <v>1193591.4086912719</v>
      </c>
      <c r="K52" s="90">
        <v>938612.97121697874</v>
      </c>
      <c r="L52" s="90">
        <v>884940.53315623768</v>
      </c>
      <c r="M52" s="90">
        <v>905361.34759272111</v>
      </c>
      <c r="P52" s="28">
        <f>E52/INDEX('Top Down inputs'!$C$98:$Q$137,MATCH('Re-scaled copper costs'!$B52,_xlfn.ANCHORARRAY('Top Down inputs'!$S$98),0),MATCH(P$48,'Top Down inputs'!$C$96:$Q$96,0))</f>
        <v>145.19169427464456</v>
      </c>
      <c r="Q52" s="28">
        <f t="shared" si="0"/>
        <v>199.52843113622521</v>
      </c>
      <c r="R52" s="28">
        <f>G52/INDEX('Top Down inputs'!$C$98:$Q$137,MATCH('Re-scaled copper costs'!$B52,_xlfn.ANCHORARRAY('Top Down inputs'!$S$98),0),MATCH(R$48,'Top Down inputs'!$C$96:$Q$96,0))</f>
        <v>253.86516799780588</v>
      </c>
      <c r="V52" s="26">
        <f>P52*INDEX('Top Down inputs'!$U$98:$AI$137,MATCH('Re-scaled copper costs'!$B52,_xlfn.ANCHORARRAY('Top Down inputs'!$S$98),0),MATCH('Re-scaled copper costs'!V$48,'Top Down inputs'!$U$96:$AI$96,0))</f>
        <v>4535147.8315133741</v>
      </c>
      <c r="W52" s="26">
        <f>Q52*INDEX('Top Down inputs'!$U$98:$AI$137,MATCH('Re-scaled copper costs'!$B52,_xlfn.ANCHORARRAY('Top Down inputs'!$S$98),0),MATCH('Re-scaled copper costs'!W$48,'Top Down inputs'!$U$96:$AI$96,0))</f>
        <v>4982453.7379222</v>
      </c>
      <c r="X52" s="26">
        <f>R52*INDEX('Top Down inputs'!$U$98:$AI$137,MATCH('Re-scaled copper costs'!$B52,_xlfn.ANCHORARRAY('Top Down inputs'!$S$98),0),MATCH('Re-scaled copper costs'!X$48,'Top Down inputs'!$U$96:$AI$96,0))</f>
        <v>6081878.6202503806</v>
      </c>
    </row>
    <row r="53" spans="2:24" ht="14.65" thickBot="1" x14ac:dyDescent="0.5">
      <c r="B53" s="9" t="s">
        <v>364</v>
      </c>
      <c r="C53" t="s">
        <v>278</v>
      </c>
      <c r="D53" s="90"/>
      <c r="E53" s="178">
        <v>102573547.17984532</v>
      </c>
      <c r="F53" s="90"/>
      <c r="G53" s="90">
        <v>153130379.85124862</v>
      </c>
      <c r="H53" s="90">
        <v>49881421.726046674</v>
      </c>
      <c r="I53" s="90">
        <v>38323190.668618426</v>
      </c>
      <c r="J53" s="90">
        <v>14305506.57273205</v>
      </c>
      <c r="K53" s="90">
        <v>11145283.90792734</v>
      </c>
      <c r="L53" s="90">
        <v>10328747.888472296</v>
      </c>
      <c r="M53" s="90">
        <v>10576800.318845455</v>
      </c>
      <c r="P53" s="28">
        <f>E53/INDEX('Top Down inputs'!$C$98:$Q$137,MATCH('Re-scaled copper costs'!$B53,_xlfn.ANCHORARRAY('Top Down inputs'!$S$98),0),MATCH(P$48,'Top Down inputs'!$C$96:$Q$96,0))</f>
        <v>106.20282758804316</v>
      </c>
      <c r="Q53" s="28">
        <f t="shared" si="0"/>
        <v>168.51319091378508</v>
      </c>
      <c r="R53" s="28">
        <f>G53/INDEX('Top Down inputs'!$C$98:$Q$137,MATCH('Re-scaled copper costs'!$B53,_xlfn.ANCHORARRAY('Top Down inputs'!$S$98),0),MATCH(R$48,'Top Down inputs'!$C$96:$Q$96,0))</f>
        <v>230.82355423952703</v>
      </c>
      <c r="V53" s="26">
        <f>P53*INDEX('Top Down inputs'!$U$98:$AI$137,MATCH('Re-scaled copper costs'!$B53,_xlfn.ANCHORARRAY('Top Down inputs'!$S$98),0),MATCH('Re-scaled copper costs'!V$48,'Top Down inputs'!$U$96:$AI$96,0))</f>
        <v>49459514.272883467</v>
      </c>
      <c r="W53" s="26">
        <f>Q53*INDEX('Top Down inputs'!$U$98:$AI$137,MATCH('Re-scaled copper costs'!$B53,_xlfn.ANCHORARRAY('Top Down inputs'!$S$98),0),MATCH('Re-scaled copper costs'!W$48,'Top Down inputs'!$U$96:$AI$96,0))</f>
        <v>67321860.112640947</v>
      </c>
      <c r="X53" s="26">
        <f>R53*INDEX('Top Down inputs'!$U$98:$AI$137,MATCH('Re-scaled copper costs'!$B53,_xlfn.ANCHORARRAY('Top Down inputs'!$S$98),0),MATCH('Re-scaled copper costs'!X$48,'Top Down inputs'!$U$96:$AI$96,0))</f>
        <v>73837304.218265995</v>
      </c>
    </row>
    <row r="54" spans="2:24" ht="14.65" thickBot="1" x14ac:dyDescent="0.5">
      <c r="B54" s="9" t="s">
        <v>324</v>
      </c>
      <c r="C54" t="s">
        <v>279</v>
      </c>
      <c r="D54" s="90"/>
      <c r="E54" s="178">
        <v>4220129.7638664637</v>
      </c>
      <c r="F54" s="90"/>
      <c r="G54" s="90">
        <v>1683580.4985543217</v>
      </c>
      <c r="H54" s="90">
        <v>674087.43000320776</v>
      </c>
      <c r="I54" s="90">
        <v>360694.95331396599</v>
      </c>
      <c r="J54" s="90">
        <v>123130.11897275948</v>
      </c>
      <c r="K54" s="90">
        <v>87559.09456526587</v>
      </c>
      <c r="L54" s="90">
        <v>72756.680317609353</v>
      </c>
      <c r="M54" s="90">
        <v>146257.68181584979</v>
      </c>
      <c r="P54" s="28">
        <f>E54/INDEX('Top Down inputs'!$C$98:$Q$137,MATCH('Re-scaled copper costs'!$B54,_xlfn.ANCHORARRAY('Top Down inputs'!$S$98),0),MATCH(P$48,'Top Down inputs'!$C$96:$Q$96,0))</f>
        <v>50.368074093162328</v>
      </c>
      <c r="Q54" s="28">
        <f t="shared" si="0"/>
        <v>45.551133917220085</v>
      </c>
      <c r="R54" s="28">
        <f>G54/INDEX('Top Down inputs'!$C$98:$Q$137,MATCH('Re-scaled copper costs'!$B54,_xlfn.ANCHORARRAY('Top Down inputs'!$S$98),0),MATCH(R$48,'Top Down inputs'!$C$96:$Q$96,0))</f>
        <v>40.734193741277849</v>
      </c>
      <c r="V54" s="26">
        <f>P54*INDEX('Top Down inputs'!$U$98:$AI$137,MATCH('Re-scaled copper costs'!$B54,_xlfn.ANCHORARRAY('Top Down inputs'!$S$98),0),MATCH('Re-scaled copper costs'!V$48,'Top Down inputs'!$U$96:$AI$96,0))</f>
        <v>2034886.9082533417</v>
      </c>
      <c r="W54" s="26">
        <f>Q54*INDEX('Top Down inputs'!$U$98:$AI$137,MATCH('Re-scaled copper costs'!$B54,_xlfn.ANCHORARRAY('Top Down inputs'!$S$98),0),MATCH('Re-scaled copper costs'!W$48,'Top Down inputs'!$U$96:$AI$96,0))</f>
        <v>1269389.4773711623</v>
      </c>
      <c r="X54" s="26">
        <f>R54*INDEX('Top Down inputs'!$U$98:$AI$137,MATCH('Re-scaled copper costs'!$B54,_xlfn.ANCHORARRAY('Top Down inputs'!$S$98),0),MATCH('Re-scaled copper costs'!X$48,'Top Down inputs'!$U$96:$AI$96,0))</f>
        <v>811798.71406608901</v>
      </c>
    </row>
    <row r="55" spans="2:24" ht="14.65" thickBot="1" x14ac:dyDescent="0.5">
      <c r="B55" s="9" t="s">
        <v>325</v>
      </c>
      <c r="C55" t="s">
        <v>280</v>
      </c>
      <c r="D55" s="90"/>
      <c r="E55" s="178">
        <v>59.551951612406441</v>
      </c>
      <c r="F55" s="90"/>
      <c r="G55" s="90">
        <v>2032.4527493775984</v>
      </c>
      <c r="H55" s="90">
        <v>0</v>
      </c>
      <c r="I55" s="90">
        <v>0</v>
      </c>
      <c r="J55" s="90">
        <v>0</v>
      </c>
      <c r="K55" s="90">
        <v>0</v>
      </c>
      <c r="L55" s="90">
        <v>0</v>
      </c>
      <c r="M55" s="90">
        <v>0</v>
      </c>
      <c r="P55" s="28">
        <f>E55/INDEX('Top Down inputs'!$C$98:$Q$137,MATCH('Re-scaled copper costs'!$B55,_xlfn.ANCHORARRAY('Top Down inputs'!$S$98),0),MATCH(P$48,'Top Down inputs'!$C$96:$Q$96,0))</f>
        <v>0.23691795694485418</v>
      </c>
      <c r="Q55" s="28">
        <f t="shared" si="0"/>
        <v>8.3141983771797161</v>
      </c>
      <c r="R55" s="28">
        <f>G55/INDEX('Top Down inputs'!$C$98:$Q$137,MATCH('Re-scaled copper costs'!$B55,_xlfn.ANCHORARRAY('Top Down inputs'!$S$98),0),MATCH(R$48,'Top Down inputs'!$C$96:$Q$96,0))</f>
        <v>16.391478797414578</v>
      </c>
      <c r="V55" s="26">
        <f>P55*INDEX('Top Down inputs'!$U$98:$AI$137,MATCH('Re-scaled copper costs'!$B55,_xlfn.ANCHORARRAY('Top Down inputs'!$S$98),0),MATCH('Re-scaled copper costs'!V$48,'Top Down inputs'!$U$96:$AI$96,0))</f>
        <v>28.715109126406677</v>
      </c>
      <c r="W55" s="26">
        <f>Q55*INDEX('Top Down inputs'!$U$98:$AI$137,MATCH('Re-scaled copper costs'!$B55,_xlfn.ANCHORARRAY('Top Down inputs'!$S$98),0),MATCH('Re-scaled copper costs'!W$48,'Top Down inputs'!$U$96:$AI$96,0))</f>
        <v>695.09416648711192</v>
      </c>
      <c r="X55" s="26">
        <f>R55*INDEX('Top Down inputs'!$U$98:$AI$137,MATCH('Re-scaled copper costs'!$B55,_xlfn.ANCHORARRAY('Top Down inputs'!$S$98),0),MATCH('Re-scaled copper costs'!X$48,'Top Down inputs'!$U$96:$AI$96,0))</f>
        <v>980.01998108294492</v>
      </c>
    </row>
    <row r="56" spans="2:24" ht="14.65" thickBot="1" x14ac:dyDescent="0.5">
      <c r="B56" s="9" t="s">
        <v>365</v>
      </c>
      <c r="C56" t="s">
        <v>281</v>
      </c>
      <c r="D56" s="90"/>
      <c r="E56" s="178">
        <v>44881881.334117956</v>
      </c>
      <c r="F56" s="90"/>
      <c r="G56" s="90">
        <v>42193724.888098858</v>
      </c>
      <c r="H56" s="90">
        <v>10477194.740343003</v>
      </c>
      <c r="I56" s="90">
        <v>4861647.1592921866</v>
      </c>
      <c r="J56" s="90">
        <v>303924.47872254136</v>
      </c>
      <c r="K56" s="90">
        <v>0</v>
      </c>
      <c r="L56" s="90">
        <v>0</v>
      </c>
      <c r="M56" s="90">
        <v>0</v>
      </c>
      <c r="P56" s="28">
        <f>E56/INDEX('Top Down inputs'!$C$98:$Q$137,MATCH('Re-scaled copper costs'!$B56,_xlfn.ANCHORARRAY('Top Down inputs'!$S$98),0),MATCH(P$48,'Top Down inputs'!$C$96:$Q$96,0))</f>
        <v>78.032752249635081</v>
      </c>
      <c r="Q56" s="28">
        <f t="shared" si="0"/>
        <v>120.8534633753044</v>
      </c>
      <c r="R56" s="28">
        <f>G56/INDEX('Top Down inputs'!$C$98:$Q$137,MATCH('Re-scaled copper costs'!$B56,_xlfn.ANCHORARRAY('Top Down inputs'!$S$98),0),MATCH(R$48,'Top Down inputs'!$C$96:$Q$96,0))</f>
        <v>163.67417450097372</v>
      </c>
      <c r="V56" s="26">
        <f>P56*INDEX('Top Down inputs'!$U$98:$AI$137,MATCH('Re-scaled copper costs'!$B56,_xlfn.ANCHORARRAY('Top Down inputs'!$S$98),0),MATCH('Re-scaled copper costs'!V$48,'Top Down inputs'!$U$96:$AI$96,0))</f>
        <v>21641408.642586604</v>
      </c>
      <c r="W56" s="26">
        <f>Q56*INDEX('Top Down inputs'!$U$98:$AI$137,MATCH('Re-scaled copper costs'!$B56,_xlfn.ANCHORARRAY('Top Down inputs'!$S$98),0),MATCH('Re-scaled copper costs'!W$48,'Top Down inputs'!$U$96:$AI$96,0))</f>
        <v>22846922.138995562</v>
      </c>
      <c r="X56" s="26">
        <f>R56*INDEX('Top Down inputs'!$U$98:$AI$137,MATCH('Re-scaled copper costs'!$B56,_xlfn.ANCHORARRAY('Top Down inputs'!$S$98),0),MATCH('Re-scaled copper costs'!X$48,'Top Down inputs'!$U$96:$AI$96,0))</f>
        <v>20345217.609273586</v>
      </c>
    </row>
    <row r="57" spans="2:24" ht="14.65" thickBot="1" x14ac:dyDescent="0.5">
      <c r="B57" s="9" t="s">
        <v>366</v>
      </c>
      <c r="C57" t="s">
        <v>282</v>
      </c>
      <c r="D57" s="90"/>
      <c r="E57" s="178">
        <v>17377467.17507752</v>
      </c>
      <c r="F57" s="90"/>
      <c r="G57" s="90">
        <v>20831862.191613849</v>
      </c>
      <c r="H57" s="90">
        <v>5311579.6633551596</v>
      </c>
      <c r="I57" s="90">
        <v>2441606.1035738126</v>
      </c>
      <c r="J57" s="90">
        <v>150092.73325945571</v>
      </c>
      <c r="K57" s="90">
        <v>0</v>
      </c>
      <c r="L57" s="90">
        <v>0</v>
      </c>
      <c r="M57" s="90">
        <v>0</v>
      </c>
      <c r="P57" s="28">
        <f>E57/INDEX('Top Down inputs'!$C$98:$Q$137,MATCH('Re-scaled copper costs'!$B57,_xlfn.ANCHORARRAY('Top Down inputs'!$S$98),0),MATCH(P$48,'Top Down inputs'!$C$96:$Q$96,0))</f>
        <v>69.484823198757951</v>
      </c>
      <c r="Q57" s="28">
        <f t="shared" si="0"/>
        <v>119.97733977025004</v>
      </c>
      <c r="R57" s="28">
        <f>G57/INDEX('Top Down inputs'!$C$98:$Q$137,MATCH('Re-scaled copper costs'!$B57,_xlfn.ANCHORARRAY('Top Down inputs'!$S$98),0),MATCH(R$48,'Top Down inputs'!$C$96:$Q$96,0))</f>
        <v>170.46985634174214</v>
      </c>
      <c r="V57" s="26">
        <f>P57*INDEX('Top Down inputs'!$U$98:$AI$137,MATCH('Re-scaled copper costs'!$B57,_xlfn.ANCHORARRAY('Top Down inputs'!$S$98),0),MATCH('Re-scaled copper costs'!V$48,'Top Down inputs'!$U$96:$AI$96,0))</f>
        <v>8379168.9904742818</v>
      </c>
      <c r="W57" s="26">
        <f>Q57*INDEX('Top Down inputs'!$U$98:$AI$137,MATCH('Re-scaled copper costs'!$B57,_xlfn.ANCHORARRAY('Top Down inputs'!$S$98),0),MATCH('Re-scaled copper costs'!W$48,'Top Down inputs'!$U$96:$AI$96,0))</f>
        <v>11158266.740917228</v>
      </c>
      <c r="X57" s="26">
        <f>R57*INDEX('Top Down inputs'!$U$98:$AI$137,MATCH('Re-scaled copper costs'!$B57,_xlfn.ANCHORARRAY('Top Down inputs'!$S$98),0),MATCH('Re-scaled copper costs'!X$48,'Top Down inputs'!$U$96:$AI$96,0))</f>
        <v>10044829.429466361</v>
      </c>
    </row>
    <row r="58" spans="2:24" ht="14.65" thickBot="1" x14ac:dyDescent="0.5">
      <c r="B58" s="9" t="s">
        <v>367</v>
      </c>
      <c r="C58" t="s">
        <v>283</v>
      </c>
      <c r="D58" s="90"/>
      <c r="E58" s="178">
        <v>45166155.552527644</v>
      </c>
      <c r="F58" s="90"/>
      <c r="G58" s="90">
        <v>55245359.895661533</v>
      </c>
      <c r="H58" s="90">
        <v>19930206.162307393</v>
      </c>
      <c r="I58" s="90">
        <v>9150949.2934773844</v>
      </c>
      <c r="J58" s="90">
        <v>569968.93750939588</v>
      </c>
      <c r="K58" s="90">
        <v>0</v>
      </c>
      <c r="L58" s="90">
        <v>0</v>
      </c>
      <c r="M58" s="90">
        <v>0</v>
      </c>
      <c r="P58" s="28">
        <f>E58/INDEX('Top Down inputs'!$C$98:$Q$137,MATCH('Re-scaled copper costs'!$B58,_xlfn.ANCHORARRAY('Top Down inputs'!$S$98),0),MATCH(P$48,'Top Down inputs'!$C$96:$Q$96,0))</f>
        <v>59.326869137492558</v>
      </c>
      <c r="Q58" s="28">
        <f t="shared" si="0"/>
        <v>77.934561490089052</v>
      </c>
      <c r="R58" s="28">
        <f>G58/INDEX('Top Down inputs'!$C$98:$Q$137,MATCH('Re-scaled copper costs'!$B58,_xlfn.ANCHORARRAY('Top Down inputs'!$S$98),0),MATCH(R$48,'Top Down inputs'!$C$96:$Q$96,0))</f>
        <v>96.542253842685554</v>
      </c>
      <c r="V58" s="26">
        <f>P58*INDEX('Top Down inputs'!$U$98:$AI$137,MATCH('Re-scaled copper costs'!$B58,_xlfn.ANCHORARRAY('Top Down inputs'!$S$98),0),MATCH('Re-scaled copper costs'!V$48,'Top Down inputs'!$U$96:$AI$96,0))</f>
        <v>21778481.651655838</v>
      </c>
      <c r="W58" s="26">
        <f>Q58*INDEX('Top Down inputs'!$U$98:$AI$137,MATCH('Re-scaled copper costs'!$B58,_xlfn.ANCHORARRAY('Top Down inputs'!$S$98),0),MATCH('Re-scaled copper costs'!W$48,'Top Down inputs'!$U$96:$AI$96,0))</f>
        <v>29549765.473095838</v>
      </c>
      <c r="X58" s="26">
        <f>R58*INDEX('Top Down inputs'!$U$98:$AI$137,MATCH('Re-scaled copper costs'!$B58,_xlfn.ANCHORARRAY('Top Down inputs'!$S$98),0),MATCH('Re-scaled copper costs'!X$48,'Top Down inputs'!$U$96:$AI$96,0))</f>
        <v>26638531.486868057</v>
      </c>
    </row>
    <row r="59" spans="2:24" ht="14.65" thickBot="1" x14ac:dyDescent="0.5">
      <c r="B59" s="9" t="s">
        <v>368</v>
      </c>
      <c r="C59" t="s">
        <v>284</v>
      </c>
      <c r="D59" s="90"/>
      <c r="E59" s="178">
        <v>30694119.971384704</v>
      </c>
      <c r="F59" s="90"/>
      <c r="G59" s="90">
        <v>34581013.668831803</v>
      </c>
      <c r="H59" s="90">
        <v>11569088.727604141</v>
      </c>
      <c r="I59" s="90">
        <v>5256681.8016062714</v>
      </c>
      <c r="J59" s="90">
        <v>322180.6568537936</v>
      </c>
      <c r="K59" s="90">
        <v>0</v>
      </c>
      <c r="L59" s="90">
        <v>0</v>
      </c>
      <c r="M59" s="90">
        <v>0</v>
      </c>
      <c r="P59" s="28">
        <f>E59/INDEX('Top Down inputs'!$C$98:$Q$137,MATCH('Re-scaled copper costs'!$B59,_xlfn.ANCHORARRAY('Top Down inputs'!$S$98),0),MATCH(P$48,'Top Down inputs'!$C$96:$Q$96,0))</f>
        <v>63.649285539931583</v>
      </c>
      <c r="Q59" s="28">
        <f t="shared" si="0"/>
        <v>90.685786940794955</v>
      </c>
      <c r="R59" s="28">
        <f>G59/INDEX('Top Down inputs'!$C$98:$Q$137,MATCH('Re-scaled copper costs'!$B59,_xlfn.ANCHORARRAY('Top Down inputs'!$S$98),0),MATCH(R$48,'Top Down inputs'!$C$96:$Q$96,0))</f>
        <v>117.72228834165833</v>
      </c>
      <c r="V59" s="26">
        <f>P59*INDEX('Top Down inputs'!$U$98:$AI$137,MATCH('Re-scaled copper costs'!$B59,_xlfn.ANCHORARRAY('Top Down inputs'!$S$98),0),MATCH('Re-scaled copper costs'!V$48,'Top Down inputs'!$U$96:$AI$96,0))</f>
        <v>14800270.69899942</v>
      </c>
      <c r="W59" s="26">
        <f>Q59*INDEX('Top Down inputs'!$U$98:$AI$137,MATCH('Re-scaled copper costs'!$B59,_xlfn.ANCHORARRAY('Top Down inputs'!$S$98),0),MATCH('Re-scaled copper costs'!W$48,'Top Down inputs'!$U$96:$AI$96,0))</f>
        <v>16720422.20616347</v>
      </c>
      <c r="X59" s="26">
        <f>R59*INDEX('Top Down inputs'!$U$98:$AI$137,MATCH('Re-scaled copper costs'!$B59,_xlfn.ANCHORARRAY('Top Down inputs'!$S$98),0),MATCH('Re-scaled copper costs'!X$48,'Top Down inputs'!$U$96:$AI$96,0))</f>
        <v>16674475.887292249</v>
      </c>
    </row>
    <row r="60" spans="2:24" ht="14.65" thickBot="1" x14ac:dyDescent="0.5">
      <c r="B60" s="9" t="s">
        <v>326</v>
      </c>
      <c r="C60" t="s">
        <v>285</v>
      </c>
      <c r="D60" s="90"/>
      <c r="E60" s="178">
        <v>670974.11892116535</v>
      </c>
      <c r="F60" s="90"/>
      <c r="G60" s="90">
        <v>294023.29216309532</v>
      </c>
      <c r="H60" s="90">
        <v>61981.84163603979</v>
      </c>
      <c r="I60" s="90">
        <v>23775.937785851664</v>
      </c>
      <c r="J60" s="90">
        <v>1319.2632545179431</v>
      </c>
      <c r="K60" s="90">
        <v>0</v>
      </c>
      <c r="L60" s="90">
        <v>0</v>
      </c>
      <c r="M60" s="90">
        <v>0</v>
      </c>
      <c r="P60" s="28">
        <f>E60/INDEX('Top Down inputs'!$C$98:$Q$137,MATCH('Re-scaled copper costs'!$B60,_xlfn.ANCHORARRAY('Top Down inputs'!$S$98),0),MATCH(P$48,'Top Down inputs'!$C$96:$Q$96,0))</f>
        <v>458.34313434152506</v>
      </c>
      <c r="Q60" s="28">
        <f t="shared" si="0"/>
        <v>310.35964103787211</v>
      </c>
      <c r="R60" s="28">
        <f>G60/INDEX('Top Down inputs'!$C$98:$Q$137,MATCH('Re-scaled copper costs'!$B60,_xlfn.ANCHORARRAY('Top Down inputs'!$S$98),0),MATCH(R$48,'Top Down inputs'!$C$96:$Q$96,0))</f>
        <v>162.37614773421919</v>
      </c>
      <c r="V60" s="26">
        <f>P60*INDEX('Top Down inputs'!$U$98:$AI$137,MATCH('Re-scaled copper costs'!$B60,_xlfn.ANCHORARRAY('Top Down inputs'!$S$98),0),MATCH('Re-scaled copper costs'!V$48,'Top Down inputs'!$U$96:$AI$96,0))</f>
        <v>323534.23396122461</v>
      </c>
      <c r="W60" s="26">
        <f>Q60*INDEX('Top Down inputs'!$U$98:$AI$137,MATCH('Re-scaled copper costs'!$B60,_xlfn.ANCHORARRAY('Top Down inputs'!$S$98),0),MATCH('Re-scaled copper costs'!W$48,'Top Down inputs'!$U$96:$AI$96,0))</f>
        <v>164028.79775978922</v>
      </c>
      <c r="X60" s="26">
        <f>R60*INDEX('Top Down inputs'!$U$98:$AI$137,MATCH('Re-scaled copper costs'!$B60,_xlfn.ANCHORARRAY('Top Down inputs'!$S$98),0),MATCH('Re-scaled copper costs'!X$48,'Top Down inputs'!$U$96:$AI$96,0))</f>
        <v>141773.87460144507</v>
      </c>
    </row>
    <row r="61" spans="2:24" ht="14.65" thickBot="1" x14ac:dyDescent="0.5">
      <c r="B61" s="9" t="s">
        <v>327</v>
      </c>
      <c r="C61" t="s">
        <v>286</v>
      </c>
      <c r="D61" s="90"/>
      <c r="E61" s="178">
        <v>582600.33033226139</v>
      </c>
      <c r="F61" s="90"/>
      <c r="G61" s="90">
        <v>1180976.5500695293</v>
      </c>
      <c r="H61" s="90">
        <v>319743.25218969875</v>
      </c>
      <c r="I61" s="90">
        <v>124677.75791268647</v>
      </c>
      <c r="J61" s="90">
        <v>7333.2833752472998</v>
      </c>
      <c r="K61" s="90">
        <v>0</v>
      </c>
      <c r="L61" s="90">
        <v>0</v>
      </c>
      <c r="M61" s="90">
        <v>0</v>
      </c>
      <c r="P61" s="28">
        <f>E61/INDEX('Top Down inputs'!$C$98:$Q$137,MATCH('Re-scaled copper costs'!$B61,_xlfn.ANCHORARRAY('Top Down inputs'!$S$98),0),MATCH(P$48,'Top Down inputs'!$C$96:$Q$96,0))</f>
        <v>228.7247293416236</v>
      </c>
      <c r="Q61" s="28">
        <f t="shared" si="0"/>
        <v>280.41975674363584</v>
      </c>
      <c r="R61" s="28">
        <f>G61/INDEX('Top Down inputs'!$C$98:$Q$137,MATCH('Re-scaled copper costs'!$B61,_xlfn.ANCHORARRAY('Top Down inputs'!$S$98),0),MATCH(R$48,'Top Down inputs'!$C$96:$Q$96,0))</f>
        <v>332.11478414564812</v>
      </c>
      <c r="V61" s="26">
        <f>P61*INDEX('Top Down inputs'!$U$98:$AI$137,MATCH('Re-scaled copper costs'!$B61,_xlfn.ANCHORARRAY('Top Down inputs'!$S$98),0),MATCH('Re-scaled copper costs'!V$48,'Top Down inputs'!$U$96:$AI$96,0))</f>
        <v>280921.64252575435</v>
      </c>
      <c r="W61" s="26">
        <f>Q61*INDEX('Top Down inputs'!$U$98:$AI$137,MATCH('Re-scaled copper costs'!$B61,_xlfn.ANCHORARRAY('Top Down inputs'!$S$98),0),MATCH('Re-scaled copper costs'!W$48,'Top Down inputs'!$U$96:$AI$96,0))</f>
        <v>280984.00453732623</v>
      </c>
      <c r="X61" s="26">
        <f>R61*INDEX('Top Down inputs'!$U$98:$AI$137,MATCH('Re-scaled copper costs'!$B61,_xlfn.ANCHORARRAY('Top Down inputs'!$S$98),0),MATCH('Re-scaled copper costs'!X$48,'Top Down inputs'!$U$96:$AI$96,0))</f>
        <v>569450.19588424312</v>
      </c>
    </row>
    <row r="62" spans="2:24" ht="14.65" thickBot="1" x14ac:dyDescent="0.5">
      <c r="B62" s="9" t="s">
        <v>328</v>
      </c>
      <c r="C62" t="s">
        <v>287</v>
      </c>
      <c r="D62" s="90"/>
      <c r="E62" s="178">
        <v>573934.19377263437</v>
      </c>
      <c r="F62" s="90"/>
      <c r="G62" s="90">
        <v>396883.02927298867</v>
      </c>
      <c r="H62" s="90">
        <v>106370.99610773876</v>
      </c>
      <c r="I62" s="90">
        <v>41104.601920202535</v>
      </c>
      <c r="J62" s="90">
        <v>2407.2785717685015</v>
      </c>
      <c r="K62" s="90">
        <v>0</v>
      </c>
      <c r="L62" s="90">
        <v>0</v>
      </c>
      <c r="M62" s="90">
        <v>0</v>
      </c>
      <c r="P62" s="28">
        <f>E62/INDEX('Top Down inputs'!$C$98:$Q$137,MATCH('Re-scaled copper costs'!$B62,_xlfn.ANCHORARRAY('Top Down inputs'!$S$98),0),MATCH(P$48,'Top Down inputs'!$C$96:$Q$96,0))</f>
        <v>273.18801566677291</v>
      </c>
      <c r="Q62" s="28">
        <f t="shared" si="0"/>
        <v>349.522112961414</v>
      </c>
      <c r="R62" s="28">
        <f>G62/INDEX('Top Down inputs'!$C$98:$Q$137,MATCH('Re-scaled copper costs'!$B62,_xlfn.ANCHORARRAY('Top Down inputs'!$S$98),0),MATCH(R$48,'Top Down inputs'!$C$96:$Q$96,0))</f>
        <v>425.85621025605514</v>
      </c>
      <c r="V62" s="26">
        <f>P62*INDEX('Top Down inputs'!$U$98:$AI$137,MATCH('Re-scaled copper costs'!$B62,_xlfn.ANCHORARRAY('Top Down inputs'!$S$98),0),MATCH('Re-scaled copper costs'!V$48,'Top Down inputs'!$U$96:$AI$96,0))</f>
        <v>276742.95399790118</v>
      </c>
      <c r="W62" s="26">
        <f>Q62*INDEX('Top Down inputs'!$U$98:$AI$137,MATCH('Re-scaled copper costs'!$B62,_xlfn.ANCHORARRAY('Top Down inputs'!$S$98),0),MATCH('Re-scaled copper costs'!W$48,'Top Down inputs'!$U$96:$AI$96,0))</f>
        <v>323918.80383745773</v>
      </c>
      <c r="X62" s="26">
        <f>R62*INDEX('Top Down inputs'!$U$98:$AI$137,MATCH('Re-scaled copper costs'!$B62,_xlfn.ANCHORARRAY('Top Down inputs'!$S$98),0),MATCH('Re-scaled copper costs'!X$48,'Top Down inputs'!$U$96:$AI$96,0))</f>
        <v>191371.38561246559</v>
      </c>
    </row>
    <row r="63" spans="2:24" ht="14.65" thickBot="1" x14ac:dyDescent="0.5">
      <c r="B63" s="9" t="s">
        <v>329</v>
      </c>
      <c r="C63" t="s">
        <v>288</v>
      </c>
      <c r="D63" s="90"/>
      <c r="E63" s="178">
        <v>312903.68169659638</v>
      </c>
      <c r="F63" s="90"/>
      <c r="G63" s="90">
        <v>136346.44121061324</v>
      </c>
      <c r="H63" s="90">
        <v>32802.313924195601</v>
      </c>
      <c r="I63" s="90">
        <v>12463.614947947977</v>
      </c>
      <c r="J63" s="90">
        <v>688.10133574281554</v>
      </c>
      <c r="K63" s="90">
        <v>0</v>
      </c>
      <c r="L63" s="90">
        <v>0</v>
      </c>
      <c r="M63" s="90">
        <v>0</v>
      </c>
      <c r="P63" s="28">
        <f>E63/INDEX('Top Down inputs'!$C$98:$Q$137,MATCH('Re-scaled copper costs'!$B63,_xlfn.ANCHORARRAY('Top Down inputs'!$S$98),0),MATCH(P$48,'Top Down inputs'!$C$96:$Q$96,0))</f>
        <v>271.73224453465798</v>
      </c>
      <c r="Q63" s="28">
        <f t="shared" si="0"/>
        <v>266.8670719169113</v>
      </c>
      <c r="R63" s="28">
        <f>G63/INDEX('Top Down inputs'!$C$98:$Q$137,MATCH('Re-scaled copper costs'!$B63,_xlfn.ANCHORARRAY('Top Down inputs'!$S$98),0),MATCH(R$48,'Top Down inputs'!$C$96:$Q$96,0))</f>
        <v>262.00189929916456</v>
      </c>
      <c r="V63" s="26">
        <f>P63*INDEX('Top Down inputs'!$U$98:$AI$137,MATCH('Re-scaled copper costs'!$B63,_xlfn.ANCHORARRAY('Top Down inputs'!$S$98),0),MATCH('Re-scaled copper costs'!V$48,'Top Down inputs'!$U$96:$AI$96,0))</f>
        <v>150877.73150494581</v>
      </c>
      <c r="W63" s="26">
        <f>Q63*INDEX('Top Down inputs'!$U$98:$AI$137,MATCH('Re-scaled copper costs'!$B63,_xlfn.ANCHORARRAY('Top Down inputs'!$S$98),0),MATCH('Re-scaled copper costs'!W$48,'Top Down inputs'!$U$96:$AI$96,0))</f>
        <v>121420.59396530647</v>
      </c>
      <c r="X63" s="26">
        <f>R63*INDEX('Top Down inputs'!$U$98:$AI$137,MATCH('Re-scaled copper costs'!$B63,_xlfn.ANCHORARRAY('Top Down inputs'!$S$98),0),MATCH('Re-scaled copper costs'!X$48,'Top Down inputs'!$U$96:$AI$96,0))</f>
        <v>65744.326295837105</v>
      </c>
    </row>
    <row r="64" spans="2:24" ht="14.65" thickBot="1" x14ac:dyDescent="0.5">
      <c r="B64" s="9" t="s">
        <v>330</v>
      </c>
      <c r="C64" t="s">
        <v>289</v>
      </c>
      <c r="D64" s="90"/>
      <c r="E64" s="178">
        <v>4595973.3094172068</v>
      </c>
      <c r="F64" s="90"/>
      <c r="G64" s="90">
        <v>1640528.0187242881</v>
      </c>
      <c r="H64" s="90">
        <v>412115.50513163779</v>
      </c>
      <c r="I64" s="90">
        <v>156667.66512388934</v>
      </c>
      <c r="J64" s="90">
        <v>8664.6537910369025</v>
      </c>
      <c r="K64" s="90">
        <v>0</v>
      </c>
      <c r="L64" s="90">
        <v>0</v>
      </c>
      <c r="M64" s="90">
        <v>0</v>
      </c>
      <c r="P64" s="28">
        <f>E64/INDEX('Top Down inputs'!$C$98:$Q$137,MATCH('Re-scaled copper costs'!$B64,_xlfn.ANCHORARRAY('Top Down inputs'!$S$98),0),MATCH(P$48,'Top Down inputs'!$C$96:$Q$96,0))</f>
        <v>358.19320091624547</v>
      </c>
      <c r="Q64" s="28">
        <f t="shared" si="0"/>
        <v>652.31666805116765</v>
      </c>
      <c r="R64" s="28">
        <f>G64/INDEX('Top Down inputs'!$C$98:$Q$137,MATCH('Re-scaled copper costs'!$B64,_xlfn.ANCHORARRAY('Top Down inputs'!$S$98),0),MATCH(R$48,'Top Down inputs'!$C$96:$Q$96,0))</f>
        <v>946.44013518608972</v>
      </c>
      <c r="V64" s="26">
        <f>P64*INDEX('Top Down inputs'!$U$98:$AI$137,MATCH('Re-scaled copper costs'!$B64,_xlfn.ANCHORARRAY('Top Down inputs'!$S$98),0),MATCH('Re-scaled copper costs'!V$48,'Top Down inputs'!$U$96:$AI$96,0))</f>
        <v>2216113.3522696081</v>
      </c>
      <c r="W64" s="26">
        <f>Q64*INDEX('Top Down inputs'!$U$98:$AI$137,MATCH('Re-scaled copper costs'!$B64,_xlfn.ANCHORARRAY('Top Down inputs'!$S$98),0),MATCH('Re-scaled copper costs'!W$48,'Top Down inputs'!$U$96:$AI$96,0))</f>
        <v>1690287.7491410184</v>
      </c>
      <c r="X64" s="26">
        <f>R64*INDEX('Top Down inputs'!$U$98:$AI$137,MATCH('Re-scaled copper costs'!$B64,_xlfn.ANCHORARRAY('Top Down inputs'!$S$98),0),MATCH('Re-scaled copper costs'!X$48,'Top Down inputs'!$U$96:$AI$96,0))</f>
        <v>791039.41696482839</v>
      </c>
    </row>
    <row r="65" spans="2:24" ht="14.65" thickBot="1" x14ac:dyDescent="0.5">
      <c r="B65" s="9" t="s">
        <v>331</v>
      </c>
      <c r="C65" t="s">
        <v>290</v>
      </c>
      <c r="D65" s="90"/>
      <c r="E65" s="178">
        <v>3369389.7751770038</v>
      </c>
      <c r="F65" s="90"/>
      <c r="G65" s="90">
        <v>863381.4809703225</v>
      </c>
      <c r="H65" s="90">
        <v>152311.42257407369</v>
      </c>
      <c r="I65" s="90">
        <v>58447.564544655674</v>
      </c>
      <c r="J65" s="90">
        <v>3247.2218133400406</v>
      </c>
      <c r="K65" s="90">
        <v>0</v>
      </c>
      <c r="L65" s="90">
        <v>0</v>
      </c>
      <c r="M65" s="90">
        <v>0</v>
      </c>
      <c r="P65" s="28">
        <f>E65/INDEX('Top Down inputs'!$C$98:$Q$137,MATCH('Re-scaled copper costs'!$B65,_xlfn.ANCHORARRAY('Top Down inputs'!$S$98),0),MATCH(P$48,'Top Down inputs'!$C$96:$Q$96,0))</f>
        <v>121.83097582520777</v>
      </c>
      <c r="Q65" s="28">
        <f t="shared" si="0"/>
        <v>171.58280642769279</v>
      </c>
      <c r="R65" s="28">
        <f>G65/INDEX('Top Down inputs'!$C$98:$Q$137,MATCH('Re-scaled copper costs'!$B65,_xlfn.ANCHORARRAY('Top Down inputs'!$S$98),0),MATCH(R$48,'Top Down inputs'!$C$96:$Q$96,0))</f>
        <v>221.33463703017782</v>
      </c>
      <c r="V65" s="26">
        <f>P65*INDEX('Top Down inputs'!$U$98:$AI$137,MATCH('Re-scaled copper costs'!$B65,_xlfn.ANCHORARRAY('Top Down inputs'!$S$98),0),MATCH('Re-scaled copper costs'!V$48,'Top Down inputs'!$U$96:$AI$96,0))</f>
        <v>1624672.1134064414</v>
      </c>
      <c r="W65" s="26">
        <f>Q65*INDEX('Top Down inputs'!$U$98:$AI$137,MATCH('Re-scaled copper costs'!$B65,_xlfn.ANCHORARRAY('Top Down inputs'!$S$98),0),MATCH('Re-scaled copper costs'!W$48,'Top Down inputs'!$U$96:$AI$96,0))</f>
        <v>1007621.3315253715</v>
      </c>
      <c r="X65" s="26">
        <f>R65*INDEX('Top Down inputs'!$U$98:$AI$137,MATCH('Re-scaled copper costs'!$B65,_xlfn.ANCHORARRAY('Top Down inputs'!$S$98),0),MATCH('Re-scaled copper costs'!X$48,'Top Down inputs'!$U$96:$AI$96,0))</f>
        <v>416310.34370024723</v>
      </c>
    </row>
    <row r="66" spans="2:24" ht="14.65" thickBot="1" x14ac:dyDescent="0.5">
      <c r="B66" s="9" t="s">
        <v>332</v>
      </c>
      <c r="C66" t="s">
        <v>291</v>
      </c>
      <c r="D66" s="90"/>
      <c r="E66" s="178">
        <v>3926540.8147761151</v>
      </c>
      <c r="F66" s="90"/>
      <c r="G66" s="90">
        <v>773931.41368708853</v>
      </c>
      <c r="H66" s="90">
        <v>257251.41155040925</v>
      </c>
      <c r="I66" s="90">
        <v>99491.626526109801</v>
      </c>
      <c r="J66" s="90">
        <v>5842.1368836219672</v>
      </c>
      <c r="K66" s="90">
        <v>0</v>
      </c>
      <c r="L66" s="90">
        <v>0</v>
      </c>
      <c r="M66" s="90">
        <v>0</v>
      </c>
      <c r="P66" s="28">
        <f>E66/INDEX('Top Down inputs'!$C$98:$Q$137,MATCH('Re-scaled copper costs'!$B66,_xlfn.ANCHORARRAY('Top Down inputs'!$S$98),0),MATCH(P$48,'Top Down inputs'!$C$96:$Q$96,0))</f>
        <v>127.30674905411581</v>
      </c>
      <c r="Q66" s="28">
        <f t="shared" si="0"/>
        <v>156.52508575924267</v>
      </c>
      <c r="R66" s="28">
        <f>G66/INDEX('Top Down inputs'!$C$98:$Q$137,MATCH('Re-scaled copper costs'!$B66,_xlfn.ANCHORARRAY('Top Down inputs'!$S$98),0),MATCH(R$48,'Top Down inputs'!$C$96:$Q$96,0))</f>
        <v>185.74342246436953</v>
      </c>
      <c r="V66" s="26">
        <f>P66*INDEX('Top Down inputs'!$U$98:$AI$137,MATCH('Re-scaled copper costs'!$B66,_xlfn.ANCHORARRAY('Top Down inputs'!$S$98),0),MATCH('Re-scaled copper costs'!V$48,'Top Down inputs'!$U$96:$AI$96,0))</f>
        <v>1893322.4677408645</v>
      </c>
      <c r="W66" s="26">
        <f>Q66*INDEX('Top Down inputs'!$U$98:$AI$137,MATCH('Re-scaled copper costs'!$B66,_xlfn.ANCHORARRAY('Top Down inputs'!$S$98),0),MATCH('Re-scaled copper costs'!W$48,'Top Down inputs'!$U$96:$AI$96,0))</f>
        <v>974955.17001868947</v>
      </c>
      <c r="X66" s="26">
        <f>R66*INDEX('Top Down inputs'!$U$98:$AI$137,MATCH('Re-scaled copper costs'!$B66,_xlfn.ANCHORARRAY('Top Down inputs'!$S$98),0),MATCH('Re-scaled copper costs'!X$48,'Top Down inputs'!$U$96:$AI$96,0))</f>
        <v>373178.78589471983</v>
      </c>
    </row>
    <row r="67" spans="2:24" ht="14.65" thickBot="1" x14ac:dyDescent="0.5">
      <c r="B67" s="9" t="s">
        <v>333</v>
      </c>
      <c r="C67" t="s">
        <v>292</v>
      </c>
      <c r="D67" s="90"/>
      <c r="E67" s="178">
        <v>8893337.7880018838</v>
      </c>
      <c r="F67" s="90"/>
      <c r="G67" s="90">
        <v>1916626.6314547767</v>
      </c>
      <c r="H67" s="90">
        <v>563296.46398625814</v>
      </c>
      <c r="I67" s="90">
        <v>219881.68856733566</v>
      </c>
      <c r="J67" s="90">
        <v>12954.881418440476</v>
      </c>
      <c r="K67" s="90">
        <v>0</v>
      </c>
      <c r="L67" s="90">
        <v>0</v>
      </c>
      <c r="M67" s="90">
        <v>0</v>
      </c>
      <c r="P67" s="28">
        <f>E67/INDEX('Top Down inputs'!$C$98:$Q$137,MATCH('Re-scaled copper costs'!$B67,_xlfn.ANCHORARRAY('Top Down inputs'!$S$98),0),MATCH(P$48,'Top Down inputs'!$C$96:$Q$96,0))</f>
        <v>164.54329731339706</v>
      </c>
      <c r="Q67" s="28">
        <f t="shared" si="0"/>
        <v>207.9797060338654</v>
      </c>
      <c r="R67" s="28">
        <f>G67/INDEX('Top Down inputs'!$C$98:$Q$137,MATCH('Re-scaled copper costs'!$B67,_xlfn.ANCHORARRAY('Top Down inputs'!$S$98),0),MATCH(R$48,'Top Down inputs'!$C$96:$Q$96,0))</f>
        <v>251.41611475433373</v>
      </c>
      <c r="V67" s="26">
        <f>P67*INDEX('Top Down inputs'!$U$98:$AI$137,MATCH('Re-scaled copper costs'!$B67,_xlfn.ANCHORARRAY('Top Down inputs'!$S$98),0),MATCH('Re-scaled copper costs'!V$48,'Top Down inputs'!$U$96:$AI$96,0))</f>
        <v>4288241.7480213763</v>
      </c>
      <c r="W67" s="26">
        <f>Q67*INDEX('Top Down inputs'!$U$98:$AI$137,MATCH('Re-scaled copper costs'!$B67,_xlfn.ANCHORARRAY('Top Down inputs'!$S$98),0),MATCH('Re-scaled copper costs'!W$48,'Top Down inputs'!$U$96:$AI$96,0))</f>
        <v>2386907.6005709893</v>
      </c>
      <c r="X67" s="26">
        <f>R67*INDEX('Top Down inputs'!$U$98:$AI$137,MATCH('Re-scaled copper costs'!$B67,_xlfn.ANCHORARRAY('Top Down inputs'!$S$98),0),MATCH('Re-scaled copper costs'!X$48,'Top Down inputs'!$U$96:$AI$96,0))</f>
        <v>924170.26456166513</v>
      </c>
    </row>
    <row r="68" spans="2:24" ht="14.65" thickBot="1" x14ac:dyDescent="0.5">
      <c r="B68" s="9" t="s">
        <v>369</v>
      </c>
      <c r="C68" t="s">
        <v>293</v>
      </c>
      <c r="D68" s="90"/>
      <c r="E68" s="178">
        <v>2235727.3038539048</v>
      </c>
      <c r="F68" s="90"/>
      <c r="G68" s="90">
        <v>2986254.5821297965</v>
      </c>
      <c r="H68" s="90">
        <v>905095.28640242585</v>
      </c>
      <c r="I68" s="90">
        <v>1194575.1817983915</v>
      </c>
      <c r="J68" s="90">
        <v>1318769.4955525789</v>
      </c>
      <c r="K68" s="90">
        <v>1545353.5755811334</v>
      </c>
      <c r="L68" s="90">
        <v>1859844.2949394574</v>
      </c>
      <c r="M68" s="90">
        <v>2333140.0815500156</v>
      </c>
      <c r="P68" s="28">
        <f>E68/INDEX('Top Down inputs'!$C$98:$Q$137,MATCH('Re-scaled copper costs'!$B68,_xlfn.ANCHORARRAY('Top Down inputs'!$S$98),0),MATCH(P$48,'Top Down inputs'!$C$96:$Q$96,0))</f>
        <v>120.12311728407113</v>
      </c>
      <c r="Q68" s="28">
        <f t="shared" si="0"/>
        <v>205.87844339845736</v>
      </c>
      <c r="R68" s="28">
        <f>G68/INDEX('Top Down inputs'!$C$98:$Q$137,MATCH('Re-scaled copper costs'!$B68,_xlfn.ANCHORARRAY('Top Down inputs'!$S$98),0),MATCH(R$48,'Top Down inputs'!$C$96:$Q$96,0))</f>
        <v>291.63376951284357</v>
      </c>
      <c r="V68" s="26">
        <f>P68*INDEX('Top Down inputs'!$U$98:$AI$137,MATCH('Re-scaled copper costs'!$B68,_xlfn.ANCHORARRAY('Top Down inputs'!$S$98),0),MATCH('Re-scaled copper costs'!V$48,'Top Down inputs'!$U$96:$AI$96,0))</f>
        <v>1078036.0973707745</v>
      </c>
      <c r="W68" s="26">
        <f>Q68*INDEX('Top Down inputs'!$U$98:$AI$137,MATCH('Re-scaled copper costs'!$B68,_xlfn.ANCHORARRAY('Top Down inputs'!$S$98),0),MATCH('Re-scaled copper costs'!W$48,'Top Down inputs'!$U$96:$AI$96,0))</f>
        <v>1827816.9579998062</v>
      </c>
      <c r="X68" s="26">
        <f>R68*INDEX('Top Down inputs'!$U$98:$AI$137,MATCH('Re-scaled copper costs'!$B68,_xlfn.ANCHORARRAY('Top Down inputs'!$S$98),0),MATCH('Re-scaled copper costs'!X$48,'Top Down inputs'!$U$96:$AI$96,0))</f>
        <v>1439929.7400561541</v>
      </c>
    </row>
    <row r="69" spans="2:24" ht="14.65" thickBot="1" x14ac:dyDescent="0.5">
      <c r="B69" s="9" t="s">
        <v>370</v>
      </c>
      <c r="C69" t="s">
        <v>295</v>
      </c>
      <c r="D69" s="90"/>
      <c r="E69" s="178">
        <v>1229872.7860739336</v>
      </c>
      <c r="F69" s="90"/>
      <c r="G69" s="90">
        <v>3844879.0129387057</v>
      </c>
      <c r="H69" s="90">
        <v>1574273.2244915282</v>
      </c>
      <c r="I69" s="90">
        <v>1992803.3266679659</v>
      </c>
      <c r="J69" s="90">
        <v>2168739.3590314728</v>
      </c>
      <c r="K69" s="90">
        <v>2463419.834746398</v>
      </c>
      <c r="L69" s="90">
        <v>2856767.1557650114</v>
      </c>
      <c r="M69" s="90">
        <v>3479052.7757513202</v>
      </c>
      <c r="P69" s="28">
        <f>E69/INDEX('Top Down inputs'!$C$98:$Q$137,MATCH('Re-scaled copper costs'!$B69,_xlfn.ANCHORARRAY('Top Down inputs'!$S$98),0),MATCH(P$48,'Top Down inputs'!$C$96:$Q$96,0))</f>
        <v>77.039773651050396</v>
      </c>
      <c r="Q69" s="28">
        <f t="shared" si="0"/>
        <v>136.52706416590382</v>
      </c>
      <c r="R69" s="28">
        <f>G69/INDEX('Top Down inputs'!$C$98:$Q$137,MATCH('Re-scaled copper costs'!$B69,_xlfn.ANCHORARRAY('Top Down inputs'!$S$98),0),MATCH(R$48,'Top Down inputs'!$C$96:$Q$96,0))</f>
        <v>196.01435468075726</v>
      </c>
      <c r="V69" s="26">
        <f>P69*INDEX('Top Down inputs'!$U$98:$AI$137,MATCH('Re-scaled copper costs'!$B69,_xlfn.ANCHORARRAY('Top Down inputs'!$S$98),0),MATCH('Re-scaled copper costs'!V$48,'Top Down inputs'!$U$96:$AI$96,0))</f>
        <v>593027.26959419169</v>
      </c>
      <c r="W69" s="26">
        <f>Q69*INDEX('Top Down inputs'!$U$98:$AI$137,MATCH('Re-scaled copper costs'!$B69,_xlfn.ANCHORARRAY('Top Down inputs'!$S$98),0),MATCH('Re-scaled copper costs'!W$48,'Top Down inputs'!$U$96:$AI$96,0))</f>
        <v>1029769.5959955938</v>
      </c>
      <c r="X69" s="26">
        <f>R69*INDEX('Top Down inputs'!$U$98:$AI$137,MATCH('Re-scaled copper costs'!$B69,_xlfn.ANCHORARRAY('Top Down inputs'!$S$98),0),MATCH('Re-scaled copper costs'!X$48,'Top Down inputs'!$U$96:$AI$96,0))</f>
        <v>1853946.3014233918</v>
      </c>
    </row>
    <row r="70" spans="2:24" ht="14.65" thickBot="1" x14ac:dyDescent="0.5">
      <c r="B70" s="9" t="s">
        <v>334</v>
      </c>
      <c r="C70" t="s">
        <v>296</v>
      </c>
      <c r="D70" s="90"/>
      <c r="E70" s="178">
        <v>470338.50842743111</v>
      </c>
      <c r="F70" s="90"/>
      <c r="G70" s="90">
        <v>347758.97019305418</v>
      </c>
      <c r="H70" s="90">
        <v>159516.90713252657</v>
      </c>
      <c r="I70" s="90">
        <v>171043.70695379455</v>
      </c>
      <c r="J70" s="90">
        <v>170658.00093871017</v>
      </c>
      <c r="K70" s="90">
        <v>172747.5621819337</v>
      </c>
      <c r="L70" s="90">
        <v>171522.56929011855</v>
      </c>
      <c r="M70" s="90">
        <v>321653.91924236796</v>
      </c>
      <c r="P70" s="28">
        <f>E70/INDEX('Top Down inputs'!$C$98:$Q$137,MATCH('Re-scaled copper costs'!$B70,_xlfn.ANCHORARRAY('Top Down inputs'!$S$98),0),MATCH(P$48,'Top Down inputs'!$C$96:$Q$96,0))</f>
        <v>202.35973091338633</v>
      </c>
      <c r="Q70" s="28">
        <f t="shared" si="0"/>
        <v>845.70838748228005</v>
      </c>
      <c r="R70" s="28">
        <f>G70/INDEX('Top Down inputs'!$C$98:$Q$137,MATCH('Re-scaled copper costs'!$B70,_xlfn.ANCHORARRAY('Top Down inputs'!$S$98),0),MATCH(R$48,'Top Down inputs'!$C$96:$Q$96,0))</f>
        <v>1489.0570440511738</v>
      </c>
      <c r="V70" s="26">
        <f>P70*INDEX('Top Down inputs'!$U$98:$AI$137,MATCH('Re-scaled copper costs'!$B70,_xlfn.ANCHORARRAY('Top Down inputs'!$S$98),0),MATCH('Re-scaled copper costs'!V$48,'Top Down inputs'!$U$96:$AI$96,0))</f>
        <v>226790.57915259601</v>
      </c>
      <c r="W70" s="26">
        <f>Q70*INDEX('Top Down inputs'!$U$98:$AI$137,MATCH('Re-scaled copper costs'!$B70,_xlfn.ANCHORARRAY('Top Down inputs'!$S$98),0),MATCH('Re-scaled copper costs'!W$48,'Top Down inputs'!$U$96:$AI$96,0))</f>
        <v>458535.23972219863</v>
      </c>
      <c r="X70" s="26">
        <f>R70*INDEX('Top Down inputs'!$U$98:$AI$137,MATCH('Re-scaled copper costs'!$B70,_xlfn.ANCHORARRAY('Top Down inputs'!$S$98),0),MATCH('Re-scaled copper costs'!X$48,'Top Down inputs'!$U$96:$AI$96,0))</f>
        <v>167684.45883644206</v>
      </c>
    </row>
    <row r="71" spans="2:24" ht="14.65" thickBot="1" x14ac:dyDescent="0.5">
      <c r="B71" s="9" t="s">
        <v>335</v>
      </c>
      <c r="C71" t="s">
        <v>297</v>
      </c>
      <c r="D71" s="90"/>
      <c r="E71" s="178">
        <v>274420.08276416466</v>
      </c>
      <c r="F71" s="90"/>
      <c r="G71" s="90">
        <v>57954.194042846902</v>
      </c>
      <c r="H71" s="90">
        <v>78756.410022268945</v>
      </c>
      <c r="I71" s="90">
        <v>85844.484036214664</v>
      </c>
      <c r="J71" s="90">
        <v>90828.471398915557</v>
      </c>
      <c r="K71" s="90">
        <v>93935.873042825304</v>
      </c>
      <c r="L71" s="90">
        <v>98303.976720078252</v>
      </c>
      <c r="M71" s="90">
        <v>1440423.1226858504</v>
      </c>
      <c r="P71" s="28">
        <f>E71/INDEX('Top Down inputs'!$C$98:$Q$137,MATCH('Re-scaled copper costs'!$B71,_xlfn.ANCHORARRAY('Top Down inputs'!$S$98),0),MATCH(P$48,'Top Down inputs'!$C$96:$Q$96,0))</f>
        <v>71.486689068931184</v>
      </c>
      <c r="Q71" s="28">
        <f t="shared" si="0"/>
        <v>96.682029966892486</v>
      </c>
      <c r="R71" s="28">
        <f>G71/INDEX('Top Down inputs'!$C$98:$Q$137,MATCH('Re-scaled copper costs'!$B71,_xlfn.ANCHORARRAY('Top Down inputs'!$S$98),0),MATCH(R$48,'Top Down inputs'!$C$96:$Q$96,0))</f>
        <v>121.87737086485379</v>
      </c>
      <c r="V71" s="26">
        <f>P71*INDEX('Top Down inputs'!$U$98:$AI$137,MATCH('Re-scaled copper costs'!$B71,_xlfn.ANCHORARRAY('Top Down inputs'!$S$98),0),MATCH('Re-scaled copper costs'!V$48,'Top Down inputs'!$U$96:$AI$96,0))</f>
        <v>132321.48417800805</v>
      </c>
      <c r="W71" s="26">
        <f>Q71*INDEX('Top Down inputs'!$U$98:$AI$137,MATCH('Re-scaled copper costs'!$B71,_xlfn.ANCHORARRAY('Top Down inputs'!$S$98),0),MATCH('Re-scaled copper costs'!W$48,'Top Down inputs'!$U$96:$AI$96,0))</f>
        <v>101015.72186100112</v>
      </c>
      <c r="X71" s="26">
        <f>R71*INDEX('Top Down inputs'!$U$98:$AI$137,MATCH('Re-scaled copper costs'!$B71,_xlfn.ANCHORARRAY('Top Down inputs'!$S$98),0),MATCH('Re-scaled copper costs'!X$48,'Top Down inputs'!$U$96:$AI$96,0))</f>
        <v>27944.693015343637</v>
      </c>
    </row>
    <row r="72" spans="2:24" ht="14.65" thickBot="1" x14ac:dyDescent="0.5">
      <c r="B72" s="9" t="s">
        <v>371</v>
      </c>
      <c r="C72" t="s">
        <v>298</v>
      </c>
      <c r="D72" s="90"/>
      <c r="E72" s="178">
        <v>11240905.877808275</v>
      </c>
      <c r="F72" s="90"/>
      <c r="G72" s="90">
        <v>51079265.231080942</v>
      </c>
      <c r="H72" s="90">
        <v>40055644.525058426</v>
      </c>
      <c r="I72" s="90">
        <v>54336100.069678381</v>
      </c>
      <c r="J72" s="90">
        <v>80607187.017060518</v>
      </c>
      <c r="K72" s="90">
        <v>80742450.400080189</v>
      </c>
      <c r="L72" s="90">
        <v>63068305.029597804</v>
      </c>
      <c r="M72" s="90">
        <v>37448993.345893309</v>
      </c>
      <c r="P72" s="28">
        <f>E72/INDEX('Top Down inputs'!$C$98:$Q$137,MATCH('Re-scaled copper costs'!$B72,_xlfn.ANCHORARRAY('Top Down inputs'!$S$98),0),MATCH(P$48,'Top Down inputs'!$C$96:$Q$96,0))</f>
        <v>130.91476020085426</v>
      </c>
      <c r="Q72" s="28">
        <f t="shared" si="0"/>
        <v>207.27615521243746</v>
      </c>
      <c r="R72" s="28">
        <f>G72/INDEX('Top Down inputs'!$C$98:$Q$137,MATCH('Re-scaled copper costs'!$B72,_xlfn.ANCHORARRAY('Top Down inputs'!$S$98),0),MATCH(R$48,'Top Down inputs'!$C$96:$Q$96,0))</f>
        <v>283.63755022402069</v>
      </c>
      <c r="V72" s="26">
        <f>P72*INDEX('Top Down inputs'!$U$98:$AI$137,MATCH('Re-scaled copper costs'!$B72,_xlfn.ANCHORARRAY('Top Down inputs'!$S$98),0),MATCH('Re-scaled copper costs'!V$48,'Top Down inputs'!$U$96:$AI$96,0))</f>
        <v>5420205.8911816645</v>
      </c>
      <c r="W72" s="26">
        <f>Q72*INDEX('Top Down inputs'!$U$98:$AI$137,MATCH('Re-scaled copper costs'!$B72,_xlfn.ANCHORARRAY('Top Down inputs'!$S$98),0),MATCH('Re-scaled copper costs'!W$48,'Top Down inputs'!$U$96:$AI$96,0))</f>
        <v>12749147.910573762</v>
      </c>
      <c r="X72" s="26">
        <f>R72*INDEX('Top Down inputs'!$U$98:$AI$137,MATCH('Re-scaled copper costs'!$B72,_xlfn.ANCHORARRAY('Top Down inputs'!$S$98),0),MATCH('Re-scaled copper costs'!X$48,'Top Down inputs'!$U$96:$AI$96,0))</f>
        <v>24629699.539546117</v>
      </c>
    </row>
    <row r="73" spans="2:24" ht="14.65" thickBot="1" x14ac:dyDescent="0.5">
      <c r="B73" s="9" t="s">
        <v>372</v>
      </c>
      <c r="C73" t="s">
        <v>300</v>
      </c>
      <c r="D73" s="90"/>
      <c r="E73" s="178">
        <v>37493395.625035085</v>
      </c>
      <c r="F73" s="90"/>
      <c r="G73" s="90">
        <v>151451019.81441465</v>
      </c>
      <c r="H73" s="90">
        <v>89800855.522688389</v>
      </c>
      <c r="I73" s="90">
        <v>118203597.68120404</v>
      </c>
      <c r="J73" s="90">
        <v>123174888.28306788</v>
      </c>
      <c r="K73" s="90">
        <v>113192332.18931839</v>
      </c>
      <c r="L73" s="90">
        <v>112100400.82479325</v>
      </c>
      <c r="M73" s="90">
        <v>115874809.14553604</v>
      </c>
      <c r="P73" s="28">
        <f>E73/INDEX('Top Down inputs'!$C$98:$Q$137,MATCH('Re-scaled copper costs'!$B73,_xlfn.ANCHORARRAY('Top Down inputs'!$S$98),0),MATCH(P$48,'Top Down inputs'!$C$96:$Q$96,0))</f>
        <v>161.37566131624178</v>
      </c>
      <c r="Q73" s="28">
        <f t="shared" si="0"/>
        <v>227.78420710078166</v>
      </c>
      <c r="R73" s="28">
        <f>G73/INDEX('Top Down inputs'!$C$98:$Q$137,MATCH('Re-scaled copper costs'!$B73,_xlfn.ANCHORARRAY('Top Down inputs'!$S$98),0),MATCH(R$48,'Top Down inputs'!$C$96:$Q$96,0))</f>
        <v>294.19275288532157</v>
      </c>
      <c r="V73" s="26">
        <f>P73*INDEX('Top Down inputs'!$U$98:$AI$137,MATCH('Re-scaled copper costs'!$B73,_xlfn.ANCHORARRAY('Top Down inputs'!$S$98),0),MATCH('Re-scaled copper costs'!V$48,'Top Down inputs'!$U$96:$AI$96,0))</f>
        <v>18078785.291532371</v>
      </c>
      <c r="W73" s="26">
        <f>Q73*INDEX('Top Down inputs'!$U$98:$AI$137,MATCH('Re-scaled copper costs'!$B73,_xlfn.ANCHORARRAY('Top Down inputs'!$S$98),0),MATCH('Re-scaled copper costs'!W$48,'Top Down inputs'!$U$96:$AI$96,0))</f>
        <v>39253184.490953662</v>
      </c>
      <c r="X73" s="26">
        <f>R73*INDEX('Top Down inputs'!$U$98:$AI$137,MATCH('Re-scaled copper costs'!$B73,_xlfn.ANCHORARRAY('Top Down inputs'!$S$98),0),MATCH('Re-scaled copper costs'!X$48,'Top Down inputs'!$U$96:$AI$96,0))</f>
        <v>73027540.551172882</v>
      </c>
    </row>
    <row r="74" spans="2:24" ht="14.65" thickBot="1" x14ac:dyDescent="0.5">
      <c r="B74" s="9" t="s">
        <v>373</v>
      </c>
      <c r="C74" t="s">
        <v>301</v>
      </c>
      <c r="D74" s="90"/>
      <c r="E74" s="178">
        <v>6520736.2472740905</v>
      </c>
      <c r="F74" s="90"/>
      <c r="G74" s="90">
        <v>31035903.277018171</v>
      </c>
      <c r="H74" s="90">
        <v>25785443.075565103</v>
      </c>
      <c r="I74" s="90">
        <v>35563092.157698594</v>
      </c>
      <c r="J74" s="90">
        <v>52725811.775582321</v>
      </c>
      <c r="K74" s="90">
        <v>53525326.028283119</v>
      </c>
      <c r="L74" s="90">
        <v>40990716.824281715</v>
      </c>
      <c r="M74" s="90">
        <v>24489547.236529887</v>
      </c>
      <c r="P74" s="28">
        <f>E74/INDEX('Top Down inputs'!$C$98:$Q$137,MATCH('Re-scaled copper costs'!$B74,_xlfn.ANCHORARRAY('Top Down inputs'!$S$98),0),MATCH(P$48,'Top Down inputs'!$C$96:$Q$96,0))</f>
        <v>112.02586090654152</v>
      </c>
      <c r="Q74" s="28">
        <f t="shared" si="0"/>
        <v>191.81828569347431</v>
      </c>
      <c r="R74" s="28">
        <f>G74/INDEX('Top Down inputs'!$C$98:$Q$137,MATCH('Re-scaled copper costs'!$B74,_xlfn.ANCHORARRAY('Top Down inputs'!$S$98),0),MATCH(R$48,'Top Down inputs'!$C$96:$Q$96,0))</f>
        <v>271.61071048040708</v>
      </c>
      <c r="V74" s="26">
        <f>P74*INDEX('Top Down inputs'!$U$98:$AI$137,MATCH('Re-scaled copper costs'!$B74,_xlfn.ANCHORARRAY('Top Down inputs'!$S$98),0),MATCH('Re-scaled copper costs'!V$48,'Top Down inputs'!$U$96:$AI$96,0))</f>
        <v>3144206.8287478699</v>
      </c>
      <c r="W74" s="26">
        <f>Q74*INDEX('Top Down inputs'!$U$98:$AI$137,MATCH('Re-scaled copper costs'!$B74,_xlfn.ANCHORARRAY('Top Down inputs'!$S$98),0),MATCH('Re-scaled copper costs'!W$48,'Top Down inputs'!$U$96:$AI$96,0))</f>
        <v>9329244.0306380875</v>
      </c>
      <c r="X74" s="26">
        <f>R74*INDEX('Top Down inputs'!$U$98:$AI$137,MATCH('Re-scaled copper costs'!$B74,_xlfn.ANCHORARRAY('Top Down inputs'!$S$98),0),MATCH('Re-scaled copper costs'!X$48,'Top Down inputs'!$U$96:$AI$96,0))</f>
        <v>14965073.776868735</v>
      </c>
    </row>
    <row r="75" spans="2:24" ht="14.65" thickBot="1" x14ac:dyDescent="0.5">
      <c r="B75" s="9" t="s">
        <v>374</v>
      </c>
      <c r="C75" t="s">
        <v>302</v>
      </c>
      <c r="D75" s="90"/>
      <c r="E75" s="178">
        <v>20843384.571444687</v>
      </c>
      <c r="F75" s="90"/>
      <c r="G75" s="90">
        <v>79407375.905386806</v>
      </c>
      <c r="H75" s="90">
        <v>52898502.38261696</v>
      </c>
      <c r="I75" s="90">
        <v>70811550.455634087</v>
      </c>
      <c r="J75" s="90">
        <v>74593737.872301906</v>
      </c>
      <c r="K75" s="90">
        <v>68671738.875046581</v>
      </c>
      <c r="L75" s="90">
        <v>68435494.545886293</v>
      </c>
      <c r="M75" s="90">
        <v>70677386.508151188</v>
      </c>
      <c r="P75" s="28">
        <f>E75/INDEX('Top Down inputs'!$C$98:$Q$137,MATCH('Re-scaled copper costs'!$B75,_xlfn.ANCHORARRAY('Top Down inputs'!$S$98),0),MATCH(P$48,'Top Down inputs'!$C$96:$Q$96,0))</f>
        <v>128.89783605950922</v>
      </c>
      <c r="Q75" s="28">
        <f t="shared" si="0"/>
        <v>189.04305041371143</v>
      </c>
      <c r="R75" s="28">
        <f>G75/INDEX('Top Down inputs'!$C$98:$Q$137,MATCH('Re-scaled copper costs'!$B75,_xlfn.ANCHORARRAY('Top Down inputs'!$S$98),0),MATCH(R$48,'Top Down inputs'!$C$96:$Q$96,0))</f>
        <v>249.18826476791364</v>
      </c>
      <c r="V75" s="26">
        <f>P75*INDEX('Top Down inputs'!$U$98:$AI$137,MATCH('Re-scaled copper costs'!$B75,_xlfn.ANCHORARRAY('Top Down inputs'!$S$98),0),MATCH('Re-scaled copper costs'!V$48,'Top Down inputs'!$U$96:$AI$96,0))</f>
        <v>10050385.358118236</v>
      </c>
      <c r="W75" s="26">
        <f>Q75*INDEX('Top Down inputs'!$U$98:$AI$137,MATCH('Re-scaled copper costs'!$B75,_xlfn.ANCHORARRAY('Top Down inputs'!$S$98),0),MATCH('Re-scaled copper costs'!W$48,'Top Down inputs'!$U$96:$AI$96,0))</f>
        <v>23286259.11437792</v>
      </c>
      <c r="X75" s="26">
        <f>R75*INDEX('Top Down inputs'!$U$98:$AI$137,MATCH('Re-scaled copper costs'!$B75,_xlfn.ANCHORARRAY('Top Down inputs'!$S$98),0),MATCH('Re-scaled copper costs'!X$48,'Top Down inputs'!$U$96:$AI$96,0))</f>
        <v>38289114.0059589</v>
      </c>
    </row>
    <row r="76" spans="2:24" ht="14.65" thickBot="1" x14ac:dyDescent="0.5">
      <c r="B76" s="9" t="s">
        <v>336</v>
      </c>
      <c r="C76" t="s">
        <v>303</v>
      </c>
      <c r="D76" s="90"/>
      <c r="E76" s="178">
        <v>21515448.984485999</v>
      </c>
      <c r="F76" s="90"/>
      <c r="G76" s="90">
        <v>16797721.063700292</v>
      </c>
      <c r="H76" s="90">
        <v>15461616.53371791</v>
      </c>
      <c r="I76" s="90">
        <v>14950384.780907085</v>
      </c>
      <c r="J76" s="90">
        <v>10455367.233149709</v>
      </c>
      <c r="K76" s="90">
        <v>9882970.5573033188</v>
      </c>
      <c r="L76" s="90">
        <v>7911291.392588852</v>
      </c>
      <c r="M76" s="90">
        <v>0</v>
      </c>
      <c r="P76" s="28">
        <f>E76/INDEX('Top Down inputs'!$C$98:$Q$137,MATCH('Re-scaled copper costs'!$B76,_xlfn.ANCHORARRAY('Top Down inputs'!$S$98),0),MATCH(P$48,'Top Down inputs'!$C$96:$Q$96,0))</f>
        <v>346.1456950852197</v>
      </c>
      <c r="Q76" s="28">
        <f t="shared" si="0"/>
        <v>317.32199695960225</v>
      </c>
      <c r="R76" s="28">
        <f>G76/INDEX('Top Down inputs'!$C$98:$Q$137,MATCH('Re-scaled copper costs'!$B76,_xlfn.ANCHORARRAY('Top Down inputs'!$S$98),0),MATCH(R$48,'Top Down inputs'!$C$96:$Q$96,0))</f>
        <v>288.49829883398479</v>
      </c>
      <c r="V76" s="26">
        <f>P76*INDEX('Top Down inputs'!$U$98:$AI$137,MATCH('Re-scaled copper costs'!$B76,_xlfn.ANCHORARRAY('Top Down inputs'!$S$98),0),MATCH('Re-scaled copper costs'!V$48,'Top Down inputs'!$U$96:$AI$96,0))</f>
        <v>10374445.316489698</v>
      </c>
      <c r="W76" s="26">
        <f>Q76*INDEX('Top Down inputs'!$U$98:$AI$137,MATCH('Re-scaled copper costs'!$B76,_xlfn.ANCHORARRAY('Top Down inputs'!$S$98),0),MATCH('Re-scaled copper costs'!W$48,'Top Down inputs'!$U$96:$AI$96,0))</f>
        <v>11451644.291190021</v>
      </c>
      <c r="X76" s="26">
        <f>R76*INDEX('Top Down inputs'!$U$98:$AI$137,MATCH('Re-scaled copper costs'!$B76,_xlfn.ANCHORARRAY('Top Down inputs'!$S$98),0),MATCH('Re-scaled copper costs'!X$48,'Top Down inputs'!$U$96:$AI$96,0))</f>
        <v>8099623.6119759083</v>
      </c>
    </row>
    <row r="77" spans="2:24" ht="14.65" thickBot="1" x14ac:dyDescent="0.5">
      <c r="B77" s="9" t="s">
        <v>337</v>
      </c>
      <c r="C77" t="s">
        <v>304</v>
      </c>
      <c r="D77" s="90"/>
      <c r="E77" s="178">
        <v>27811003.921969086</v>
      </c>
      <c r="F77" s="90"/>
      <c r="G77" s="90">
        <v>29213625.611238301</v>
      </c>
      <c r="H77" s="90">
        <v>24798196.52477733</v>
      </c>
      <c r="I77" s="90">
        <v>23976828.558713961</v>
      </c>
      <c r="J77" s="90">
        <v>16722872.385986481</v>
      </c>
      <c r="K77" s="90">
        <v>15795430.350566061</v>
      </c>
      <c r="L77" s="90">
        <v>12652932.086185452</v>
      </c>
      <c r="M77" s="90">
        <v>0</v>
      </c>
      <c r="P77" s="28">
        <f>E77/INDEX('Top Down inputs'!$C$98:$Q$137,MATCH('Re-scaled copper costs'!$B77,_xlfn.ANCHORARRAY('Top Down inputs'!$S$98),0),MATCH(P$48,'Top Down inputs'!$C$96:$Q$96,0))</f>
        <v>381.4742045170612</v>
      </c>
      <c r="Q77" s="28">
        <f t="shared" si="0"/>
        <v>368.7550036071558</v>
      </c>
      <c r="R77" s="28">
        <f>G77/INDEX('Top Down inputs'!$C$98:$Q$137,MATCH('Re-scaled copper costs'!$B77,_xlfn.ANCHORARRAY('Top Down inputs'!$S$98),0),MATCH(R$48,'Top Down inputs'!$C$96:$Q$96,0))</f>
        <v>356.03580269725046</v>
      </c>
      <c r="V77" s="26">
        <f>P77*INDEX('Top Down inputs'!$U$98:$AI$137,MATCH('Re-scaled copper costs'!$B77,_xlfn.ANCHORARRAY('Top Down inputs'!$S$98),0),MATCH('Re-scaled copper costs'!V$48,'Top Down inputs'!$U$96:$AI$96,0))</f>
        <v>13410072.90125308</v>
      </c>
      <c r="W77" s="26">
        <f>Q77*INDEX('Top Down inputs'!$U$98:$AI$137,MATCH('Re-scaled copper costs'!$B77,_xlfn.ANCHORARRAY('Top Down inputs'!$S$98),0),MATCH('Re-scaled copper costs'!W$48,'Top Down inputs'!$U$96:$AI$96,0))</f>
        <v>25719644.449230839</v>
      </c>
      <c r="X77" s="26">
        <f>R77*INDEX('Top Down inputs'!$U$98:$AI$137,MATCH('Re-scaled copper costs'!$B77,_xlfn.ANCHORARRAY('Top Down inputs'!$S$98),0),MATCH('Re-scaled copper costs'!X$48,'Top Down inputs'!$U$96:$AI$96,0))</f>
        <v>14086397.249656798</v>
      </c>
    </row>
    <row r="78" spans="2:24" ht="14.65" thickBot="1" x14ac:dyDescent="0.5">
      <c r="B78" s="9" t="s">
        <v>375</v>
      </c>
      <c r="C78" t="s">
        <v>305</v>
      </c>
      <c r="D78" s="90"/>
      <c r="E78" s="178">
        <v>942989.49369093124</v>
      </c>
      <c r="F78" s="90"/>
      <c r="G78" s="90">
        <v>1323197.0825918813</v>
      </c>
      <c r="H78" s="90">
        <v>991649.565477508</v>
      </c>
      <c r="I78" s="90">
        <v>878172.02230032627</v>
      </c>
      <c r="J78" s="90">
        <v>793286.14538714744</v>
      </c>
      <c r="K78" s="90">
        <v>622370.04954869801</v>
      </c>
      <c r="L78" s="90">
        <v>478751.72861855896</v>
      </c>
      <c r="M78" s="90">
        <v>369348.6400367996</v>
      </c>
      <c r="P78" s="28">
        <f>E78/INDEX('Top Down inputs'!$C$98:$Q$137,MATCH('Re-scaled copper costs'!$B78,_xlfn.ANCHORARRAY('Top Down inputs'!$S$98),0),MATCH(P$48,'Top Down inputs'!$C$96:$Q$96,0))</f>
        <v>2.73373912021178</v>
      </c>
      <c r="Q78" s="28">
        <f t="shared" si="0"/>
        <v>4.4268713234538417</v>
      </c>
      <c r="R78" s="28">
        <f>G78/INDEX('Top Down inputs'!$C$98:$Q$137,MATCH('Re-scaled copper costs'!$B78,_xlfn.ANCHORARRAY('Top Down inputs'!$S$98),0),MATCH(R$48,'Top Down inputs'!$C$96:$Q$96,0))</f>
        <v>6.1200035266959043</v>
      </c>
      <c r="V78" s="26">
        <f>P78*INDEX('Top Down inputs'!$U$98:$AI$137,MATCH('Re-scaled copper costs'!$B78,_xlfn.ANCHORARRAY('Top Down inputs'!$S$98),0),MATCH('Re-scaled copper costs'!V$48,'Top Down inputs'!$U$96:$AI$96,0))</f>
        <v>454696.20194191765</v>
      </c>
      <c r="W78" s="26">
        <f>Q78*INDEX('Top Down inputs'!$U$98:$AI$137,MATCH('Re-scaled copper costs'!$B78,_xlfn.ANCHORARRAY('Top Down inputs'!$S$98),0),MATCH('Re-scaled copper costs'!W$48,'Top Down inputs'!$U$96:$AI$96,0))</f>
        <v>474780.77228252054</v>
      </c>
      <c r="X78" s="26">
        <f>R78*INDEX('Top Down inputs'!$U$98:$AI$137,MATCH('Re-scaled copper costs'!$B78,_xlfn.ANCHORARRAY('Top Down inputs'!$S$98),0),MATCH('Re-scaled copper costs'!X$48,'Top Down inputs'!$U$96:$AI$96,0))</f>
        <v>638026.92596313125</v>
      </c>
    </row>
    <row r="79" spans="2:24" ht="14.65" thickBot="1" x14ac:dyDescent="0.5">
      <c r="B79" s="9" t="s">
        <v>376</v>
      </c>
      <c r="C79" t="s">
        <v>306</v>
      </c>
      <c r="D79" s="90"/>
      <c r="E79" s="178">
        <v>303272.88799594517</v>
      </c>
      <c r="F79" s="90"/>
      <c r="G79" s="90">
        <v>226047.19688985869</v>
      </c>
      <c r="H79" s="90">
        <v>123155.80585317717</v>
      </c>
      <c r="I79" s="90">
        <v>109139.22737622468</v>
      </c>
      <c r="J79" s="90">
        <v>96476.073379054127</v>
      </c>
      <c r="K79" s="90">
        <v>75320.162997179999</v>
      </c>
      <c r="L79" s="90">
        <v>57544.61139030206</v>
      </c>
      <c r="M79" s="90">
        <v>43813.006579943496</v>
      </c>
      <c r="P79" s="28">
        <f>E79/INDEX('Top Down inputs'!$C$98:$Q$137,MATCH('Re-scaled copper costs'!$B79,_xlfn.ANCHORARRAY('Top Down inputs'!$S$98),0),MATCH(P$48,'Top Down inputs'!$C$96:$Q$96,0))</f>
        <v>5.4465243571443516</v>
      </c>
      <c r="Q79" s="28">
        <f t="shared" si="0"/>
        <v>6.5370979371438223</v>
      </c>
      <c r="R79" s="28">
        <f>G79/INDEX('Top Down inputs'!$C$98:$Q$137,MATCH('Re-scaled copper costs'!$B79,_xlfn.ANCHORARRAY('Top Down inputs'!$S$98),0),MATCH(R$48,'Top Down inputs'!$C$96:$Q$96,0))</f>
        <v>7.6276715171432929</v>
      </c>
      <c r="V79" s="26">
        <f>P79*INDEX('Top Down inputs'!$U$98:$AI$137,MATCH('Re-scaled copper costs'!$B79,_xlfn.ANCHORARRAY('Top Down inputs'!$S$98),0),MATCH('Re-scaled copper costs'!V$48,'Top Down inputs'!$U$96:$AI$96,0))</f>
        <v>146233.89894194217</v>
      </c>
      <c r="W79" s="26">
        <f>Q79*INDEX('Top Down inputs'!$U$98:$AI$137,MATCH('Re-scaled copper costs'!$B79,_xlfn.ANCHORARRAY('Top Down inputs'!$S$98),0),MATCH('Re-scaled copper costs'!W$48,'Top Down inputs'!$U$96:$AI$96,0))</f>
        <v>95847.22072754665</v>
      </c>
      <c r="X79" s="26">
        <f>R79*INDEX('Top Down inputs'!$U$98:$AI$137,MATCH('Re-scaled copper costs'!$B79,_xlfn.ANCHORARRAY('Top Down inputs'!$S$98),0),MATCH('Re-scaled copper costs'!X$48,'Top Down inputs'!$U$96:$AI$96,0))</f>
        <v>108996.76250170727</v>
      </c>
    </row>
    <row r="80" spans="2:24" ht="14.65" thickBot="1" x14ac:dyDescent="0.5">
      <c r="B80" s="9" t="s">
        <v>338</v>
      </c>
      <c r="C80" t="s">
        <v>307</v>
      </c>
      <c r="D80" s="90"/>
      <c r="E80" s="178">
        <v>424689.19173136179</v>
      </c>
      <c r="F80" s="90"/>
      <c r="G80" s="90">
        <v>611627.42892220605</v>
      </c>
      <c r="H80" s="90">
        <v>434138.78653378063</v>
      </c>
      <c r="I80" s="90">
        <v>322347.95202382462</v>
      </c>
      <c r="J80" s="90">
        <v>222589.01787982369</v>
      </c>
      <c r="K80" s="90">
        <v>144190.33816194409</v>
      </c>
      <c r="L80" s="90">
        <v>87246.031073758932</v>
      </c>
      <c r="M80" s="90">
        <v>65629.129936244935</v>
      </c>
      <c r="P80" s="28">
        <f>E80/INDEX('Top Down inputs'!$C$98:$Q$137,MATCH('Re-scaled copper costs'!$B80,_xlfn.ANCHORARRAY('Top Down inputs'!$S$98),0),MATCH(P$48,'Top Down inputs'!$C$96:$Q$96,0))</f>
        <v>17.898181025220783</v>
      </c>
      <c r="Q80" s="28">
        <f t="shared" si="0"/>
        <v>59.461710649987474</v>
      </c>
      <c r="R80" s="28">
        <f>G80/INDEX('Top Down inputs'!$C$98:$Q$137,MATCH('Re-scaled copper costs'!$B80,_xlfn.ANCHORARRAY('Top Down inputs'!$S$98),0),MATCH(R$48,'Top Down inputs'!$C$96:$Q$96,0))</f>
        <v>101.02524027475417</v>
      </c>
      <c r="V80" s="26">
        <f>P80*INDEX('Top Down inputs'!$U$98:$AI$137,MATCH('Re-scaled copper costs'!$B80,_xlfn.ANCHORARRAY('Top Down inputs'!$S$98),0),MATCH('Re-scaled copper costs'!V$48,'Top Down inputs'!$U$96:$AI$96,0))</f>
        <v>204779.12402842095</v>
      </c>
      <c r="W80" s="26">
        <f>Q80*INDEX('Top Down inputs'!$U$98:$AI$137,MATCH('Re-scaled copper costs'!$B80,_xlfn.ANCHORARRAY('Top Down inputs'!$S$98),0),MATCH('Re-scaled copper costs'!W$48,'Top Down inputs'!$U$96:$AI$96,0))</f>
        <v>438350.53464847337</v>
      </c>
      <c r="X80" s="26">
        <f>R80*INDEX('Top Down inputs'!$U$98:$AI$137,MATCH('Re-scaled copper costs'!$B80,_xlfn.ANCHORARRAY('Top Down inputs'!$S$98),0),MATCH('Re-scaled copper costs'!X$48,'Top Down inputs'!$U$96:$AI$96,0))</f>
        <v>294918.09908284864</v>
      </c>
    </row>
    <row r="81" spans="2:24" ht="14.65" thickBot="1" x14ac:dyDescent="0.5">
      <c r="B81" s="9" t="s">
        <v>339</v>
      </c>
      <c r="C81" t="s">
        <v>308</v>
      </c>
      <c r="D81" s="90"/>
      <c r="E81" s="178">
        <v>38537.130748341893</v>
      </c>
      <c r="F81" s="90"/>
      <c r="G81" s="90">
        <v>2002.9333366577205</v>
      </c>
      <c r="H81" s="90">
        <v>1310.5710036574151</v>
      </c>
      <c r="I81" s="90">
        <v>1002.6365458705624</v>
      </c>
      <c r="J81" s="90">
        <v>760.38048476429788</v>
      </c>
      <c r="K81" s="90">
        <v>524.96365285332638</v>
      </c>
      <c r="L81" s="90">
        <v>342.16406152175119</v>
      </c>
      <c r="M81" s="90">
        <v>468.27096475649302</v>
      </c>
      <c r="P81" s="28">
        <f>E81/INDEX('Top Down inputs'!$C$98:$Q$137,MATCH('Re-scaled copper costs'!$B81,_xlfn.ANCHORARRAY('Top Down inputs'!$S$98),0),MATCH(P$48,'Top Down inputs'!$C$96:$Q$96,0))</f>
        <v>9.2304365172665968</v>
      </c>
      <c r="Q81" s="28">
        <f t="shared" si="0"/>
        <v>5.850669031121944</v>
      </c>
      <c r="R81" s="28">
        <f>G81/INDEX('Top Down inputs'!$C$98:$Q$137,MATCH('Re-scaled copper costs'!$B81,_xlfn.ANCHORARRAY('Top Down inputs'!$S$98),0),MATCH(R$48,'Top Down inputs'!$C$96:$Q$96,0))</f>
        <v>2.4709015449772922</v>
      </c>
      <c r="V81" s="26">
        <f>P81*INDEX('Top Down inputs'!$U$98:$AI$137,MATCH('Re-scaled copper costs'!$B81,_xlfn.ANCHORARRAY('Top Down inputs'!$S$98),0),MATCH('Re-scaled copper costs'!V$48,'Top Down inputs'!$U$96:$AI$96,0))</f>
        <v>18582.059611740791</v>
      </c>
      <c r="W81" s="26">
        <f>Q81*INDEX('Top Down inputs'!$U$98:$AI$137,MATCH('Re-scaled copper costs'!$B81,_xlfn.ANCHORARRAY('Top Down inputs'!$S$98),0),MATCH('Re-scaled copper costs'!W$48,'Top Down inputs'!$U$96:$AI$96,0))</f>
        <v>4700.8231266772591</v>
      </c>
      <c r="X81" s="26">
        <f>R81*INDEX('Top Down inputs'!$U$98:$AI$137,MATCH('Re-scaled copper costs'!$B81,_xlfn.ANCHORARRAY('Top Down inputs'!$S$98),0),MATCH('Re-scaled copper costs'!X$48,'Top Down inputs'!$U$96:$AI$96,0))</f>
        <v>965.78613761269764</v>
      </c>
    </row>
    <row r="82" spans="2:24" ht="14.65" thickBot="1" x14ac:dyDescent="0.5">
      <c r="B82" s="9" t="s">
        <v>377</v>
      </c>
      <c r="C82" t="s">
        <v>309</v>
      </c>
      <c r="D82" s="90"/>
      <c r="E82" s="178">
        <v>5811561.1019512787</v>
      </c>
      <c r="F82" s="90"/>
      <c r="G82" s="90">
        <v>15110113.591695417</v>
      </c>
      <c r="H82" s="90">
        <v>4849518.8402767936</v>
      </c>
      <c r="I82" s="90">
        <v>4069756.9013997912</v>
      </c>
      <c r="J82" s="90">
        <v>2804355.9840198099</v>
      </c>
      <c r="K82" s="90">
        <v>2029095.8697390261</v>
      </c>
      <c r="L82" s="90">
        <v>1227932.9148053185</v>
      </c>
      <c r="M82" s="90">
        <v>344136.5276048283</v>
      </c>
      <c r="P82" s="28">
        <f>E82/INDEX('Top Down inputs'!$C$98:$Q$137,MATCH('Re-scaled copper costs'!$B82,_xlfn.ANCHORARRAY('Top Down inputs'!$S$98),0),MATCH(P$48,'Top Down inputs'!$C$96:$Q$96,0))</f>
        <v>56.655936751780786</v>
      </c>
      <c r="Q82" s="28">
        <f t="shared" si="0"/>
        <v>154.64587490476043</v>
      </c>
      <c r="R82" s="28">
        <f>G82/INDEX('Top Down inputs'!$C$98:$Q$137,MATCH('Re-scaled copper costs'!$B82,_xlfn.ANCHORARRAY('Top Down inputs'!$S$98),0),MATCH(R$48,'Top Down inputs'!$C$96:$Q$96,0))</f>
        <v>252.63581305774005</v>
      </c>
      <c r="V82" s="26">
        <f>P82*INDEX('Top Down inputs'!$U$98:$AI$137,MATCH('Re-scaled copper costs'!$B82,_xlfn.ANCHORARRAY('Top Down inputs'!$S$98),0),MATCH('Re-scaled copper costs'!V$48,'Top Down inputs'!$U$96:$AI$96,0))</f>
        <v>2802252.5999390627</v>
      </c>
      <c r="W82" s="26">
        <f>Q82*INDEX('Top Down inputs'!$U$98:$AI$137,MATCH('Re-scaled copper costs'!$B82,_xlfn.ANCHORARRAY('Top Down inputs'!$S$98),0),MATCH('Re-scaled copper costs'!W$48,'Top Down inputs'!$U$96:$AI$96,0))</f>
        <v>5898661.9682432692</v>
      </c>
      <c r="X82" s="26">
        <f>R82*INDEX('Top Down inputs'!$U$98:$AI$137,MATCH('Re-scaled copper costs'!$B82,_xlfn.ANCHORARRAY('Top Down inputs'!$S$98),0),MATCH('Re-scaled copper costs'!X$48,'Top Down inputs'!$U$96:$AI$96,0))</f>
        <v>7285883.1482450152</v>
      </c>
    </row>
    <row r="83" spans="2:24" ht="14.65" thickBot="1" x14ac:dyDescent="0.5">
      <c r="B83" s="9" t="s">
        <v>378</v>
      </c>
      <c r="C83" t="s">
        <v>310</v>
      </c>
      <c r="D83" s="90"/>
      <c r="E83" s="178">
        <v>85552580.804881677</v>
      </c>
      <c r="F83" s="90"/>
      <c r="G83" s="90">
        <v>133951298.84758498</v>
      </c>
      <c r="H83" s="90">
        <v>54298424.165277496</v>
      </c>
      <c r="I83" s="90">
        <v>46885039.654169649</v>
      </c>
      <c r="J83" s="90">
        <v>32367496.675075598</v>
      </c>
      <c r="K83" s="90">
        <v>23507773.783053666</v>
      </c>
      <c r="L83" s="90">
        <v>14276013.483298678</v>
      </c>
      <c r="M83" s="90">
        <v>4009313.9624565542</v>
      </c>
      <c r="P83" s="28">
        <f>E83/INDEX('Top Down inputs'!$C$98:$Q$137,MATCH('Re-scaled copper costs'!$B83,_xlfn.ANCHORARRAY('Top Down inputs'!$S$98),0),MATCH(P$48,'Top Down inputs'!$C$96:$Q$96,0))</f>
        <v>60.654430823540707</v>
      </c>
      <c r="Q83" s="28">
        <f t="shared" si="0"/>
        <v>100.93859596464536</v>
      </c>
      <c r="R83" s="28">
        <f>G83/INDEX('Top Down inputs'!$C$98:$Q$137,MATCH('Re-scaled copper costs'!$B83,_xlfn.ANCHORARRAY('Top Down inputs'!$S$98),0),MATCH(R$48,'Top Down inputs'!$C$96:$Q$96,0))</f>
        <v>141.22276110575001</v>
      </c>
      <c r="V83" s="26">
        <f>P83*INDEX('Top Down inputs'!$U$98:$AI$137,MATCH('Re-scaled copper costs'!$B83,_xlfn.ANCHORARRAY('Top Down inputs'!$S$98),0),MATCH('Re-scaled copper costs'!V$48,'Top Down inputs'!$U$96:$AI$96,0))</f>
        <v>41252244.928042106</v>
      </c>
      <c r="W83" s="26">
        <f>Q83*INDEX('Top Down inputs'!$U$98:$AI$137,MATCH('Re-scaled copper costs'!$B83,_xlfn.ANCHORARRAY('Top Down inputs'!$S$98),0),MATCH('Re-scaled copper costs'!W$48,'Top Down inputs'!$U$96:$AI$96,0))</f>
        <v>59054276.244018309</v>
      </c>
      <c r="X83" s="26">
        <f>R83*INDEX('Top Down inputs'!$U$98:$AI$137,MATCH('Re-scaled copper costs'!$B83,_xlfn.ANCHORARRAY('Top Down inputs'!$S$98),0),MATCH('Re-scaled copper costs'!X$48,'Top Down inputs'!$U$96:$AI$96,0))</f>
        <v>64589422.510730796</v>
      </c>
    </row>
    <row r="84" spans="2:24" ht="14.65" thickBot="1" x14ac:dyDescent="0.5">
      <c r="B84" s="9" t="s">
        <v>379</v>
      </c>
      <c r="C84" t="s">
        <v>311</v>
      </c>
      <c r="D84" s="90"/>
      <c r="E84" s="178">
        <v>11894657.786227703</v>
      </c>
      <c r="F84" s="90"/>
      <c r="G84" s="90">
        <v>26027304.372530308</v>
      </c>
      <c r="H84" s="90">
        <v>7983465.5781068821</v>
      </c>
      <c r="I84" s="90">
        <v>6789372.7758906679</v>
      </c>
      <c r="J84" s="90">
        <v>4681939.3917045873</v>
      </c>
      <c r="K84" s="90">
        <v>3435874.9905738267</v>
      </c>
      <c r="L84" s="90">
        <v>2083811.084003662</v>
      </c>
      <c r="M84" s="90">
        <v>588976.34694002243</v>
      </c>
      <c r="P84" s="28">
        <f>E84/INDEX('Top Down inputs'!$C$98:$Q$137,MATCH('Re-scaled copper costs'!$B84,_xlfn.ANCHORARRAY('Top Down inputs'!$S$98),0),MATCH(P$48,'Top Down inputs'!$C$96:$Q$96,0))</f>
        <v>74.834902322639863</v>
      </c>
      <c r="Q84" s="28">
        <f t="shared" si="0"/>
        <v>147.46260798530119</v>
      </c>
      <c r="R84" s="28">
        <f>G84/INDEX('Top Down inputs'!$C$98:$Q$137,MATCH('Re-scaled copper costs'!$B84,_xlfn.ANCHORARRAY('Top Down inputs'!$S$98),0),MATCH(R$48,'Top Down inputs'!$C$96:$Q$96,0))</f>
        <v>220.09031364796252</v>
      </c>
      <c r="V84" s="26">
        <f>P84*INDEX('Top Down inputs'!$U$98:$AI$137,MATCH('Re-scaled copper costs'!$B84,_xlfn.ANCHORARRAY('Top Down inputs'!$S$98),0),MATCH('Re-scaled copper costs'!V$48,'Top Down inputs'!$U$96:$AI$96,0))</f>
        <v>5735435.8187252935</v>
      </c>
      <c r="W84" s="26">
        <f>Q84*INDEX('Top Down inputs'!$U$98:$AI$137,MATCH('Re-scaled copper costs'!$B84,_xlfn.ANCHORARRAY('Top Down inputs'!$S$98),0),MATCH('Re-scaled copper costs'!W$48,'Top Down inputs'!$U$96:$AI$96,0))</f>
        <v>10586730.182436677</v>
      </c>
      <c r="X84" s="26">
        <f>R84*INDEX('Top Down inputs'!$U$98:$AI$137,MATCH('Re-scaled copper costs'!$B84,_xlfn.ANCHORARRAY('Top Down inputs'!$S$98),0),MATCH('Re-scaled copper costs'!X$48,'Top Down inputs'!$U$96:$AI$96,0))</f>
        <v>12549998.19632626</v>
      </c>
    </row>
    <row r="85" spans="2:24" ht="14.65" thickBot="1" x14ac:dyDescent="0.5">
      <c r="B85" s="9" t="s">
        <v>380</v>
      </c>
      <c r="C85" t="s">
        <v>312</v>
      </c>
      <c r="D85" s="90"/>
      <c r="E85" s="178">
        <v>36698167.613360316</v>
      </c>
      <c r="F85" s="90"/>
      <c r="G85" s="90">
        <v>40237900.684007145</v>
      </c>
      <c r="H85" s="90">
        <v>14247480.407034084</v>
      </c>
      <c r="I85" s="90">
        <v>12315762.877636002</v>
      </c>
      <c r="J85" s="90">
        <v>8414797.6726486962</v>
      </c>
      <c r="K85" s="90">
        <v>6253220.5224253796</v>
      </c>
      <c r="L85" s="90">
        <v>3696367.9830318228</v>
      </c>
      <c r="M85" s="90">
        <v>1045349.2115499179</v>
      </c>
      <c r="P85" s="28">
        <f>E85/INDEX('Top Down inputs'!$C$98:$Q$137,MATCH('Re-scaled copper costs'!$B85,_xlfn.ANCHORARRAY('Top Down inputs'!$S$98),0),MATCH(P$48,'Top Down inputs'!$C$96:$Q$96,0))</f>
        <v>69.892683281511864</v>
      </c>
      <c r="Q85" s="28">
        <f t="shared" si="0"/>
        <v>125.41172068174232</v>
      </c>
      <c r="R85" s="28">
        <f>G85/INDEX('Top Down inputs'!$C$98:$Q$137,MATCH('Re-scaled copper costs'!$B85,_xlfn.ANCHORARRAY('Top Down inputs'!$S$98),0),MATCH(R$48,'Top Down inputs'!$C$96:$Q$96,0))</f>
        <v>180.93075808197278</v>
      </c>
      <c r="V85" s="26">
        <f>P85*INDEX('Top Down inputs'!$U$98:$AI$137,MATCH('Re-scaled copper costs'!$B85,_xlfn.ANCHORARRAY('Top Down inputs'!$S$98),0),MATCH('Re-scaled copper costs'!V$48,'Top Down inputs'!$U$96:$AI$96,0))</f>
        <v>17695337.587177724</v>
      </c>
      <c r="W85" s="26">
        <f>Q85*INDEX('Top Down inputs'!$U$98:$AI$137,MATCH('Re-scaled copper costs'!$B85,_xlfn.ANCHORARRAY('Top Down inputs'!$S$98),0),MATCH('Re-scaled copper costs'!W$48,'Top Down inputs'!$U$96:$AI$96,0))</f>
        <v>17189382.299706683</v>
      </c>
      <c r="X85" s="26">
        <f>R85*INDEX('Top Down inputs'!$U$98:$AI$137,MATCH('Re-scaled copper costs'!$B85,_xlfn.ANCHORARRAY('Top Down inputs'!$S$98),0),MATCH('Re-scaled copper costs'!X$48,'Top Down inputs'!$U$96:$AI$96,0))</f>
        <v>19402146.829358779</v>
      </c>
    </row>
    <row r="86" spans="2:24" ht="14.65" thickBot="1" x14ac:dyDescent="0.5">
      <c r="B86" s="9" t="s">
        <v>340</v>
      </c>
      <c r="C86" t="s">
        <v>313</v>
      </c>
      <c r="D86" s="90"/>
      <c r="E86" s="178">
        <v>27894.875001888548</v>
      </c>
      <c r="F86" s="90"/>
      <c r="G86" s="90">
        <v>9574.361649509714</v>
      </c>
      <c r="H86" s="90">
        <v>3880.0882352645554</v>
      </c>
      <c r="I86" s="90">
        <v>2313.8972803232782</v>
      </c>
      <c r="J86" s="90">
        <v>1381.6439692461427</v>
      </c>
      <c r="K86" s="90">
        <v>890.79422968011988</v>
      </c>
      <c r="L86" s="90">
        <v>453.85994149768476</v>
      </c>
      <c r="M86" s="90">
        <v>304.90034528348275</v>
      </c>
      <c r="P86" s="28">
        <f>E86/INDEX('Top Down inputs'!$C$98:$Q$137,MATCH('Re-scaled copper costs'!$B86,_xlfn.ANCHORARRAY('Top Down inputs'!$S$98),0),MATCH(P$48,'Top Down inputs'!$C$96:$Q$96,0))</f>
        <v>18.580383467086982</v>
      </c>
      <c r="Q86" s="28">
        <f t="shared" si="0"/>
        <v>29.866232990613796</v>
      </c>
      <c r="R86" s="28">
        <f>G86/INDEX('Top Down inputs'!$C$98:$Q$137,MATCH('Re-scaled copper costs'!$B86,_xlfn.ANCHORARRAY('Top Down inputs'!$S$98),0),MATCH(R$48,'Top Down inputs'!$C$96:$Q$96,0))</f>
        <v>41.152082514140609</v>
      </c>
      <c r="V86" s="26">
        <f>P86*INDEX('Top Down inputs'!$U$98:$AI$137,MATCH('Re-scaled copper costs'!$B86,_xlfn.ANCHORARRAY('Top Down inputs'!$S$98),0),MATCH('Re-scaled copper costs'!V$48,'Top Down inputs'!$U$96:$AI$96,0))</f>
        <v>13450.514350227108</v>
      </c>
      <c r="W86" s="26">
        <f>Q86*INDEX('Top Down inputs'!$U$98:$AI$137,MATCH('Re-scaled copper costs'!$B86,_xlfn.ANCHORARRAY('Top Down inputs'!$S$98),0),MATCH('Re-scaled copper costs'!W$48,'Top Down inputs'!$U$96:$AI$96,0))</f>
        <v>9014.2591755133581</v>
      </c>
      <c r="X86" s="26">
        <f>R86*INDEX('Top Down inputs'!$U$98:$AI$137,MATCH('Re-scaled copper costs'!$B86,_xlfn.ANCHORARRAY('Top Down inputs'!$S$98),0),MATCH('Re-scaled copper costs'!X$48,'Top Down inputs'!$U$96:$AI$96,0))</f>
        <v>4616.6218257753726</v>
      </c>
    </row>
    <row r="87" spans="2:24" ht="14.65" thickBot="1" x14ac:dyDescent="0.5">
      <c r="B87" s="9" t="s">
        <v>341</v>
      </c>
      <c r="C87" t="s">
        <v>314</v>
      </c>
      <c r="D87" s="90"/>
      <c r="E87" s="178">
        <v>498995.10478032118</v>
      </c>
      <c r="F87" s="90"/>
      <c r="G87" s="90">
        <v>110193.55890195507</v>
      </c>
      <c r="H87" s="90">
        <v>36234.113749917567</v>
      </c>
      <c r="I87" s="90">
        <v>21610.967632712171</v>
      </c>
      <c r="J87" s="90">
        <v>12916.408033197935</v>
      </c>
      <c r="K87" s="90">
        <v>8328.6622679252851</v>
      </c>
      <c r="L87" s="90">
        <v>4247.3146392570889</v>
      </c>
      <c r="M87" s="90">
        <v>2946.5325398507061</v>
      </c>
      <c r="P87" s="28">
        <f>E87/INDEX('Top Down inputs'!$C$98:$Q$137,MATCH('Re-scaled copper costs'!$B87,_xlfn.ANCHORARRAY('Top Down inputs'!$S$98),0),MATCH(P$48,'Top Down inputs'!$C$96:$Q$96,0))</f>
        <v>19.316939696483711</v>
      </c>
      <c r="Q87" s="28">
        <f t="shared" si="0"/>
        <v>29.0263964830718</v>
      </c>
      <c r="R87" s="28">
        <f>G87/INDEX('Top Down inputs'!$C$98:$Q$137,MATCH('Re-scaled copper costs'!$B87,_xlfn.ANCHORARRAY('Top Down inputs'!$S$98),0),MATCH(R$48,'Top Down inputs'!$C$96:$Q$96,0))</f>
        <v>38.735853269659884</v>
      </c>
      <c r="V87" s="26">
        <f>P87*INDEX('Top Down inputs'!$U$98:$AI$137,MATCH('Re-scaled copper costs'!$B87,_xlfn.ANCHORARRAY('Top Down inputs'!$S$98),0),MATCH('Re-scaled copper costs'!V$48,'Top Down inputs'!$U$96:$AI$96,0))</f>
        <v>240608.3847691158</v>
      </c>
      <c r="W87" s="26">
        <f>Q87*INDEX('Top Down inputs'!$U$98:$AI$137,MATCH('Re-scaled copper costs'!$B87,_xlfn.ANCHORARRAY('Top Down inputs'!$S$98),0),MATCH('Re-scaled copper costs'!W$48,'Top Down inputs'!$U$96:$AI$96,0))</f>
        <v>122234.57824209426</v>
      </c>
      <c r="X87" s="26">
        <f>R87*INDEX('Top Down inputs'!$U$98:$AI$137,MATCH('Re-scaled copper costs'!$B87,_xlfn.ANCHORARRAY('Top Down inputs'!$S$98),0),MATCH('Re-scaled copper costs'!X$48,'Top Down inputs'!$U$96:$AI$96,0))</f>
        <v>53133.776194121579</v>
      </c>
    </row>
    <row r="88" spans="2:24" ht="14.65" thickBot="1" x14ac:dyDescent="0.5">
      <c r="B88" s="9" t="s">
        <v>342</v>
      </c>
      <c r="C88" t="s">
        <v>315</v>
      </c>
      <c r="D88" s="90"/>
      <c r="E88" s="178">
        <v>238941.28442621944</v>
      </c>
      <c r="F88" s="90"/>
      <c r="G88" s="90">
        <v>9304.4314686358575</v>
      </c>
      <c r="H88" s="90">
        <v>2634.6994072658149</v>
      </c>
      <c r="I88" s="90">
        <v>1571.7565341438026</v>
      </c>
      <c r="J88" s="90">
        <v>939.2649683069917</v>
      </c>
      <c r="K88" s="90">
        <v>605.59899748663179</v>
      </c>
      <c r="L88" s="90">
        <v>308.75793355027332</v>
      </c>
      <c r="M88" s="90">
        <v>212.15394490087459</v>
      </c>
      <c r="P88" s="28">
        <f>E88/INDEX('Top Down inputs'!$C$98:$Q$137,MATCH('Re-scaled copper costs'!$B88,_xlfn.ANCHORARRAY('Top Down inputs'!$S$98),0),MATCH(P$48,'Top Down inputs'!$C$96:$Q$96,0))</f>
        <v>29.218349467209876</v>
      </c>
      <c r="Q88" s="28">
        <f t="shared" si="0"/>
        <v>20.594215863849445</v>
      </c>
      <c r="R88" s="28">
        <f>G88/INDEX('Top Down inputs'!$C$98:$Q$137,MATCH('Re-scaled copper costs'!$B88,_xlfn.ANCHORARRAY('Top Down inputs'!$S$98),0),MATCH(R$48,'Top Down inputs'!$C$96:$Q$96,0))</f>
        <v>11.970082260489013</v>
      </c>
      <c r="V88" s="26">
        <f>P88*INDEX('Top Down inputs'!$U$98:$AI$137,MATCH('Re-scaled copper costs'!$B88,_xlfn.ANCHORARRAY('Top Down inputs'!$S$98),0),MATCH('Re-scaled copper costs'!V$48,'Top Down inputs'!$U$96:$AI$96,0))</f>
        <v>115214.1092160827</v>
      </c>
      <c r="W88" s="26">
        <f>Q88*INDEX('Top Down inputs'!$U$98:$AI$137,MATCH('Re-scaled copper costs'!$B88,_xlfn.ANCHORARRAY('Top Down inputs'!$S$98),0),MATCH('Re-scaled copper costs'!W$48,'Top Down inputs'!$U$96:$AI$96,0))</f>
        <v>18745.970043286776</v>
      </c>
      <c r="X88" s="26">
        <f>R88*INDEX('Top Down inputs'!$U$98:$AI$137,MATCH('Re-scaled copper costs'!$B88,_xlfn.ANCHORARRAY('Top Down inputs'!$S$98),0),MATCH('Re-scaled copper costs'!X$48,'Top Down inputs'!$U$96:$AI$96,0))</f>
        <v>4486.4653088109699</v>
      </c>
    </row>
    <row r="89" spans="2:24" x14ac:dyDescent="0.45">
      <c r="B89" s="9" t="s">
        <v>343</v>
      </c>
      <c r="C89" t="s">
        <v>316</v>
      </c>
      <c r="D89" s="90"/>
      <c r="E89" s="178">
        <v>99525.537874684014</v>
      </c>
      <c r="F89" s="90"/>
      <c r="G89" s="90">
        <v>12209.884638609985</v>
      </c>
      <c r="H89" s="90">
        <v>3818.1841210403045</v>
      </c>
      <c r="I89" s="90">
        <v>2277.8829025279265</v>
      </c>
      <c r="J89" s="90">
        <v>1362.0689296496712</v>
      </c>
      <c r="K89" s="90">
        <v>878.44106590675574</v>
      </c>
      <c r="L89" s="90">
        <v>448.06453950849709</v>
      </c>
      <c r="M89" s="90">
        <v>313.76165849006799</v>
      </c>
      <c r="P89" s="28">
        <f>E89/INDEX('Top Down inputs'!$C$98:$Q$137,MATCH('Re-scaled copper costs'!$B89,_xlfn.ANCHORARRAY('Top Down inputs'!$S$98),0),MATCH(P$48,'Top Down inputs'!$C$96:$Q$96,0))</f>
        <v>39.28491323640695</v>
      </c>
      <c r="Q89" s="28">
        <f t="shared" si="0"/>
        <v>33.255142209005768</v>
      </c>
      <c r="R89" s="28">
        <f>G89/INDEX('Top Down inputs'!$C$98:$Q$137,MATCH('Re-scaled copper costs'!$B89,_xlfn.ANCHORARRAY('Top Down inputs'!$S$98),0),MATCH(R$48,'Top Down inputs'!$C$96:$Q$96,0))</f>
        <v>27.225371181604586</v>
      </c>
      <c r="V89" s="26">
        <f>P89*INDEX('Top Down inputs'!$U$98:$AI$137,MATCH('Re-scaled copper costs'!$B89,_xlfn.ANCHORARRAY('Top Down inputs'!$S$98),0),MATCH('Re-scaled copper costs'!V$48,'Top Down inputs'!$U$96:$AI$96,0))</f>
        <v>47989.80727846524</v>
      </c>
      <c r="W89" s="26">
        <f>Q89*INDEX('Top Down inputs'!$U$98:$AI$137,MATCH('Re-scaled copper costs'!$B89,_xlfn.ANCHORARRAY('Top Down inputs'!$S$98),0),MATCH('Re-scaled copper costs'!W$48,'Top Down inputs'!$U$96:$AI$96,0))</f>
        <v>15346.137037907511</v>
      </c>
      <c r="X89" s="26">
        <f>R89*INDEX('Top Down inputs'!$U$98:$AI$137,MATCH('Re-scaled copper costs'!$B89,_xlfn.ANCHORARRAY('Top Down inputs'!$S$98),0),MATCH('Re-scaled copper costs'!X$48,'Top Down inputs'!$U$96:$AI$96,0))</f>
        <v>5887.4337502900598</v>
      </c>
    </row>
    <row r="90" spans="2:24" x14ac:dyDescent="0.45">
      <c r="B90" s="9"/>
      <c r="E90" s="26">
        <f>SUM(E50:E89)</f>
        <v>549999116.77564883</v>
      </c>
      <c r="F90" s="26">
        <f t="shared" ref="F90:M90" si="1">SUM(F50:F89)</f>
        <v>0</v>
      </c>
      <c r="G90" s="26">
        <f t="shared" si="1"/>
        <v>911832025.82583272</v>
      </c>
      <c r="H90" s="26">
        <f t="shared" si="1"/>
        <v>438559700.0176937</v>
      </c>
      <c r="I90" s="26">
        <f t="shared" si="1"/>
        <v>457039430.8561306</v>
      </c>
      <c r="J90" s="26">
        <f t="shared" si="1"/>
        <v>428495785.16250169</v>
      </c>
      <c r="K90" s="26">
        <f t="shared" si="1"/>
        <v>394381025.30501038</v>
      </c>
      <c r="L90" s="26">
        <f t="shared" si="1"/>
        <v>343387119.6604895</v>
      </c>
      <c r="M90" s="26">
        <f t="shared" si="1"/>
        <v>274206142.71661615</v>
      </c>
    </row>
    <row r="91" spans="2:24" x14ac:dyDescent="0.45">
      <c r="B91" s="9"/>
      <c r="G91" s="230" t="s">
        <v>452</v>
      </c>
      <c r="H91" s="230"/>
      <c r="I91" s="230"/>
      <c r="J91" s="230"/>
      <c r="K91" s="230"/>
      <c r="L91" s="230"/>
      <c r="M91" s="230"/>
    </row>
    <row r="92" spans="2:24" x14ac:dyDescent="0.45">
      <c r="B92" s="9"/>
      <c r="E92" s="169" t="s">
        <v>457</v>
      </c>
      <c r="G92" s="230" t="s">
        <v>456</v>
      </c>
      <c r="H92" s="230"/>
      <c r="I92" s="230"/>
      <c r="J92" s="230"/>
      <c r="K92" s="230"/>
      <c r="L92" s="230"/>
      <c r="M92" s="230"/>
    </row>
    <row r="93" spans="2:24" x14ac:dyDescent="0.45">
      <c r="D93" s="12"/>
      <c r="E93" s="170" t="s">
        <v>419</v>
      </c>
      <c r="G93" s="170" t="s">
        <v>419</v>
      </c>
      <c r="H93" s="231" t="s">
        <v>420</v>
      </c>
      <c r="I93" s="231"/>
      <c r="J93" s="231"/>
      <c r="K93" s="231"/>
      <c r="L93" s="231"/>
      <c r="M93" s="231"/>
    </row>
    <row r="94" spans="2:24" ht="14.65" thickBot="1" x14ac:dyDescent="0.5">
      <c r="B94" s="11" t="s">
        <v>414</v>
      </c>
      <c r="C94" s="8" t="s">
        <v>415</v>
      </c>
      <c r="D94" s="15" t="s">
        <v>5</v>
      </c>
      <c r="E94" s="15" t="s">
        <v>6</v>
      </c>
      <c r="F94" s="16" t="s">
        <v>7</v>
      </c>
      <c r="G94" s="16" t="s">
        <v>8</v>
      </c>
      <c r="H94" s="15" t="s">
        <v>9</v>
      </c>
      <c r="I94" s="15">
        <v>2026.27</v>
      </c>
      <c r="J94" s="15" t="s">
        <v>11</v>
      </c>
      <c r="K94" s="16" t="s">
        <v>12</v>
      </c>
      <c r="L94" s="16" t="s">
        <v>13</v>
      </c>
      <c r="M94" s="15" t="s">
        <v>14</v>
      </c>
      <c r="O94" s="15" t="s">
        <v>5</v>
      </c>
      <c r="P94" s="15" t="s">
        <v>6</v>
      </c>
      <c r="Q94" s="16" t="s">
        <v>7</v>
      </c>
      <c r="R94" s="16" t="s">
        <v>8</v>
      </c>
      <c r="U94" s="15" t="s">
        <v>5</v>
      </c>
      <c r="V94" s="15" t="s">
        <v>6</v>
      </c>
      <c r="W94" s="16" t="s">
        <v>7</v>
      </c>
      <c r="X94" s="16" t="s">
        <v>8</v>
      </c>
    </row>
    <row r="95" spans="2:24" ht="14.65" thickBot="1" x14ac:dyDescent="0.5">
      <c r="B95" s="9" t="s">
        <v>361</v>
      </c>
      <c r="C95" t="s">
        <v>274</v>
      </c>
      <c r="D95" s="90"/>
      <c r="E95" s="178">
        <v>585856.40744959435</v>
      </c>
      <c r="F95" s="90"/>
      <c r="G95" s="90">
        <v>453066.22125191987</v>
      </c>
      <c r="H95" s="90">
        <v>210313.85651619869</v>
      </c>
      <c r="I95" s="90">
        <v>157913.40507878119</v>
      </c>
      <c r="J95" s="90">
        <v>58957.992888760396</v>
      </c>
      <c r="K95" s="90">
        <v>46225.382761786837</v>
      </c>
      <c r="L95" s="90">
        <v>43492.892312567601</v>
      </c>
      <c r="M95" s="90">
        <v>44345.080832737323</v>
      </c>
      <c r="P95" s="28">
        <f>E95/INDEX('Top Down inputs'!$C$98:$Q$137,MATCH('Re-scaled copper costs'!$B95,_xlfn.ANCHORARRAY('Top Down inputs'!$S$98),0),MATCH(P$94,'Top Down inputs'!$C$96:$Q$96,0))</f>
        <v>78.555087221082417</v>
      </c>
      <c r="Q95" s="28">
        <f>AVERAGE(P95,R95)</f>
        <v>145.51675771160481</v>
      </c>
      <c r="R95" s="28">
        <f>G95/INDEX('Top Down inputs'!$C$98:$Q$137,MATCH('Re-scaled copper costs'!$B95,_xlfn.ANCHORARRAY('Top Down inputs'!$S$98),0),MATCH(R$94,'Top Down inputs'!$C$96:$Q$96,0))</f>
        <v>212.47842820212722</v>
      </c>
      <c r="V95" s="26">
        <f>P95*INDEX('Top Down inputs'!$U$98:$AI$137,MATCH($B95,_xlfn.ANCHORARRAY('Top Down inputs'!$S$98),0),MATCH('Re-scaled copper costs'!V$94,'Top Down inputs'!$U$96:$AI$96,0))</f>
        <v>282491.67687755439</v>
      </c>
      <c r="W95" s="26">
        <f>Q95*INDEX('Top Down inputs'!$U$98:$AI$137,MATCH($B95,_xlfn.ANCHORARRAY('Top Down inputs'!$S$98),0),MATCH('Re-scaled copper costs'!W$94,'Top Down inputs'!$U$96:$AI$96,0))</f>
        <v>330464.60495639592</v>
      </c>
      <c r="X95" s="26">
        <f>R95*INDEX('Top Down inputs'!$U$98:$AI$137,MATCH($B95,_xlfn.ANCHORARRAY('Top Down inputs'!$S$98),0),MATCH('Re-scaled copper costs'!X$94,'Top Down inputs'!$U$96:$AI$96,0))</f>
        <v>218462.1264708855</v>
      </c>
    </row>
    <row r="96" spans="2:24" ht="14.65" thickBot="1" x14ac:dyDescent="0.5">
      <c r="B96" s="9" t="s">
        <v>362</v>
      </c>
      <c r="C96" t="s">
        <v>276</v>
      </c>
      <c r="D96" s="90"/>
      <c r="E96" s="178">
        <v>1805.484053119103</v>
      </c>
      <c r="F96" s="90"/>
      <c r="G96" s="90">
        <v>1559.6144497512112</v>
      </c>
      <c r="H96" s="90">
        <v>705.1483241624212</v>
      </c>
      <c r="I96" s="90">
        <v>521.58823674921609</v>
      </c>
      <c r="J96" s="90">
        <v>194.81107265909719</v>
      </c>
      <c r="K96" s="90">
        <v>150.50296067889715</v>
      </c>
      <c r="L96" s="90">
        <v>139.40066929806065</v>
      </c>
      <c r="M96" s="90">
        <v>140.84672159248052</v>
      </c>
      <c r="P96" s="28">
        <f>E96/INDEX('Top Down inputs'!$C$98:$Q$137,MATCH('Re-scaled copper costs'!$B96,_xlfn.ANCHORARRAY('Top Down inputs'!$S$98),0),MATCH(P$94,'Top Down inputs'!$C$96:$Q$96,0))</f>
        <v>63.120613409722701</v>
      </c>
      <c r="Q96" s="28">
        <f t="shared" ref="Q96:Q134" si="2">AVERAGE(P96,R96)</f>
        <v>142.67660741049983</v>
      </c>
      <c r="R96" s="28">
        <f>G96/INDEX('Top Down inputs'!$C$98:$Q$137,MATCH('Re-scaled copper costs'!$B96,_xlfn.ANCHORARRAY('Top Down inputs'!$S$98),0),MATCH(R$94,'Top Down inputs'!$C$96:$Q$96,0))</f>
        <v>222.23260141127696</v>
      </c>
      <c r="U96" s="28"/>
      <c r="V96" s="26">
        <f>P96*INDEX('Top Down inputs'!$U$98:$AI$137,MATCH($B96,_xlfn.ANCHORARRAY('Top Down inputs'!$S$98),0),MATCH('Re-scaled copper costs'!V$94,'Top Down inputs'!$U$96:$AI$96,0))</f>
        <v>870.57888461377115</v>
      </c>
      <c r="W96" s="26">
        <f>Q96*INDEX('Top Down inputs'!$U$98:$AI$137,MATCH($B96,_xlfn.ANCHORARRAY('Top Down inputs'!$S$98),0),MATCH('Re-scaled copper costs'!W$94,'Top Down inputs'!$U$96:$AI$96,0))</f>
        <v>743.58084610647563</v>
      </c>
      <c r="X96" s="26">
        <f>R96*INDEX('Top Down inputs'!$U$98:$AI$137,MATCH($B96,_xlfn.ANCHORARRAY('Top Down inputs'!$S$98),0),MATCH('Re-scaled copper costs'!X$94,'Top Down inputs'!$U$96:$AI$96,0))</f>
        <v>752.02403795607574</v>
      </c>
    </row>
    <row r="97" spans="2:24" ht="14.65" thickBot="1" x14ac:dyDescent="0.5">
      <c r="B97" s="9" t="s">
        <v>363</v>
      </c>
      <c r="C97" t="s">
        <v>277</v>
      </c>
      <c r="D97" s="90"/>
      <c r="E97" s="178">
        <v>9405393.6214725822</v>
      </c>
      <c r="F97" s="90"/>
      <c r="G97" s="90">
        <v>11551709.451094192</v>
      </c>
      <c r="H97" s="90">
        <v>3930454.25365149</v>
      </c>
      <c r="I97" s="90">
        <v>3123209.147718301</v>
      </c>
      <c r="J97" s="90">
        <v>1226427.6257561769</v>
      </c>
      <c r="K97" s="90">
        <v>974992.20302613848</v>
      </c>
      <c r="L97" s="90">
        <v>930469.77423750679</v>
      </c>
      <c r="M97" s="90">
        <v>964102.49814949406</v>
      </c>
      <c r="P97" s="28">
        <f>E97/INDEX('Top Down inputs'!$C$98:$Q$137,MATCH('Re-scaled copper costs'!$B97,_xlfn.ANCHORARRAY('Top Down inputs'!$S$98),0),MATCH(P$94,'Top Down inputs'!$C$96:$Q$96,0))</f>
        <v>145.19169427464456</v>
      </c>
      <c r="Q97" s="28">
        <f t="shared" si="2"/>
        <v>188.84668782453116</v>
      </c>
      <c r="R97" s="28">
        <f>G97/INDEX('Top Down inputs'!$C$98:$Q$137,MATCH('Re-scaled copper costs'!$B97,_xlfn.ANCHORARRAY('Top Down inputs'!$S$98),0),MATCH(R$94,'Top Down inputs'!$C$96:$Q$96,0))</f>
        <v>232.50168137441779</v>
      </c>
      <c r="V97" s="26">
        <f>P97*INDEX('Top Down inputs'!$U$98:$AI$137,MATCH($B97,_xlfn.ANCHORARRAY('Top Down inputs'!$S$98),0),MATCH('Re-scaled copper costs'!V$94,'Top Down inputs'!$U$96:$AI$96,0))</f>
        <v>4535147.8315133741</v>
      </c>
      <c r="W97" s="26">
        <f>Q97*INDEX('Top Down inputs'!$U$98:$AI$137,MATCH($B97,_xlfn.ANCHORARRAY('Top Down inputs'!$S$98),0),MATCH('Re-scaled copper costs'!W$94,'Top Down inputs'!$U$96:$AI$96,0))</f>
        <v>4715718.3579675537</v>
      </c>
      <c r="X97" s="26">
        <f>R97*INDEX('Top Down inputs'!$U$98:$AI$137,MATCH($B97,_xlfn.ANCHORARRAY('Top Down inputs'!$S$98),0),MATCH('Re-scaled copper costs'!X$94,'Top Down inputs'!$U$96:$AI$96,0))</f>
        <v>5570070.9801021582</v>
      </c>
    </row>
    <row r="98" spans="2:24" ht="14.65" thickBot="1" x14ac:dyDescent="0.5">
      <c r="B98" s="9" t="s">
        <v>364</v>
      </c>
      <c r="C98" t="s">
        <v>278</v>
      </c>
      <c r="D98" s="90"/>
      <c r="E98" s="178">
        <v>102573547.17984532</v>
      </c>
      <c r="F98" s="90"/>
      <c r="G98" s="90">
        <v>139842205.5575189</v>
      </c>
      <c r="H98" s="90">
        <v>47575659.443152122</v>
      </c>
      <c r="I98" s="90">
        <v>38893046.077549361</v>
      </c>
      <c r="J98" s="90">
        <v>14627091.798038939</v>
      </c>
      <c r="K98" s="90">
        <v>11495093.809495326</v>
      </c>
      <c r="L98" s="90">
        <v>10768039.230782218</v>
      </c>
      <c r="M98" s="90">
        <v>11150549.845696528</v>
      </c>
      <c r="P98" s="28">
        <f>E98/INDEX('Top Down inputs'!$C$98:$Q$137,MATCH('Re-scaled copper costs'!$B98,_xlfn.ANCHORARRAY('Top Down inputs'!$S$98),0),MATCH(P$94,'Top Down inputs'!$C$96:$Q$96,0))</f>
        <v>106.20282758804316</v>
      </c>
      <c r="Q98" s="28">
        <f t="shared" si="2"/>
        <v>158.49811871579107</v>
      </c>
      <c r="R98" s="28">
        <f>G98/INDEX('Top Down inputs'!$C$98:$Q$137,MATCH('Re-scaled copper costs'!$B98,_xlfn.ANCHORARRAY('Top Down inputs'!$S$98),0),MATCH(R$94,'Top Down inputs'!$C$96:$Q$96,0))</f>
        <v>210.79340984353897</v>
      </c>
      <c r="V98" s="26">
        <f>P98*INDEX('Top Down inputs'!$U$98:$AI$137,MATCH($B98,_xlfn.ANCHORARRAY('Top Down inputs'!$S$98),0),MATCH('Re-scaled copper costs'!V$94,'Top Down inputs'!$U$96:$AI$96,0))</f>
        <v>49459514.272883467</v>
      </c>
      <c r="W98" s="26">
        <f>Q98*INDEX('Top Down inputs'!$U$98:$AI$137,MATCH($B98,_xlfn.ANCHORARRAY('Top Down inputs'!$S$98),0),MATCH('Re-scaled copper costs'!W$94,'Top Down inputs'!$U$96:$AI$96,0))</f>
        <v>63320788.826320671</v>
      </c>
      <c r="X98" s="26">
        <f>R98*INDEX('Top Down inputs'!$U$98:$AI$137,MATCH($B98,_xlfn.ANCHORARRAY('Top Down inputs'!$S$98),0),MATCH('Re-scaled copper costs'!X$94,'Top Down inputs'!$U$96:$AI$96,0))</f>
        <v>67429934.441056743</v>
      </c>
    </row>
    <row r="99" spans="2:24" ht="14.65" thickBot="1" x14ac:dyDescent="0.5">
      <c r="B99" s="9" t="s">
        <v>324</v>
      </c>
      <c r="C99" t="s">
        <v>279</v>
      </c>
      <c r="D99" s="90"/>
      <c r="E99" s="178">
        <v>4220129.7638664637</v>
      </c>
      <c r="F99" s="90"/>
      <c r="G99" s="90">
        <v>1756538.7859286629</v>
      </c>
      <c r="H99" s="90">
        <v>720180.37287177402</v>
      </c>
      <c r="I99" s="90">
        <v>394442.88345970906</v>
      </c>
      <c r="J99" s="90">
        <v>137582.63554501679</v>
      </c>
      <c r="K99" s="90">
        <v>100264.71317398267</v>
      </c>
      <c r="L99" s="90">
        <v>85473.662038881826</v>
      </c>
      <c r="M99" s="90">
        <v>172834.29000317334</v>
      </c>
      <c r="P99" s="28">
        <f>E99/INDEX('Top Down inputs'!$C$98:$Q$137,MATCH('Re-scaled copper costs'!$B99,_xlfn.ANCHORARRAY('Top Down inputs'!$S$98),0),MATCH(P$94,'Top Down inputs'!$C$96:$Q$96,0))</f>
        <v>50.368074093162328</v>
      </c>
      <c r="Q99" s="28">
        <f t="shared" si="2"/>
        <v>46.433746009570342</v>
      </c>
      <c r="R99" s="28">
        <f>G99/INDEX('Top Down inputs'!$C$98:$Q$137,MATCH('Re-scaled copper costs'!$B99,_xlfn.ANCHORARRAY('Top Down inputs'!$S$98),0),MATCH(R$94,'Top Down inputs'!$C$96:$Q$96,0))</f>
        <v>42.499417925978364</v>
      </c>
      <c r="V99" s="26">
        <f>P99*INDEX('Top Down inputs'!$U$98:$AI$137,MATCH($B99,_xlfn.ANCHORARRAY('Top Down inputs'!$S$98),0),MATCH('Re-scaled copper costs'!V$94,'Top Down inputs'!$U$96:$AI$96,0))</f>
        <v>2034886.9082533417</v>
      </c>
      <c r="W99" s="26">
        <f>Q99*INDEX('Top Down inputs'!$U$98:$AI$137,MATCH($B99,_xlfn.ANCHORARRAY('Top Down inputs'!$S$98),0),MATCH('Re-scaled copper costs'!W$94,'Top Down inputs'!$U$96:$AI$96,0))</f>
        <v>1293985.5391215903</v>
      </c>
      <c r="X99" s="26">
        <f>R99*INDEX('Top Down inputs'!$U$98:$AI$137,MATCH($B99,_xlfn.ANCHORARRAY('Top Down inputs'!$S$98),0),MATCH('Re-scaled copper costs'!X$94,'Top Down inputs'!$U$96:$AI$96,0))</f>
        <v>846978.16875911527</v>
      </c>
    </row>
    <row r="100" spans="2:24" ht="14.65" thickBot="1" x14ac:dyDescent="0.5">
      <c r="B100" s="9" t="s">
        <v>325</v>
      </c>
      <c r="C100" t="s">
        <v>280</v>
      </c>
      <c r="D100" s="90"/>
      <c r="E100" s="178">
        <v>59.551951612406441</v>
      </c>
      <c r="F100" s="90"/>
      <c r="G100" s="90">
        <v>1914.7389570590694</v>
      </c>
      <c r="H100" s="90">
        <v>0</v>
      </c>
      <c r="I100" s="90">
        <v>0</v>
      </c>
      <c r="J100" s="90">
        <v>0</v>
      </c>
      <c r="K100" s="90">
        <v>0</v>
      </c>
      <c r="L100" s="90">
        <v>0</v>
      </c>
      <c r="M100" s="90">
        <v>0</v>
      </c>
      <c r="P100" s="28">
        <f>E100/INDEX('Top Down inputs'!$C$98:$Q$137,MATCH('Re-scaled copper costs'!$B100,_xlfn.ANCHORARRAY('Top Down inputs'!$S$98),0),MATCH(P$94,'Top Down inputs'!$C$96:$Q$96,0))</f>
        <v>0.23691795694485418</v>
      </c>
      <c r="Q100" s="28">
        <f t="shared" si="2"/>
        <v>7.8395248253484864</v>
      </c>
      <c r="R100" s="28">
        <f>G100/INDEX('Top Down inputs'!$C$98:$Q$137,MATCH('Re-scaled copper costs'!$B100,_xlfn.ANCHORARRAY('Top Down inputs'!$S$98),0),MATCH(R$94,'Top Down inputs'!$C$96:$Q$96,0))</f>
        <v>15.442131693752119</v>
      </c>
      <c r="V100" s="26">
        <f>P100*INDEX('Top Down inputs'!$U$98:$AI$137,MATCH($B100,_xlfn.ANCHORARRAY('Top Down inputs'!$S$98),0),MATCH('Re-scaled copper costs'!V$94,'Top Down inputs'!$U$96:$AI$96,0))</f>
        <v>28.715109126406677</v>
      </c>
      <c r="W100" s="26">
        <f>Q100*INDEX('Top Down inputs'!$U$98:$AI$137,MATCH($B100,_xlfn.ANCHORARRAY('Top Down inputs'!$S$98),0),MATCH('Re-scaled copper costs'!W$94,'Top Down inputs'!$U$96:$AI$96,0))</f>
        <v>655.40990567259837</v>
      </c>
      <c r="X100" s="26">
        <f>R100*INDEX('Top Down inputs'!$U$98:$AI$137,MATCH($B100,_xlfn.ANCHORARRAY('Top Down inputs'!$S$98),0),MATCH('Re-scaled copper costs'!X$94,'Top Down inputs'!$U$96:$AI$96,0))</f>
        <v>923.26005465585649</v>
      </c>
    </row>
    <row r="101" spans="2:24" ht="14.65" thickBot="1" x14ac:dyDescent="0.5">
      <c r="B101" s="9" t="s">
        <v>365</v>
      </c>
      <c r="C101" t="s">
        <v>281</v>
      </c>
      <c r="D101" s="90"/>
      <c r="E101" s="178">
        <v>44881881.334117956</v>
      </c>
      <c r="F101" s="90"/>
      <c r="G101" s="90">
        <v>36094031.035854347</v>
      </c>
      <c r="H101" s="90">
        <v>10661409.962464102</v>
      </c>
      <c r="I101" s="90">
        <v>5101026.7303269831</v>
      </c>
      <c r="J101" s="90">
        <v>321622.07467463659</v>
      </c>
      <c r="K101" s="90">
        <v>0</v>
      </c>
      <c r="L101" s="90">
        <v>0</v>
      </c>
      <c r="M101" s="90">
        <v>0</v>
      </c>
      <c r="P101" s="28">
        <f>E101/INDEX('Top Down inputs'!$C$98:$Q$137,MATCH('Re-scaled copper costs'!$B101,_xlfn.ANCHORARRAY('Top Down inputs'!$S$98),0),MATCH(P$94,'Top Down inputs'!$C$96:$Q$96,0))</f>
        <v>78.032752249635081</v>
      </c>
      <c r="Q101" s="28">
        <f t="shared" si="2"/>
        <v>109.02276629152568</v>
      </c>
      <c r="R101" s="28">
        <f>G101/INDEX('Top Down inputs'!$C$98:$Q$137,MATCH('Re-scaled copper costs'!$B101,_xlfn.ANCHORARRAY('Top Down inputs'!$S$98),0),MATCH(R$94,'Top Down inputs'!$C$96:$Q$96,0))</f>
        <v>140.01278033341629</v>
      </c>
      <c r="V101" s="26">
        <f>P101*INDEX('Top Down inputs'!$U$98:$AI$137,MATCH($B101,_xlfn.ANCHORARRAY('Top Down inputs'!$S$98),0),MATCH('Re-scaled copper costs'!V$94,'Top Down inputs'!$U$96:$AI$96,0))</f>
        <v>21641408.642586604</v>
      </c>
      <c r="W101" s="26">
        <f>Q101*INDEX('Top Down inputs'!$U$98:$AI$137,MATCH($B101,_xlfn.ANCHORARRAY('Top Down inputs'!$S$98),0),MATCH('Re-scaled copper costs'!W$94,'Top Down inputs'!$U$96:$AI$96,0))</f>
        <v>20610370.470767848</v>
      </c>
      <c r="X101" s="26">
        <f>R101*INDEX('Top Down inputs'!$U$98:$AI$137,MATCH($B101,_xlfn.ANCHORARRAY('Top Down inputs'!$S$98),0),MATCH('Re-scaled copper costs'!X$94,'Top Down inputs'!$U$96:$AI$96,0))</f>
        <v>17404031.47074268</v>
      </c>
    </row>
    <row r="102" spans="2:24" ht="14.65" thickBot="1" x14ac:dyDescent="0.5">
      <c r="B102" s="9" t="s">
        <v>366</v>
      </c>
      <c r="C102" t="s">
        <v>282</v>
      </c>
      <c r="D102" s="90"/>
      <c r="E102" s="178">
        <v>17377467.17507752</v>
      </c>
      <c r="F102" s="90"/>
      <c r="G102" s="90">
        <v>21120412.764287964</v>
      </c>
      <c r="H102" s="90">
        <v>5414841.1270139199</v>
      </c>
      <c r="I102" s="90">
        <v>2564901.87172881</v>
      </c>
      <c r="J102" s="90">
        <v>159215.06039977394</v>
      </c>
      <c r="K102" s="90">
        <v>0</v>
      </c>
      <c r="L102" s="90">
        <v>0</v>
      </c>
      <c r="M102" s="90">
        <v>0</v>
      </c>
      <c r="P102" s="28">
        <f>E102/INDEX('Top Down inputs'!$C$98:$Q$137,MATCH('Re-scaled copper costs'!$B102,_xlfn.ANCHORARRAY('Top Down inputs'!$S$98),0),MATCH(P$94,'Top Down inputs'!$C$96:$Q$96,0))</f>
        <v>69.484823198757951</v>
      </c>
      <c r="Q102" s="28">
        <f t="shared" si="2"/>
        <v>121.15796333185574</v>
      </c>
      <c r="R102" s="28">
        <f>G102/INDEX('Top Down inputs'!$C$98:$Q$137,MATCH('Re-scaled copper costs'!$B102,_xlfn.ANCHORARRAY('Top Down inputs'!$S$98),0),MATCH(R$94,'Top Down inputs'!$C$96:$Q$96,0))</f>
        <v>172.83110346495351</v>
      </c>
      <c r="V102" s="26">
        <f>P102*INDEX('Top Down inputs'!$U$98:$AI$137,MATCH($B102,_xlfn.ANCHORARRAY('Top Down inputs'!$S$98),0),MATCH('Re-scaled copper costs'!V$94,'Top Down inputs'!$U$96:$AI$96,0))</f>
        <v>8379168.9904742818</v>
      </c>
      <c r="W102" s="26">
        <f>Q102*INDEX('Top Down inputs'!$U$98:$AI$137,MATCH($B102,_xlfn.ANCHORARRAY('Top Down inputs'!$S$98),0),MATCH('Re-scaled copper costs'!W$94,'Top Down inputs'!$U$96:$AI$96,0))</f>
        <v>11268068.41385176</v>
      </c>
      <c r="X102" s="26">
        <f>R102*INDEX('Top Down inputs'!$U$98:$AI$137,MATCH($B102,_xlfn.ANCHORARRAY('Top Down inputs'!$S$98),0),MATCH('Re-scaled copper costs'!X$94,'Top Down inputs'!$U$96:$AI$96,0))</f>
        <v>10183964.436103124</v>
      </c>
    </row>
    <row r="103" spans="2:24" ht="14.65" thickBot="1" x14ac:dyDescent="0.5">
      <c r="B103" s="9" t="s">
        <v>367</v>
      </c>
      <c r="C103" t="s">
        <v>283</v>
      </c>
      <c r="D103" s="90"/>
      <c r="E103" s="178">
        <v>45166155.552527644</v>
      </c>
      <c r="F103" s="90"/>
      <c r="G103" s="90">
        <v>55698405.663849041</v>
      </c>
      <c r="H103" s="90">
        <v>20315334.88287957</v>
      </c>
      <c r="I103" s="90">
        <v>9605602.5106104985</v>
      </c>
      <c r="J103" s="90">
        <v>603566.4089487805</v>
      </c>
      <c r="K103" s="90">
        <v>0</v>
      </c>
      <c r="L103" s="90">
        <v>0</v>
      </c>
      <c r="M103" s="90">
        <v>0</v>
      </c>
      <c r="P103" s="28">
        <f>E103/INDEX('Top Down inputs'!$C$98:$Q$137,MATCH('Re-scaled copper costs'!$B103,_xlfn.ANCHORARRAY('Top Down inputs'!$S$98),0),MATCH(P$94,'Top Down inputs'!$C$96:$Q$96,0))</f>
        <v>59.326869137492558</v>
      </c>
      <c r="Q103" s="28">
        <f t="shared" si="2"/>
        <v>78.330414278787671</v>
      </c>
      <c r="R103" s="28">
        <f>G103/INDEX('Top Down inputs'!$C$98:$Q$137,MATCH('Re-scaled copper costs'!$B103,_xlfn.ANCHORARRAY('Top Down inputs'!$S$98),0),MATCH(R$94,'Top Down inputs'!$C$96:$Q$96,0))</f>
        <v>97.333959420082792</v>
      </c>
      <c r="V103" s="26">
        <f>P103*INDEX('Top Down inputs'!$U$98:$AI$137,MATCH($B103,_xlfn.ANCHORARRAY('Top Down inputs'!$S$98),0),MATCH('Re-scaled copper costs'!V$94,'Top Down inputs'!$U$96:$AI$96,0))</f>
        <v>21778481.651655838</v>
      </c>
      <c r="W103" s="26">
        <f>Q103*INDEX('Top Down inputs'!$U$98:$AI$137,MATCH($B103,_xlfn.ANCHORARRAY('Top Down inputs'!$S$98),0),MATCH('Re-scaled copper costs'!W$94,'Top Down inputs'!$U$96:$AI$96,0))</f>
        <v>29699857.509854171</v>
      </c>
      <c r="X103" s="26">
        <f>R103*INDEX('Top Down inputs'!$U$98:$AI$137,MATCH($B103,_xlfn.ANCHORARRAY('Top Down inputs'!$S$98),0),MATCH('Re-scaled copper costs'!X$94,'Top Down inputs'!$U$96:$AI$96,0))</f>
        <v>26856983.75116045</v>
      </c>
    </row>
    <row r="104" spans="2:24" ht="14.65" thickBot="1" x14ac:dyDescent="0.5">
      <c r="B104" s="9" t="s">
        <v>368</v>
      </c>
      <c r="C104" t="s">
        <v>284</v>
      </c>
      <c r="D104" s="90"/>
      <c r="E104" s="178">
        <v>30694119.971384704</v>
      </c>
      <c r="F104" s="90"/>
      <c r="G104" s="90">
        <v>35082455.37806955</v>
      </c>
      <c r="H104" s="90">
        <v>11821364.700146381</v>
      </c>
      <c r="I104" s="90">
        <v>5532566.8378602797</v>
      </c>
      <c r="J104" s="90">
        <v>342645.86497480143</v>
      </c>
      <c r="K104" s="90">
        <v>0</v>
      </c>
      <c r="L104" s="90">
        <v>0</v>
      </c>
      <c r="M104" s="90">
        <v>0</v>
      </c>
      <c r="P104" s="28">
        <f>E104/INDEX('Top Down inputs'!$C$98:$Q$137,MATCH('Re-scaled copper costs'!$B104,_xlfn.ANCHORARRAY('Top Down inputs'!$S$98),0),MATCH(P$94,'Top Down inputs'!$C$96:$Q$96,0))</f>
        <v>63.649285539931583</v>
      </c>
      <c r="Q104" s="28">
        <f t="shared" si="2"/>
        <v>91.539302486156558</v>
      </c>
      <c r="R104" s="28">
        <f>G104/INDEX('Top Down inputs'!$C$98:$Q$137,MATCH('Re-scaled copper costs'!$B104,_xlfn.ANCHORARRAY('Top Down inputs'!$S$98),0),MATCH(R$94,'Top Down inputs'!$C$96:$Q$96,0))</f>
        <v>119.42931943238153</v>
      </c>
      <c r="V104" s="26">
        <f>P104*INDEX('Top Down inputs'!$U$98:$AI$137,MATCH($B104,_xlfn.ANCHORARRAY('Top Down inputs'!$S$98),0),MATCH('Re-scaled copper costs'!V$94,'Top Down inputs'!$U$96:$AI$96,0))</f>
        <v>14800270.69899942</v>
      </c>
      <c r="W104" s="26">
        <f>Q104*INDEX('Top Down inputs'!$U$98:$AI$137,MATCH($B104,_xlfn.ANCHORARRAY('Top Down inputs'!$S$98),0),MATCH('Re-scaled copper costs'!W$94,'Top Down inputs'!$U$96:$AI$96,0))</f>
        <v>16877791.301800109</v>
      </c>
      <c r="X104" s="26">
        <f>R104*INDEX('Top Down inputs'!$U$98:$AI$137,MATCH($B104,_xlfn.ANCHORARRAY('Top Down inputs'!$S$98),0),MATCH('Re-scaled copper costs'!X$94,'Top Down inputs'!$U$96:$AI$96,0))</f>
        <v>16916263.990140822</v>
      </c>
    </row>
    <row r="105" spans="2:24" ht="14.65" thickBot="1" x14ac:dyDescent="0.5">
      <c r="B105" s="9" t="s">
        <v>326</v>
      </c>
      <c r="C105" t="s">
        <v>285</v>
      </c>
      <c r="D105" s="90"/>
      <c r="E105" s="178">
        <v>670974.11892116535</v>
      </c>
      <c r="F105" s="90"/>
      <c r="G105" s="90">
        <v>353782.56231320836</v>
      </c>
      <c r="H105" s="90">
        <v>60158.179146818846</v>
      </c>
      <c r="I105" s="90">
        <v>23717.936736747059</v>
      </c>
      <c r="J105" s="90">
        <v>1349.5406287672542</v>
      </c>
      <c r="K105" s="90">
        <v>0</v>
      </c>
      <c r="L105" s="90">
        <v>0</v>
      </c>
      <c r="M105" s="90">
        <v>0</v>
      </c>
      <c r="P105" s="28">
        <f>E105/INDEX('Top Down inputs'!$C$98:$Q$137,MATCH('Re-scaled copper costs'!$B105,_xlfn.ANCHORARRAY('Top Down inputs'!$S$98),0),MATCH(P$94,'Top Down inputs'!$C$96:$Q$96,0))</f>
        <v>458.34313434152506</v>
      </c>
      <c r="Q105" s="28">
        <f t="shared" si="2"/>
        <v>326.86085086889688</v>
      </c>
      <c r="R105" s="28">
        <f>G105/INDEX('Top Down inputs'!$C$98:$Q$137,MATCH('Re-scaled copper costs'!$B105,_xlfn.ANCHORARRAY('Top Down inputs'!$S$98),0),MATCH(R$94,'Top Down inputs'!$C$96:$Q$96,0))</f>
        <v>195.37856739626869</v>
      </c>
      <c r="V105" s="26">
        <f>P105*INDEX('Top Down inputs'!$U$98:$AI$137,MATCH($B105,_xlfn.ANCHORARRAY('Top Down inputs'!$S$98),0),MATCH('Re-scaled copper costs'!V$94,'Top Down inputs'!$U$96:$AI$96,0))</f>
        <v>323534.23396122461</v>
      </c>
      <c r="W105" s="26">
        <f>Q105*INDEX('Top Down inputs'!$U$98:$AI$137,MATCH($B105,_xlfn.ANCHORARRAY('Top Down inputs'!$S$98),0),MATCH('Re-scaled copper costs'!W$94,'Top Down inputs'!$U$96:$AI$96,0))</f>
        <v>172749.88533777982</v>
      </c>
      <c r="X105" s="26">
        <f>R105*INDEX('Top Down inputs'!$U$98:$AI$137,MATCH($B105,_xlfn.ANCHORARRAY('Top Down inputs'!$S$98),0),MATCH('Re-scaled copper costs'!X$94,'Top Down inputs'!$U$96:$AI$96,0))</f>
        <v>170588.94979567968</v>
      </c>
    </row>
    <row r="106" spans="2:24" ht="14.65" thickBot="1" x14ac:dyDescent="0.5">
      <c r="B106" s="9" t="s">
        <v>327</v>
      </c>
      <c r="C106" t="s">
        <v>286</v>
      </c>
      <c r="D106" s="90"/>
      <c r="E106" s="178">
        <v>582600.33033226139</v>
      </c>
      <c r="F106" s="90"/>
      <c r="G106" s="90">
        <v>1426667.8064196503</v>
      </c>
      <c r="H106" s="90">
        <v>339769.61239668081</v>
      </c>
      <c r="I106" s="90">
        <v>136005.21233061849</v>
      </c>
      <c r="J106" s="90">
        <v>8155.3241360247875</v>
      </c>
      <c r="K106" s="90">
        <v>0</v>
      </c>
      <c r="L106" s="90">
        <v>0</v>
      </c>
      <c r="M106" s="90">
        <v>0</v>
      </c>
      <c r="P106" s="28">
        <f>E106/INDEX('Top Down inputs'!$C$98:$Q$137,MATCH('Re-scaled copper costs'!$B106,_xlfn.ANCHORARRAY('Top Down inputs'!$S$98),0),MATCH(P$94,'Top Down inputs'!$C$96:$Q$96,0))</f>
        <v>228.7247293416236</v>
      </c>
      <c r="Q106" s="28">
        <f t="shared" si="2"/>
        <v>314.96646241886265</v>
      </c>
      <c r="R106" s="28">
        <f>G106/INDEX('Top Down inputs'!$C$98:$Q$137,MATCH('Re-scaled copper costs'!$B106,_xlfn.ANCHORARRAY('Top Down inputs'!$S$98),0),MATCH(R$94,'Top Down inputs'!$C$96:$Q$96,0))</f>
        <v>401.20819549610172</v>
      </c>
      <c r="V106" s="26">
        <f>P106*INDEX('Top Down inputs'!$U$98:$AI$137,MATCH($B106,_xlfn.ANCHORARRAY('Top Down inputs'!$S$98),0),MATCH('Re-scaled copper costs'!V$94,'Top Down inputs'!$U$96:$AI$96,0))</f>
        <v>280921.64252575435</v>
      </c>
      <c r="W106" s="26">
        <f>Q106*INDEX('Top Down inputs'!$U$98:$AI$137,MATCH($B106,_xlfn.ANCHORARRAY('Top Down inputs'!$S$98),0),MATCH('Re-scaled copper costs'!W$94,'Top Down inputs'!$U$96:$AI$96,0))</f>
        <v>315600.22351176874</v>
      </c>
      <c r="X106" s="26">
        <f>R106*INDEX('Top Down inputs'!$U$98:$AI$137,MATCH($B106,_xlfn.ANCHORARRAY('Top Down inputs'!$S$98),0),MATCH('Re-scaled copper costs'!X$94,'Top Down inputs'!$U$96:$AI$96,0))</f>
        <v>687919.04613142635</v>
      </c>
    </row>
    <row r="107" spans="2:24" ht="14.65" thickBot="1" x14ac:dyDescent="0.5">
      <c r="B107" s="9" t="s">
        <v>328</v>
      </c>
      <c r="C107" t="s">
        <v>287</v>
      </c>
      <c r="D107" s="90"/>
      <c r="E107" s="178">
        <v>573934.19377263437</v>
      </c>
      <c r="F107" s="90"/>
      <c r="G107" s="90">
        <v>334045.55135482521</v>
      </c>
      <c r="H107" s="90">
        <v>113018.89604154948</v>
      </c>
      <c r="I107" s="90">
        <v>44824.551205701711</v>
      </c>
      <c r="J107" s="90">
        <v>2676.4236371905545</v>
      </c>
      <c r="K107" s="90">
        <v>0</v>
      </c>
      <c r="L107" s="90">
        <v>0</v>
      </c>
      <c r="M107" s="90">
        <v>0</v>
      </c>
      <c r="P107" s="28">
        <f>E107/INDEX('Top Down inputs'!$C$98:$Q$137,MATCH('Re-scaled copper costs'!$B107,_xlfn.ANCHORARRAY('Top Down inputs'!$S$98),0),MATCH(P$94,'Top Down inputs'!$C$96:$Q$96,0))</f>
        <v>273.18801566677291</v>
      </c>
      <c r="Q107" s="28">
        <f t="shared" si="2"/>
        <v>315.80974907261765</v>
      </c>
      <c r="R107" s="28">
        <f>G107/INDEX('Top Down inputs'!$C$98:$Q$137,MATCH('Re-scaled copper costs'!$B107,_xlfn.ANCHORARRAY('Top Down inputs'!$S$98),0),MATCH(R$94,'Top Down inputs'!$C$96:$Q$96,0))</f>
        <v>358.43148247846239</v>
      </c>
      <c r="V107" s="26">
        <f>P107*INDEX('Top Down inputs'!$U$98:$AI$137,MATCH($B107,_xlfn.ANCHORARRAY('Top Down inputs'!$S$98),0),MATCH('Re-scaled copper costs'!V$94,'Top Down inputs'!$U$96:$AI$96,0))</f>
        <v>276742.95399790118</v>
      </c>
      <c r="W107" s="26">
        <f>Q107*INDEX('Top Down inputs'!$U$98:$AI$137,MATCH($B107,_xlfn.ANCHORARRAY('Top Down inputs'!$S$98),0),MATCH('Re-scaled copper costs'!W$94,'Top Down inputs'!$U$96:$AI$96,0))</f>
        <v>292675.9491497557</v>
      </c>
      <c r="X107" s="26">
        <f>R107*INDEX('Top Down inputs'!$U$98:$AI$137,MATCH($B107,_xlfn.ANCHORARRAY('Top Down inputs'!$S$98),0),MATCH('Re-scaled copper costs'!X$94,'Top Down inputs'!$U$96:$AI$96,0))</f>
        <v>161072.04215195123</v>
      </c>
    </row>
    <row r="108" spans="2:24" ht="14.65" thickBot="1" x14ac:dyDescent="0.5">
      <c r="B108" s="9" t="s">
        <v>329</v>
      </c>
      <c r="C108" t="s">
        <v>288</v>
      </c>
      <c r="D108" s="90"/>
      <c r="E108" s="178">
        <v>312903.68169659638</v>
      </c>
      <c r="F108" s="90"/>
      <c r="G108" s="90">
        <v>168560.65741522281</v>
      </c>
      <c r="H108" s="90">
        <v>31787.297719862545</v>
      </c>
      <c r="I108" s="90">
        <v>12413.200138834589</v>
      </c>
      <c r="J108" s="90">
        <v>702.7925646673383</v>
      </c>
      <c r="K108" s="90">
        <v>0</v>
      </c>
      <c r="L108" s="90">
        <v>0</v>
      </c>
      <c r="M108" s="90">
        <v>0</v>
      </c>
      <c r="P108" s="28">
        <f>E108/INDEX('Top Down inputs'!$C$98:$Q$137,MATCH('Re-scaled copper costs'!$B108,_xlfn.ANCHORARRAY('Top Down inputs'!$S$98),0),MATCH(P$94,'Top Down inputs'!$C$96:$Q$96,0))</f>
        <v>271.73224453465798</v>
      </c>
      <c r="Q108" s="28">
        <f t="shared" si="2"/>
        <v>297.81832284470102</v>
      </c>
      <c r="R108" s="28">
        <f>G108/INDEX('Top Down inputs'!$C$98:$Q$137,MATCH('Re-scaled copper costs'!$B108,_xlfn.ANCHORARRAY('Top Down inputs'!$S$98),0),MATCH(R$94,'Top Down inputs'!$C$96:$Q$96,0))</f>
        <v>323.90440115474399</v>
      </c>
      <c r="V108" s="26">
        <f>P108*INDEX('Top Down inputs'!$U$98:$AI$137,MATCH($B108,_xlfn.ANCHORARRAY('Top Down inputs'!$S$98),0),MATCH('Re-scaled copper costs'!V$94,'Top Down inputs'!$U$96:$AI$96,0))</f>
        <v>150877.73150494581</v>
      </c>
      <c r="W108" s="26">
        <f>Q108*INDEX('Top Down inputs'!$U$98:$AI$137,MATCH($B108,_xlfn.ANCHORARRAY('Top Down inputs'!$S$98),0),MATCH('Re-scaled copper costs'!W$94,'Top Down inputs'!$U$96:$AI$96,0))</f>
        <v>135502.95806001034</v>
      </c>
      <c r="X108" s="26">
        <f>R108*INDEX('Top Down inputs'!$U$98:$AI$137,MATCH($B108,_xlfn.ANCHORARRAY('Top Down inputs'!$S$98),0),MATCH('Re-scaled copper costs'!X$94,'Top Down inputs'!$U$96:$AI$96,0))</f>
        <v>81277.565907489232</v>
      </c>
    </row>
    <row r="109" spans="2:24" ht="14.65" thickBot="1" x14ac:dyDescent="0.5">
      <c r="B109" s="9" t="s">
        <v>330</v>
      </c>
      <c r="C109" t="s">
        <v>289</v>
      </c>
      <c r="D109" s="90"/>
      <c r="E109" s="178">
        <v>4595973.3094172068</v>
      </c>
      <c r="F109" s="90"/>
      <c r="G109" s="90">
        <v>1554779.664144611</v>
      </c>
      <c r="H109" s="90">
        <v>400295.86490474571</v>
      </c>
      <c r="I109" s="90">
        <v>156400.7592909227</v>
      </c>
      <c r="J109" s="90">
        <v>8869.9481927738307</v>
      </c>
      <c r="K109" s="90">
        <v>0</v>
      </c>
      <c r="L109" s="90">
        <v>0</v>
      </c>
      <c r="M109" s="90">
        <v>0</v>
      </c>
      <c r="P109" s="28">
        <f>E109/INDEX('Top Down inputs'!$C$98:$Q$137,MATCH('Re-scaled copper costs'!$B109,_xlfn.ANCHORARRAY('Top Down inputs'!$S$98),0),MATCH(P$94,'Top Down inputs'!$C$96:$Q$96,0))</f>
        <v>358.19320091624547</v>
      </c>
      <c r="Q109" s="28">
        <f t="shared" si="2"/>
        <v>627.58204499868145</v>
      </c>
      <c r="R109" s="28">
        <f>G109/INDEX('Top Down inputs'!$C$98:$Q$137,MATCH('Re-scaled copper costs'!$B109,_xlfn.ANCHORARRAY('Top Down inputs'!$S$98),0),MATCH(R$94,'Top Down inputs'!$C$96:$Q$96,0))</f>
        <v>896.97088908111743</v>
      </c>
      <c r="V109" s="26">
        <f>P109*INDEX('Top Down inputs'!$U$98:$AI$137,MATCH($B109,_xlfn.ANCHORARRAY('Top Down inputs'!$S$98),0),MATCH('Re-scaled copper costs'!V$94,'Top Down inputs'!$U$96:$AI$96,0))</f>
        <v>2216113.3522696081</v>
      </c>
      <c r="W109" s="26">
        <f>Q109*INDEX('Top Down inputs'!$U$98:$AI$137,MATCH($B109,_xlfn.ANCHORARRAY('Top Down inputs'!$S$98),0),MATCH('Re-scaled copper costs'!W$94,'Top Down inputs'!$U$96:$AI$96,0))</f>
        <v>1626195.2119226393</v>
      </c>
      <c r="X109" s="26">
        <f>R109*INDEX('Top Down inputs'!$U$98:$AI$137,MATCH($B109,_xlfn.ANCHORARRAY('Top Down inputs'!$S$98),0),MATCH('Re-scaled copper costs'!X$94,'Top Down inputs'!$U$96:$AI$96,0))</f>
        <v>749692.77269041515</v>
      </c>
    </row>
    <row r="110" spans="2:24" ht="14.65" thickBot="1" x14ac:dyDescent="0.5">
      <c r="B110" s="9" t="s">
        <v>331</v>
      </c>
      <c r="C110" t="s">
        <v>290</v>
      </c>
      <c r="D110" s="90"/>
      <c r="E110" s="178">
        <v>3369389.7751770038</v>
      </c>
      <c r="F110" s="90"/>
      <c r="G110" s="90">
        <v>819499.02546180505</v>
      </c>
      <c r="H110" s="90">
        <v>148156.65192710329</v>
      </c>
      <c r="I110" s="90">
        <v>58433.833547010203</v>
      </c>
      <c r="J110" s="90">
        <v>3329.0180147328847</v>
      </c>
      <c r="K110" s="90">
        <v>0</v>
      </c>
      <c r="L110" s="90">
        <v>0</v>
      </c>
      <c r="M110" s="90">
        <v>0</v>
      </c>
      <c r="P110" s="28">
        <f>E110/INDEX('Top Down inputs'!$C$98:$Q$137,MATCH('Re-scaled copper costs'!$B110,_xlfn.ANCHORARRAY('Top Down inputs'!$S$98),0),MATCH(P$94,'Top Down inputs'!$C$96:$Q$96,0))</f>
        <v>121.83097582520777</v>
      </c>
      <c r="Q110" s="28">
        <f t="shared" si="2"/>
        <v>165.95800002632379</v>
      </c>
      <c r="R110" s="28">
        <f>G110/INDEX('Top Down inputs'!$C$98:$Q$137,MATCH('Re-scaled copper costs'!$B110,_xlfn.ANCHORARRAY('Top Down inputs'!$S$98),0),MATCH(R$94,'Top Down inputs'!$C$96:$Q$96,0))</f>
        <v>210.08502422743982</v>
      </c>
      <c r="V110" s="26">
        <f>P110*INDEX('Top Down inputs'!$U$98:$AI$137,MATCH($B110,_xlfn.ANCHORARRAY('Top Down inputs'!$S$98),0),MATCH('Re-scaled copper costs'!V$94,'Top Down inputs'!$U$96:$AI$96,0))</f>
        <v>1624672.1134064414</v>
      </c>
      <c r="W110" s="26">
        <f>Q110*INDEX('Top Down inputs'!$U$98:$AI$137,MATCH($B110,_xlfn.ANCHORARRAY('Top Down inputs'!$S$98),0),MATCH('Re-scaled copper costs'!W$94,'Top Down inputs'!$U$96:$AI$96,0))</f>
        <v>974589.61329136358</v>
      </c>
      <c r="X110" s="26">
        <f>R110*INDEX('Top Down inputs'!$U$98:$AI$137,MATCH($B110,_xlfn.ANCHORARRAY('Top Down inputs'!$S$98),0),MATCH('Re-scaled copper costs'!X$94,'Top Down inputs'!$U$96:$AI$96,0))</f>
        <v>395150.84406095662</v>
      </c>
    </row>
    <row r="111" spans="2:24" ht="14.65" thickBot="1" x14ac:dyDescent="0.5">
      <c r="B111" s="9" t="s">
        <v>332</v>
      </c>
      <c r="C111" t="s">
        <v>291</v>
      </c>
      <c r="D111" s="90"/>
      <c r="E111" s="178">
        <v>3926540.8147761151</v>
      </c>
      <c r="F111" s="90"/>
      <c r="G111" s="90">
        <v>806218.12989828188</v>
      </c>
      <c r="H111" s="90">
        <v>272831.36139892304</v>
      </c>
      <c r="I111" s="90">
        <v>108330.36509147398</v>
      </c>
      <c r="J111" s="90">
        <v>6482.6175717708529</v>
      </c>
      <c r="K111" s="90">
        <v>0</v>
      </c>
      <c r="L111" s="90">
        <v>0</v>
      </c>
      <c r="M111" s="90">
        <v>0</v>
      </c>
      <c r="P111" s="28">
        <f>E111/INDEX('Top Down inputs'!$C$98:$Q$137,MATCH('Re-scaled copper costs'!$B111,_xlfn.ANCHORARRAY('Top Down inputs'!$S$98),0),MATCH(P$94,'Top Down inputs'!$C$96:$Q$96,0))</f>
        <v>127.30674905411581</v>
      </c>
      <c r="Q111" s="28">
        <f t="shared" si="2"/>
        <v>160.39948926783808</v>
      </c>
      <c r="R111" s="28">
        <f>G111/INDEX('Top Down inputs'!$C$98:$Q$137,MATCH('Re-scaled copper costs'!$B111,_xlfn.ANCHORARRAY('Top Down inputs'!$S$98),0),MATCH(R$94,'Top Down inputs'!$C$96:$Q$96,0))</f>
        <v>193.49222948156032</v>
      </c>
      <c r="V111" s="26">
        <f>P111*INDEX('Top Down inputs'!$U$98:$AI$137,MATCH($B111,_xlfn.ANCHORARRAY('Top Down inputs'!$S$98),0),MATCH('Re-scaled copper costs'!V$94,'Top Down inputs'!$U$96:$AI$96,0))</f>
        <v>1893322.4677408645</v>
      </c>
      <c r="W111" s="26">
        <f>Q111*INDEX('Top Down inputs'!$U$98:$AI$137,MATCH($B111,_xlfn.ANCHORARRAY('Top Down inputs'!$S$98),0),MATCH('Re-scaled copper costs'!W$94,'Top Down inputs'!$U$96:$AI$96,0))</f>
        <v>999087.84953853174</v>
      </c>
      <c r="X111" s="26">
        <f>R111*INDEX('Top Down inputs'!$U$98:$AI$137,MATCH($B111,_xlfn.ANCHORARRAY('Top Down inputs'!$S$98),0),MATCH('Re-scaled copper costs'!X$94,'Top Down inputs'!$U$96:$AI$96,0))</f>
        <v>388746.98398454691</v>
      </c>
    </row>
    <row r="112" spans="2:24" ht="14.65" thickBot="1" x14ac:dyDescent="0.5">
      <c r="B112" s="9" t="s">
        <v>333</v>
      </c>
      <c r="C112" t="s">
        <v>292</v>
      </c>
      <c r="D112" s="90"/>
      <c r="E112" s="178">
        <v>8893337.7880018838</v>
      </c>
      <c r="F112" s="90"/>
      <c r="G112" s="90">
        <v>1998429.047193018</v>
      </c>
      <c r="H112" s="90">
        <v>597987.53654644021</v>
      </c>
      <c r="I112" s="90">
        <v>239597.50226257934</v>
      </c>
      <c r="J112" s="90">
        <v>14386.496724115117</v>
      </c>
      <c r="K112" s="90">
        <v>0</v>
      </c>
      <c r="L112" s="90">
        <v>0</v>
      </c>
      <c r="M112" s="90">
        <v>0</v>
      </c>
      <c r="P112" s="28">
        <f>E112/INDEX('Top Down inputs'!$C$98:$Q$137,MATCH('Re-scaled copper costs'!$B112,_xlfn.ANCHORARRAY('Top Down inputs'!$S$98),0),MATCH(P$94,'Top Down inputs'!$C$96:$Q$96,0))</f>
        <v>164.54329731339706</v>
      </c>
      <c r="Q112" s="28">
        <f t="shared" si="2"/>
        <v>213.34497781004251</v>
      </c>
      <c r="R112" s="28">
        <f>G112/INDEX('Top Down inputs'!$C$98:$Q$137,MATCH('Re-scaled copper costs'!$B112,_xlfn.ANCHORARRAY('Top Down inputs'!$S$98),0),MATCH(R$94,'Top Down inputs'!$C$96:$Q$96,0))</f>
        <v>262.14665830668793</v>
      </c>
      <c r="V112" s="26">
        <f>P112*INDEX('Top Down inputs'!$U$98:$AI$137,MATCH($B112,_xlfn.ANCHORARRAY('Top Down inputs'!$S$98),0),MATCH('Re-scaled copper costs'!V$94,'Top Down inputs'!$U$96:$AI$96,0))</f>
        <v>4288241.7480213763</v>
      </c>
      <c r="W112" s="26">
        <f>Q112*INDEX('Top Down inputs'!$U$98:$AI$137,MATCH($B112,_xlfn.ANCHORARRAY('Top Down inputs'!$S$98),0),MATCH('Re-scaled copper costs'!W$94,'Top Down inputs'!$U$96:$AI$96,0))</f>
        <v>2448482.8774376702</v>
      </c>
      <c r="X112" s="26">
        <f>R112*INDEX('Top Down inputs'!$U$98:$AI$137,MATCH($B112,_xlfn.ANCHORARRAY('Top Down inputs'!$S$98),0),MATCH('Re-scaled copper costs'!X$94,'Top Down inputs'!$U$96:$AI$96,0))</f>
        <v>963614.23291413009</v>
      </c>
    </row>
    <row r="113" spans="2:24" ht="14.65" thickBot="1" x14ac:dyDescent="0.5">
      <c r="B113" s="9" t="s">
        <v>369</v>
      </c>
      <c r="C113" t="s">
        <v>293</v>
      </c>
      <c r="D113" s="90"/>
      <c r="E113" s="178">
        <v>2235727.3038539048</v>
      </c>
      <c r="F113" s="90"/>
      <c r="G113" s="90">
        <v>3363051.3870427706</v>
      </c>
      <c r="H113" s="90">
        <v>919918.48784630187</v>
      </c>
      <c r="I113" s="90">
        <v>1252071.1403690504</v>
      </c>
      <c r="J113" s="90">
        <v>1395826.5203459153</v>
      </c>
      <c r="K113" s="90">
        <v>1649913.607721691</v>
      </c>
      <c r="L113" s="90">
        <v>2003382.752693824</v>
      </c>
      <c r="M113" s="90">
        <v>2534464.594929778</v>
      </c>
      <c r="P113" s="28">
        <f>E113/INDEX('Top Down inputs'!$C$98:$Q$137,MATCH('Re-scaled copper costs'!$B113,_xlfn.ANCHORARRAY('Top Down inputs'!$S$98),0),MATCH(P$94,'Top Down inputs'!$C$96:$Q$96,0))</f>
        <v>120.12311728407113</v>
      </c>
      <c r="Q113" s="28">
        <f t="shared" si="2"/>
        <v>224.27718830365478</v>
      </c>
      <c r="R113" s="28">
        <f>G113/INDEX('Top Down inputs'!$C$98:$Q$137,MATCH('Re-scaled copper costs'!$B113,_xlfn.ANCHORARRAY('Top Down inputs'!$S$98),0),MATCH(R$94,'Top Down inputs'!$C$96:$Q$96,0))</f>
        <v>328.43125932323846</v>
      </c>
      <c r="V113" s="26">
        <f>P113*INDEX('Top Down inputs'!$U$98:$AI$137,MATCH($B113,_xlfn.ANCHORARRAY('Top Down inputs'!$S$98),0),MATCH('Re-scaled copper costs'!V$94,'Top Down inputs'!$U$96:$AI$96,0))</f>
        <v>1078036.0973707745</v>
      </c>
      <c r="W113" s="26">
        <f>Q113*INDEX('Top Down inputs'!$U$98:$AI$137,MATCH($B113,_xlfn.ANCHORARRAY('Top Down inputs'!$S$98),0),MATCH('Re-scaled copper costs'!W$94,'Top Down inputs'!$U$96:$AI$96,0))</f>
        <v>1991163.5298336807</v>
      </c>
      <c r="X113" s="26">
        <f>R113*INDEX('Top Down inputs'!$U$98:$AI$137,MATCH($B113,_xlfn.ANCHORARRAY('Top Down inputs'!$S$98),0),MATCH('Re-scaled copper costs'!X$94,'Top Down inputs'!$U$96:$AI$96,0))</f>
        <v>1621615.8322597779</v>
      </c>
    </row>
    <row r="114" spans="2:24" ht="14.65" thickBot="1" x14ac:dyDescent="0.5">
      <c r="B114" s="9" t="s">
        <v>370</v>
      </c>
      <c r="C114" t="s">
        <v>295</v>
      </c>
      <c r="D114" s="90"/>
      <c r="E114" s="178">
        <v>1229872.7860739336</v>
      </c>
      <c r="F114" s="90"/>
      <c r="G114" s="90">
        <v>3387636.9859029129</v>
      </c>
      <c r="H114" s="90">
        <v>1602607.2321606528</v>
      </c>
      <c r="I114" s="90">
        <v>2087949.7695612859</v>
      </c>
      <c r="J114" s="90">
        <v>2301547.7140457933</v>
      </c>
      <c r="K114" s="90">
        <v>2645448.5079010162</v>
      </c>
      <c r="L114" s="90">
        <v>3103297.3754939875</v>
      </c>
      <c r="M114" s="90">
        <v>3814168.4979842827</v>
      </c>
      <c r="P114" s="28">
        <f>E114/INDEX('Top Down inputs'!$C$98:$Q$137,MATCH('Re-scaled copper costs'!$B114,_xlfn.ANCHORARRAY('Top Down inputs'!$S$98),0),MATCH(P$94,'Top Down inputs'!$C$96:$Q$96,0))</f>
        <v>77.039773651050396</v>
      </c>
      <c r="Q114" s="28">
        <f t="shared" si="2"/>
        <v>124.87182084605752</v>
      </c>
      <c r="R114" s="28">
        <f>G114/INDEX('Top Down inputs'!$C$98:$Q$137,MATCH('Re-scaled copper costs'!$B114,_xlfn.ANCHORARRAY('Top Down inputs'!$S$98),0),MATCH(R$94,'Top Down inputs'!$C$96:$Q$96,0))</f>
        <v>172.70386804106465</v>
      </c>
      <c r="V114" s="26">
        <f>P114*INDEX('Top Down inputs'!$U$98:$AI$137,MATCH($B114,_xlfn.ANCHORARRAY('Top Down inputs'!$S$98),0),MATCH('Re-scaled copper costs'!V$94,'Top Down inputs'!$U$96:$AI$96,0))</f>
        <v>593027.26959419169</v>
      </c>
      <c r="W114" s="26">
        <f>Q114*INDEX('Top Down inputs'!$U$98:$AI$137,MATCH($B114,_xlfn.ANCHORARRAY('Top Down inputs'!$S$98),0),MATCH('Re-scaled copper costs'!W$94,'Top Down inputs'!$U$96:$AI$96,0))</f>
        <v>941858.70976922824</v>
      </c>
      <c r="X114" s="26">
        <f>R114*INDEX('Top Down inputs'!$U$98:$AI$137,MATCH($B114,_xlfn.ANCHORARRAY('Top Down inputs'!$S$98),0),MATCH('Re-scaled copper costs'!X$94,'Top Down inputs'!$U$96:$AI$96,0))</f>
        <v>1633470.6604407569</v>
      </c>
    </row>
    <row r="115" spans="2:24" ht="14.65" thickBot="1" x14ac:dyDescent="0.5">
      <c r="B115" s="9" t="s">
        <v>334</v>
      </c>
      <c r="C115" t="s">
        <v>296</v>
      </c>
      <c r="D115" s="90"/>
      <c r="E115" s="178">
        <v>470338.50842743111</v>
      </c>
      <c r="F115" s="90"/>
      <c r="G115" s="90">
        <v>325969.03611977975</v>
      </c>
      <c r="H115" s="90">
        <v>154590.75366520029</v>
      </c>
      <c r="I115" s="90">
        <v>170369.09565306082</v>
      </c>
      <c r="J115" s="90">
        <v>174315.41735422361</v>
      </c>
      <c r="K115" s="90">
        <v>180917.96770039175</v>
      </c>
      <c r="L115" s="90">
        <v>184197.07897963541</v>
      </c>
      <c r="M115" s="90">
        <v>354261.15623530274</v>
      </c>
      <c r="P115" s="28">
        <f>E115/INDEX('Top Down inputs'!$C$98:$Q$137,MATCH('Re-scaled copper costs'!$B115,_xlfn.ANCHORARRAY('Top Down inputs'!$S$98),0),MATCH(P$94,'Top Down inputs'!$C$96:$Q$96,0))</f>
        <v>202.35973091338633</v>
      </c>
      <c r="Q115" s="28">
        <f t="shared" si="2"/>
        <v>799.05760690973614</v>
      </c>
      <c r="R115" s="28">
        <f>G115/INDEX('Top Down inputs'!$C$98:$Q$137,MATCH('Re-scaled copper costs'!$B115,_xlfn.ANCHORARRAY('Top Down inputs'!$S$98),0),MATCH(R$94,'Top Down inputs'!$C$96:$Q$96,0))</f>
        <v>1395.7554829060859</v>
      </c>
      <c r="V115" s="26">
        <f>P115*INDEX('Top Down inputs'!$U$98:$AI$137,MATCH($B115,_xlfn.ANCHORARRAY('Top Down inputs'!$S$98),0),MATCH('Re-scaled copper costs'!V$94,'Top Down inputs'!$U$96:$AI$96,0))</f>
        <v>226790.57915259601</v>
      </c>
      <c r="W115" s="26">
        <f>Q115*INDEX('Top Down inputs'!$U$98:$AI$137,MATCH($B115,_xlfn.ANCHORARRAY('Top Down inputs'!$S$98),0),MATCH('Re-scaled copper costs'!W$94,'Top Down inputs'!$U$96:$AI$96,0))</f>
        <v>433241.61940380337</v>
      </c>
      <c r="X115" s="26">
        <f>R115*INDEX('Top Down inputs'!$U$98:$AI$137,MATCH($B115,_xlfn.ANCHORARRAY('Top Down inputs'!$S$98),0),MATCH('Re-scaled copper costs'!X$94,'Top Down inputs'!$U$96:$AI$96,0))</f>
        <v>157177.6606907885</v>
      </c>
    </row>
    <row r="116" spans="2:24" ht="14.65" thickBot="1" x14ac:dyDescent="0.5">
      <c r="B116" s="9" t="s">
        <v>335</v>
      </c>
      <c r="C116" t="s">
        <v>297</v>
      </c>
      <c r="D116" s="90"/>
      <c r="E116" s="178">
        <v>274420.08276416466</v>
      </c>
      <c r="F116" s="90"/>
      <c r="G116" s="90">
        <v>55487.288482197982</v>
      </c>
      <c r="H116" s="90">
        <v>83688.206828282768</v>
      </c>
      <c r="I116" s="90">
        <v>93645.658836893883</v>
      </c>
      <c r="J116" s="90">
        <v>101019.1695613894</v>
      </c>
      <c r="K116" s="90">
        <v>106802.20171435391</v>
      </c>
      <c r="L116" s="90">
        <v>114090.91113913685</v>
      </c>
      <c r="M116" s="90">
        <v>1599379.7270533859</v>
      </c>
      <c r="P116" s="28">
        <f>E116/INDEX('Top Down inputs'!$C$98:$Q$137,MATCH('Re-scaled copper costs'!$B116,_xlfn.ANCHORARRAY('Top Down inputs'!$S$98),0),MATCH(P$94,'Top Down inputs'!$C$96:$Q$96,0))</f>
        <v>71.486689068931184</v>
      </c>
      <c r="Q116" s="28">
        <f t="shared" si="2"/>
        <v>94.088085137968676</v>
      </c>
      <c r="R116" s="28">
        <f>G116/INDEX('Top Down inputs'!$C$98:$Q$137,MATCH('Re-scaled copper costs'!$B116,_xlfn.ANCHORARRAY('Top Down inputs'!$S$98),0),MATCH(R$94,'Top Down inputs'!$C$96:$Q$96,0))</f>
        <v>116.68948120700618</v>
      </c>
      <c r="V116" s="26">
        <f>P116*INDEX('Top Down inputs'!$U$98:$AI$137,MATCH($B116,_xlfn.ANCHORARRAY('Top Down inputs'!$S$98),0),MATCH('Re-scaled copper costs'!V$94,'Top Down inputs'!$U$96:$AI$96,0))</f>
        <v>132321.48417800805</v>
      </c>
      <c r="W116" s="26">
        <f>Q116*INDEX('Top Down inputs'!$U$98:$AI$137,MATCH($B116,_xlfn.ANCHORARRAY('Top Down inputs'!$S$98),0),MATCH('Re-scaled copper costs'!W$94,'Top Down inputs'!$U$96:$AI$96,0))</f>
        <v>98305.50560415299</v>
      </c>
      <c r="X116" s="26">
        <f>R116*INDEX('Top Down inputs'!$U$98:$AI$137,MATCH($B116,_xlfn.ANCHORARRAY('Top Down inputs'!$S$98),0),MATCH('Re-scaled copper costs'!X$94,'Top Down inputs'!$U$96:$AI$96,0))</f>
        <v>26755.186030927434</v>
      </c>
    </row>
    <row r="117" spans="2:24" ht="14.65" thickBot="1" x14ac:dyDescent="0.5">
      <c r="B117" s="9" t="s">
        <v>371</v>
      </c>
      <c r="C117" t="s">
        <v>298</v>
      </c>
      <c r="D117" s="90"/>
      <c r="E117" s="178">
        <v>11240905.877808275</v>
      </c>
      <c r="F117" s="90"/>
      <c r="G117" s="90">
        <v>48570024.368495911</v>
      </c>
      <c r="H117" s="90">
        <v>39351817.251284175</v>
      </c>
      <c r="I117" s="90">
        <v>56126083.221420556</v>
      </c>
      <c r="J117" s="90">
        <v>83870948.391767144</v>
      </c>
      <c r="K117" s="90">
        <v>84684229.131263211</v>
      </c>
      <c r="L117" s="90">
        <v>66625046.859706216</v>
      </c>
      <c r="M117" s="90">
        <v>39871783.184509337</v>
      </c>
      <c r="P117" s="28">
        <f>E117/INDEX('Top Down inputs'!$C$98:$Q$137,MATCH('Re-scaled copper costs'!$B117,_xlfn.ANCHORARRAY('Top Down inputs'!$S$98),0),MATCH(P$94,'Top Down inputs'!$C$96:$Q$96,0))</f>
        <v>130.91476020085426</v>
      </c>
      <c r="Q117" s="28">
        <f t="shared" si="2"/>
        <v>200.30938574183278</v>
      </c>
      <c r="R117" s="28">
        <f>G117/INDEX('Top Down inputs'!$C$98:$Q$137,MATCH('Re-scaled copper costs'!$B117,_xlfn.ANCHORARRAY('Top Down inputs'!$S$98),0),MATCH(R$94,'Top Down inputs'!$C$96:$Q$96,0))</f>
        <v>269.70401128281134</v>
      </c>
      <c r="V117" s="26">
        <f>P117*INDEX('Top Down inputs'!$U$98:$AI$137,MATCH($B117,_xlfn.ANCHORARRAY('Top Down inputs'!$S$98),0),MATCH('Re-scaled copper costs'!V$94,'Top Down inputs'!$U$96:$AI$96,0))</f>
        <v>5420205.8911816645</v>
      </c>
      <c r="W117" s="26">
        <f>Q117*INDEX('Top Down inputs'!$U$98:$AI$137,MATCH($B117,_xlfn.ANCHORARRAY('Top Down inputs'!$S$98),0),MATCH('Re-scaled copper costs'!W$94,'Top Down inputs'!$U$96:$AI$96,0))</f>
        <v>12320635.647074005</v>
      </c>
      <c r="X117" s="26">
        <f>R117*INDEX('Top Down inputs'!$U$98:$AI$137,MATCH($B117,_xlfn.ANCHORARRAY('Top Down inputs'!$S$98),0),MATCH('Re-scaled copper costs'!X$94,'Top Down inputs'!$U$96:$AI$96,0))</f>
        <v>23419779.071069695</v>
      </c>
    </row>
    <row r="118" spans="2:24" ht="14.65" thickBot="1" x14ac:dyDescent="0.5">
      <c r="B118" s="9" t="s">
        <v>372</v>
      </c>
      <c r="C118" t="s">
        <v>300</v>
      </c>
      <c r="D118" s="90"/>
      <c r="E118" s="178">
        <v>37493395.625035085</v>
      </c>
      <c r="F118" s="90"/>
      <c r="G118" s="90">
        <v>143755475.73608732</v>
      </c>
      <c r="H118" s="90">
        <v>88164215.67208156</v>
      </c>
      <c r="I118" s="90">
        <v>121784262.1764439</v>
      </c>
      <c r="J118" s="90">
        <v>127929018.61845911</v>
      </c>
      <c r="K118" s="90">
        <v>118396590.53048921</v>
      </c>
      <c r="L118" s="90">
        <v>118193702.3111077</v>
      </c>
      <c r="M118" s="90">
        <v>123079014.74807405</v>
      </c>
      <c r="P118" s="28">
        <f>E118/INDEX('Top Down inputs'!$C$98:$Q$137,MATCH('Re-scaled copper costs'!$B118,_xlfn.ANCHORARRAY('Top Down inputs'!$S$98),0),MATCH(P$94,'Top Down inputs'!$C$96:$Q$96,0))</f>
        <v>161.37566131624178</v>
      </c>
      <c r="Q118" s="28">
        <f t="shared" si="2"/>
        <v>220.30993158871286</v>
      </c>
      <c r="R118" s="28">
        <f>G118/INDEX('Top Down inputs'!$C$98:$Q$137,MATCH('Re-scaled copper costs'!$B118,_xlfn.ANCHORARRAY('Top Down inputs'!$S$98),0),MATCH(R$94,'Top Down inputs'!$C$96:$Q$96,0))</f>
        <v>279.24420186118397</v>
      </c>
      <c r="V118" s="26">
        <f>P118*INDEX('Top Down inputs'!$U$98:$AI$137,MATCH($B118,_xlfn.ANCHORARRAY('Top Down inputs'!$S$98),0),MATCH('Re-scaled copper costs'!V$94,'Top Down inputs'!$U$96:$AI$96,0))</f>
        <v>18078785.291532371</v>
      </c>
      <c r="W118" s="26">
        <f>Q118*INDEX('Top Down inputs'!$U$98:$AI$137,MATCH($B118,_xlfn.ANCHORARRAY('Top Down inputs'!$S$98),0),MATCH('Re-scaled copper costs'!W$94,'Top Down inputs'!$U$96:$AI$96,0))</f>
        <v>37965171.070946686</v>
      </c>
      <c r="X118" s="26">
        <f>R118*INDEX('Top Down inputs'!$U$98:$AI$137,MATCH($B118,_xlfn.ANCHORARRAY('Top Down inputs'!$S$98),0),MATCH('Re-scaled copper costs'!X$94,'Top Down inputs'!$U$96:$AI$96,0))</f>
        <v>69316857.995637521</v>
      </c>
    </row>
    <row r="119" spans="2:24" ht="14.65" thickBot="1" x14ac:dyDescent="0.5">
      <c r="B119" s="9" t="s">
        <v>373</v>
      </c>
      <c r="C119" t="s">
        <v>301</v>
      </c>
      <c r="D119" s="90"/>
      <c r="E119" s="178">
        <v>6520736.2472740905</v>
      </c>
      <c r="F119" s="90"/>
      <c r="G119" s="90">
        <v>29474871.973276753</v>
      </c>
      <c r="H119" s="90">
        <v>25266762.579094417</v>
      </c>
      <c r="I119" s="90">
        <v>36640344.494539246</v>
      </c>
      <c r="J119" s="90">
        <v>54715966.150511876</v>
      </c>
      <c r="K119" s="90">
        <v>55947641.511443779</v>
      </c>
      <c r="L119" s="90">
        <v>43189399.275737137</v>
      </c>
      <c r="M119" s="90">
        <v>25997331.644989777</v>
      </c>
      <c r="P119" s="28">
        <f>E119/INDEX('Top Down inputs'!$C$98:$Q$137,MATCH('Re-scaled copper costs'!$B119,_xlfn.ANCHORARRAY('Top Down inputs'!$S$98),0),MATCH(P$94,'Top Down inputs'!$C$96:$Q$96,0))</f>
        <v>112.02586090654152</v>
      </c>
      <c r="Q119" s="28">
        <f t="shared" si="2"/>
        <v>184.98760289189903</v>
      </c>
      <c r="R119" s="28">
        <f>G119/INDEX('Top Down inputs'!$C$98:$Q$137,MATCH('Re-scaled copper costs'!$B119,_xlfn.ANCHORARRAY('Top Down inputs'!$S$98),0),MATCH(R$94,'Top Down inputs'!$C$96:$Q$96,0))</f>
        <v>257.94934487725652</v>
      </c>
      <c r="V119" s="26">
        <f>P119*INDEX('Top Down inputs'!$U$98:$AI$137,MATCH($B119,_xlfn.ANCHORARRAY('Top Down inputs'!$S$98),0),MATCH('Re-scaled copper costs'!V$94,'Top Down inputs'!$U$96:$AI$96,0))</f>
        <v>3144206.8287478699</v>
      </c>
      <c r="W119" s="26">
        <f>Q119*INDEX('Top Down inputs'!$U$98:$AI$137,MATCH($B119,_xlfn.ANCHORARRAY('Top Down inputs'!$S$98),0),MATCH('Re-scaled copper costs'!W$94,'Top Down inputs'!$U$96:$AI$96,0))</f>
        <v>8997028.014206728</v>
      </c>
      <c r="X119" s="26">
        <f>R119*INDEX('Top Down inputs'!$U$98:$AI$137,MATCH($B119,_xlfn.ANCHORARRAY('Top Down inputs'!$S$98),0),MATCH('Re-scaled copper costs'!X$94,'Top Down inputs'!$U$96:$AI$96,0))</f>
        <v>14212366.551949956</v>
      </c>
    </row>
    <row r="120" spans="2:24" ht="14.65" thickBot="1" x14ac:dyDescent="0.5">
      <c r="B120" s="9" t="s">
        <v>374</v>
      </c>
      <c r="C120" t="s">
        <v>302</v>
      </c>
      <c r="D120" s="90"/>
      <c r="E120" s="178">
        <v>20843384.571444687</v>
      </c>
      <c r="F120" s="90"/>
      <c r="G120" s="90">
        <v>75572246.670697331</v>
      </c>
      <c r="H120" s="90">
        <v>51867784.234193511</v>
      </c>
      <c r="I120" s="90">
        <v>72972546.358376086</v>
      </c>
      <c r="J120" s="90">
        <v>77429536.259655312</v>
      </c>
      <c r="K120" s="90">
        <v>71761585.810488939</v>
      </c>
      <c r="L120" s="90">
        <v>72057153.20176287</v>
      </c>
      <c r="M120" s="90">
        <v>74984567.826283216</v>
      </c>
      <c r="P120" s="28">
        <f>E120/INDEX('Top Down inputs'!$C$98:$Q$137,MATCH('Re-scaled copper costs'!$B120,_xlfn.ANCHORARRAY('Top Down inputs'!$S$98),0),MATCH(P$94,'Top Down inputs'!$C$96:$Q$96,0))</f>
        <v>128.89783605950922</v>
      </c>
      <c r="Q120" s="28">
        <f t="shared" si="2"/>
        <v>183.02554140868122</v>
      </c>
      <c r="R120" s="28">
        <f>G120/INDEX('Top Down inputs'!$C$98:$Q$137,MATCH('Re-scaled copper costs'!$B120,_xlfn.ANCHORARRAY('Top Down inputs'!$S$98),0),MATCH(R$94,'Top Down inputs'!$C$96:$Q$96,0))</f>
        <v>237.15324675785322</v>
      </c>
      <c r="V120" s="26">
        <f>P120*INDEX('Top Down inputs'!$U$98:$AI$137,MATCH($B120,_xlfn.ANCHORARRAY('Top Down inputs'!$S$98),0),MATCH('Re-scaled copper costs'!V$94,'Top Down inputs'!$U$96:$AI$96,0))</f>
        <v>10050385.358118236</v>
      </c>
      <c r="W120" s="26">
        <f>Q120*INDEX('Top Down inputs'!$U$98:$AI$137,MATCH($B120,_xlfn.ANCHORARRAY('Top Down inputs'!$S$98),0),MATCH('Re-scaled copper costs'!W$94,'Top Down inputs'!$U$96:$AI$96,0))</f>
        <v>22545024.387115646</v>
      </c>
      <c r="X120" s="26">
        <f>R120*INDEX('Top Down inputs'!$U$98:$AI$137,MATCH($B120,_xlfn.ANCHORARRAY('Top Down inputs'!$S$98),0),MATCH('Re-scaled copper costs'!X$94,'Top Down inputs'!$U$96:$AI$96,0))</f>
        <v>36439868.909765646</v>
      </c>
    </row>
    <row r="121" spans="2:24" ht="14.65" thickBot="1" x14ac:dyDescent="0.5">
      <c r="B121" s="9" t="s">
        <v>336</v>
      </c>
      <c r="C121" t="s">
        <v>303</v>
      </c>
      <c r="D121" s="90"/>
      <c r="E121" s="178">
        <v>21515448.984485999</v>
      </c>
      <c r="F121" s="90"/>
      <c r="G121" s="90">
        <v>23230978.95116454</v>
      </c>
      <c r="H121" s="90">
        <v>16520021.281966731</v>
      </c>
      <c r="I121" s="90">
        <v>16392709.809812</v>
      </c>
      <c r="J121" s="90">
        <v>11682260.904066749</v>
      </c>
      <c r="K121" s="90">
        <v>11286748.805946702</v>
      </c>
      <c r="L121" s="90">
        <v>9220837.2487839218</v>
      </c>
      <c r="M121" s="90">
        <v>0</v>
      </c>
      <c r="P121" s="28">
        <f>E121/INDEX('Top Down inputs'!$C$98:$Q$137,MATCH('Re-scaled copper costs'!$B121,_xlfn.ANCHORARRAY('Top Down inputs'!$S$98),0),MATCH(P$94,'Top Down inputs'!$C$96:$Q$96,0))</f>
        <v>346.1456950852197</v>
      </c>
      <c r="Q121" s="28">
        <f t="shared" si="2"/>
        <v>372.56710876540882</v>
      </c>
      <c r="R121" s="28">
        <f>G121/INDEX('Top Down inputs'!$C$98:$Q$137,MATCH('Re-scaled copper costs'!$B121,_xlfn.ANCHORARRAY('Top Down inputs'!$S$98),0),MATCH(R$94,'Top Down inputs'!$C$96:$Q$96,0))</f>
        <v>398.98852244559794</v>
      </c>
      <c r="V121" s="26">
        <f>P121*INDEX('Top Down inputs'!$U$98:$AI$137,MATCH($B121,_xlfn.ANCHORARRAY('Top Down inputs'!$S$98),0),MATCH('Re-scaled copper costs'!V$94,'Top Down inputs'!$U$96:$AI$96,0))</f>
        <v>10374445.316489698</v>
      </c>
      <c r="W121" s="26">
        <f>Q121*INDEX('Top Down inputs'!$U$98:$AI$137,MATCH($B121,_xlfn.ANCHORARRAY('Top Down inputs'!$S$98),0),MATCH('Re-scaled copper costs'!W$94,'Top Down inputs'!$U$96:$AI$96,0))</f>
        <v>13445352.181877663</v>
      </c>
      <c r="X121" s="26">
        <f>R121*INDEX('Top Down inputs'!$U$98:$AI$137,MATCH($B121,_xlfn.ANCHORARRAY('Top Down inputs'!$S$98),0),MATCH('Re-scaled copper costs'!X$94,'Top Down inputs'!$U$96:$AI$96,0))</f>
        <v>11201649.612386065</v>
      </c>
    </row>
    <row r="122" spans="2:24" ht="14.65" thickBot="1" x14ac:dyDescent="0.5">
      <c r="B122" s="9" t="s">
        <v>337</v>
      </c>
      <c r="C122" t="s">
        <v>304</v>
      </c>
      <c r="D122" s="90"/>
      <c r="E122" s="178">
        <v>27811003.921969086</v>
      </c>
      <c r="F122" s="90"/>
      <c r="G122" s="90">
        <v>36892720.958685137</v>
      </c>
      <c r="H122" s="90">
        <v>26430171.576277088</v>
      </c>
      <c r="I122" s="90">
        <v>26224712.360867344</v>
      </c>
      <c r="J122" s="90">
        <v>18641278.929277942</v>
      </c>
      <c r="K122" s="90">
        <v>17997775.554100689</v>
      </c>
      <c r="L122" s="90">
        <v>14717038.151412269</v>
      </c>
      <c r="M122" s="90">
        <v>0</v>
      </c>
      <c r="P122" s="28">
        <f>E122/INDEX('Top Down inputs'!$C$98:$Q$137,MATCH('Re-scaled copper costs'!$B122,_xlfn.ANCHORARRAY('Top Down inputs'!$S$98),0),MATCH(P$94,'Top Down inputs'!$C$96:$Q$96,0))</f>
        <v>381.4742045170612</v>
      </c>
      <c r="Q122" s="28">
        <f t="shared" si="2"/>
        <v>415.54879963234328</v>
      </c>
      <c r="R122" s="28">
        <f>G122/INDEX('Top Down inputs'!$C$98:$Q$137,MATCH('Re-scaled copper costs'!$B122,_xlfn.ANCHORARRAY('Top Down inputs'!$S$98),0),MATCH(R$94,'Top Down inputs'!$C$96:$Q$96,0))</f>
        <v>449.62339474762541</v>
      </c>
      <c r="V122" s="26">
        <f>P122*INDEX('Top Down inputs'!$U$98:$AI$137,MATCH($B122,_xlfn.ANCHORARRAY('Top Down inputs'!$S$98),0),MATCH('Re-scaled copper costs'!V$94,'Top Down inputs'!$U$96:$AI$96,0))</f>
        <v>13410072.90125308</v>
      </c>
      <c r="W122" s="26">
        <f>Q122*INDEX('Top Down inputs'!$U$98:$AI$137,MATCH($B122,_xlfn.ANCHORARRAY('Top Down inputs'!$S$98),0),MATCH('Re-scaled copper costs'!W$94,'Top Down inputs'!$U$96:$AI$96,0))</f>
        <v>28983382.661390245</v>
      </c>
      <c r="X122" s="26">
        <f>R122*INDEX('Top Down inputs'!$U$98:$AI$137,MATCH($B122,_xlfn.ANCHORARRAY('Top Down inputs'!$S$98),0),MATCH('Re-scaled copper costs'!X$94,'Top Down inputs'!$U$96:$AI$96,0))</f>
        <v>17789148.45971252</v>
      </c>
    </row>
    <row r="123" spans="2:24" ht="14.65" thickBot="1" x14ac:dyDescent="0.5">
      <c r="B123" s="9" t="s">
        <v>375</v>
      </c>
      <c r="C123" t="s">
        <v>305</v>
      </c>
      <c r="D123" s="90"/>
      <c r="E123" s="178">
        <v>942989.49369093124</v>
      </c>
      <c r="F123" s="90"/>
      <c r="G123" s="90">
        <v>1000056.2884487978</v>
      </c>
      <c r="H123" s="90">
        <v>950853.62504479301</v>
      </c>
      <c r="I123" s="90">
        <v>871289.21060392028</v>
      </c>
      <c r="J123" s="90">
        <v>815523.64112936612</v>
      </c>
      <c r="K123" s="90">
        <v>661097.10646029096</v>
      </c>
      <c r="L123" s="90">
        <v>531153.26088980411</v>
      </c>
      <c r="M123" s="90">
        <v>430825.67165865347</v>
      </c>
      <c r="P123" s="28">
        <f>E123/INDEX('Top Down inputs'!$C$98:$Q$137,MATCH('Re-scaled copper costs'!$B123,_xlfn.ANCHORARRAY('Top Down inputs'!$S$98),0),MATCH(P$94,'Top Down inputs'!$C$96:$Q$96,0))</f>
        <v>2.73373912021178</v>
      </c>
      <c r="Q123" s="28">
        <f t="shared" si="2"/>
        <v>3.679581737574007</v>
      </c>
      <c r="R123" s="28">
        <f>G123/INDEX('Top Down inputs'!$C$98:$Q$137,MATCH('Re-scaled copper costs'!$B123,_xlfn.ANCHORARRAY('Top Down inputs'!$S$98),0),MATCH(R$94,'Top Down inputs'!$C$96:$Q$96,0))</f>
        <v>4.6254243549362339</v>
      </c>
      <c r="V123" s="26">
        <f>P123*INDEX('Top Down inputs'!$U$98:$AI$137,MATCH($B123,_xlfn.ANCHORARRAY('Top Down inputs'!$S$98),0),MATCH('Re-scaled copper costs'!V$94,'Top Down inputs'!$U$96:$AI$96,0))</f>
        <v>454696.20194191765</v>
      </c>
      <c r="W123" s="26">
        <f>Q123*INDEX('Top Down inputs'!$U$98:$AI$137,MATCH($B123,_xlfn.ANCHORARRAY('Top Down inputs'!$S$98),0),MATCH('Re-scaled copper costs'!W$94,'Top Down inputs'!$U$96:$AI$96,0))</f>
        <v>394634.16291012545</v>
      </c>
      <c r="X123" s="26">
        <f>R123*INDEX('Top Down inputs'!$U$98:$AI$137,MATCH($B123,_xlfn.ANCHORARRAY('Top Down inputs'!$S$98),0),MATCH('Re-scaled copper costs'!X$94,'Top Down inputs'!$U$96:$AI$96,0))</f>
        <v>482213.00356802938</v>
      </c>
    </row>
    <row r="124" spans="2:24" ht="14.65" thickBot="1" x14ac:dyDescent="0.5">
      <c r="B124" s="9" t="s">
        <v>376</v>
      </c>
      <c r="C124" t="s">
        <v>306</v>
      </c>
      <c r="D124" s="90"/>
      <c r="E124" s="178">
        <v>303272.88799594517</v>
      </c>
      <c r="F124" s="90"/>
      <c r="G124" s="90">
        <v>153862.34133157239</v>
      </c>
      <c r="H124" s="90">
        <v>118569.27772915576</v>
      </c>
      <c r="I124" s="90">
        <v>108672.55821702306</v>
      </c>
      <c r="J124" s="90">
        <v>99423.580642610526</v>
      </c>
      <c r="K124" s="90">
        <v>80195.490022954473</v>
      </c>
      <c r="L124" s="90">
        <v>63936.160034212277</v>
      </c>
      <c r="M124" s="90">
        <v>51143.329355988557</v>
      </c>
      <c r="P124" s="28">
        <f>E124/INDEX('Top Down inputs'!$C$98:$Q$137,MATCH('Re-scaled copper costs'!$B124,_xlfn.ANCHORARRAY('Top Down inputs'!$S$98),0),MATCH(P$94,'Top Down inputs'!$C$96:$Q$96,0))</f>
        <v>5.4465243571443516</v>
      </c>
      <c r="Q124" s="28">
        <f t="shared" si="2"/>
        <v>5.3192054476843671</v>
      </c>
      <c r="R124" s="28">
        <f>G124/INDEX('Top Down inputs'!$C$98:$Q$137,MATCH('Re-scaled copper costs'!$B124,_xlfn.ANCHORARRAY('Top Down inputs'!$S$98),0),MATCH(R$94,'Top Down inputs'!$C$96:$Q$96,0))</f>
        <v>5.1918865382243826</v>
      </c>
      <c r="V124" s="26">
        <f>P124*INDEX('Top Down inputs'!$U$98:$AI$137,MATCH($B124,_xlfn.ANCHORARRAY('Top Down inputs'!$S$98),0),MATCH('Re-scaled copper costs'!V$94,'Top Down inputs'!$U$96:$AI$96,0))</f>
        <v>146233.89894194217</v>
      </c>
      <c r="W124" s="26">
        <f>Q124*INDEX('Top Down inputs'!$U$98:$AI$137,MATCH($B124,_xlfn.ANCHORARRAY('Top Down inputs'!$S$98),0),MATCH('Re-scaled copper costs'!W$94,'Top Down inputs'!$U$96:$AI$96,0))</f>
        <v>77990.426874670127</v>
      </c>
      <c r="X124" s="26">
        <f>R124*INDEX('Top Down inputs'!$U$98:$AI$137,MATCH($B124,_xlfn.ANCHORARRAY('Top Down inputs'!$S$98),0),MATCH('Re-scaled copper costs'!X$94,'Top Down inputs'!$U$96:$AI$96,0))</f>
        <v>74190.245695660735</v>
      </c>
    </row>
    <row r="125" spans="2:24" ht="14.65" thickBot="1" x14ac:dyDescent="0.5">
      <c r="B125" s="9" t="s">
        <v>338</v>
      </c>
      <c r="C125" t="s">
        <v>307</v>
      </c>
      <c r="D125" s="90"/>
      <c r="E125" s="178">
        <v>424689.19173136179</v>
      </c>
      <c r="F125" s="90"/>
      <c r="G125" s="90">
        <v>690637.51521224726</v>
      </c>
      <c r="H125" s="90">
        <v>427534.54690810444</v>
      </c>
      <c r="I125" s="90">
        <v>326109.17369577603</v>
      </c>
      <c r="J125" s="90">
        <v>231123.56387647492</v>
      </c>
      <c r="K125" s="90">
        <v>153702.86607966953</v>
      </c>
      <c r="L125" s="90">
        <v>95546.354673309004</v>
      </c>
      <c r="M125" s="90">
        <v>74608.311386963993</v>
      </c>
      <c r="P125" s="28">
        <f>E125/INDEX('Top Down inputs'!$C$98:$Q$137,MATCH('Re-scaled copper costs'!$B125,_xlfn.ANCHORARRAY('Top Down inputs'!$S$98),0),MATCH(P$94,'Top Down inputs'!$C$96:$Q$96,0))</f>
        <v>17.898181025220783</v>
      </c>
      <c r="Q125" s="28">
        <f t="shared" si="2"/>
        <v>65.986935463438186</v>
      </c>
      <c r="R125" s="28">
        <f>G125/INDEX('Top Down inputs'!$C$98:$Q$137,MATCH('Re-scaled copper costs'!$B125,_xlfn.ANCHORARRAY('Top Down inputs'!$S$98),0),MATCH(R$94,'Top Down inputs'!$C$96:$Q$96,0))</f>
        <v>114.07568990165558</v>
      </c>
      <c r="V125" s="26">
        <f>P125*INDEX('Top Down inputs'!$U$98:$AI$137,MATCH($B125,_xlfn.ANCHORARRAY('Top Down inputs'!$S$98),0),MATCH('Re-scaled copper costs'!V$94,'Top Down inputs'!$U$96:$AI$96,0))</f>
        <v>204779.12402842095</v>
      </c>
      <c r="W125" s="26">
        <f>Q125*INDEX('Top Down inputs'!$U$98:$AI$137,MATCH($B125,_xlfn.ANCHORARRAY('Top Down inputs'!$S$98),0),MATCH('Re-scaled copper costs'!W$94,'Top Down inputs'!$U$96:$AI$96,0))</f>
        <v>486454.36069738318</v>
      </c>
      <c r="X125" s="26">
        <f>R125*INDEX('Top Down inputs'!$U$98:$AI$137,MATCH($B125,_xlfn.ANCHORARRAY('Top Down inputs'!$S$98),0),MATCH('Re-scaled copper costs'!X$94,'Top Down inputs'!$U$96:$AI$96,0))</f>
        <v>333015.64565313916</v>
      </c>
    </row>
    <row r="126" spans="2:24" ht="14.65" thickBot="1" x14ac:dyDescent="0.5">
      <c r="B126" s="9" t="s">
        <v>339</v>
      </c>
      <c r="C126" t="s">
        <v>308</v>
      </c>
      <c r="D126" s="90"/>
      <c r="E126" s="178">
        <v>38537.130748341893</v>
      </c>
      <c r="F126" s="90"/>
      <c r="G126" s="90">
        <v>1584.8465771579572</v>
      </c>
      <c r="H126" s="90">
        <v>1404.2113359976674</v>
      </c>
      <c r="I126" s="90">
        <v>1098.6191145517039</v>
      </c>
      <c r="J126" s="90">
        <v>850.19349602595071</v>
      </c>
      <c r="K126" s="90">
        <v>601.38294156529332</v>
      </c>
      <c r="L126" s="90">
        <v>402.19409266781128</v>
      </c>
      <c r="M126" s="90">
        <v>553.84314657183575</v>
      </c>
      <c r="P126" s="28">
        <f>E126/INDEX('Top Down inputs'!$C$98:$Q$137,MATCH('Re-scaled copper costs'!$B126,_xlfn.ANCHORARRAY('Top Down inputs'!$S$98),0),MATCH(P$94,'Top Down inputs'!$C$96:$Q$96,0))</f>
        <v>9.2304365172665968</v>
      </c>
      <c r="Q126" s="28">
        <f t="shared" si="2"/>
        <v>5.5927844572632956</v>
      </c>
      <c r="R126" s="28">
        <f>G126/INDEX('Top Down inputs'!$C$98:$Q$137,MATCH('Re-scaled copper costs'!$B126,_xlfn.ANCHORARRAY('Top Down inputs'!$S$98),0),MATCH(R$94,'Top Down inputs'!$C$96:$Q$96,0))</f>
        <v>1.9551323972599952</v>
      </c>
      <c r="V126" s="26">
        <f>P126*INDEX('Top Down inputs'!$U$98:$AI$137,MATCH($B126,_xlfn.ANCHORARRAY('Top Down inputs'!$S$98),0),MATCH('Re-scaled copper costs'!V$94,'Top Down inputs'!$U$96:$AI$96,0))</f>
        <v>18582.059611740791</v>
      </c>
      <c r="W126" s="26">
        <f>Q126*INDEX('Top Down inputs'!$U$98:$AI$137,MATCH($B126,_xlfn.ANCHORARRAY('Top Down inputs'!$S$98),0),MATCH('Re-scaled copper costs'!W$94,'Top Down inputs'!$U$96:$AI$96,0))</f>
        <v>4493.6212216712638</v>
      </c>
      <c r="X126" s="26">
        <f>R126*INDEX('Top Down inputs'!$U$98:$AI$137,MATCH($B126,_xlfn.ANCHORARRAY('Top Down inputs'!$S$98),0),MATCH('Re-scaled copper costs'!X$94,'Top Down inputs'!$U$96:$AI$96,0))</f>
        <v>764.19061306165406</v>
      </c>
    </row>
    <row r="127" spans="2:24" ht="14.65" thickBot="1" x14ac:dyDescent="0.5">
      <c r="B127" s="9" t="s">
        <v>377</v>
      </c>
      <c r="C127" t="s">
        <v>309</v>
      </c>
      <c r="D127" s="90"/>
      <c r="E127" s="178">
        <v>5811561.1019512787</v>
      </c>
      <c r="F127" s="90"/>
      <c r="G127" s="90">
        <v>12738175.262869706</v>
      </c>
      <c r="H127" s="90">
        <v>4645475.9349403698</v>
      </c>
      <c r="I127" s="90">
        <v>4139144.8279634132</v>
      </c>
      <c r="J127" s="90">
        <v>2871535.8280919311</v>
      </c>
      <c r="K127" s="90">
        <v>2095611.4903625669</v>
      </c>
      <c r="L127" s="90">
        <v>1279674.9775210633</v>
      </c>
      <c r="M127" s="90">
        <v>362334.22905409505</v>
      </c>
      <c r="P127" s="28">
        <f>E127/INDEX('Top Down inputs'!$C$98:$Q$137,MATCH('Re-scaled copper costs'!$B127,_xlfn.ANCHORARRAY('Top Down inputs'!$S$98),0),MATCH(P$94,'Top Down inputs'!$C$96:$Q$96,0))</f>
        <v>56.655936751780786</v>
      </c>
      <c r="Q127" s="28">
        <f t="shared" si="2"/>
        <v>134.81688538098069</v>
      </c>
      <c r="R127" s="28">
        <f>G127/INDEX('Top Down inputs'!$C$98:$Q$137,MATCH('Re-scaled copper costs'!$B127,_xlfn.ANCHORARRAY('Top Down inputs'!$S$98),0),MATCH(R$94,'Top Down inputs'!$C$96:$Q$96,0))</f>
        <v>212.97783401018057</v>
      </c>
      <c r="V127" s="26">
        <f>P127*INDEX('Top Down inputs'!$U$98:$AI$137,MATCH($B127,_xlfn.ANCHORARRAY('Top Down inputs'!$S$98),0),MATCH('Re-scaled copper costs'!V$94,'Top Down inputs'!$U$96:$AI$96,0))</f>
        <v>2802252.5999390627</v>
      </c>
      <c r="W127" s="26">
        <f>Q127*INDEX('Top Down inputs'!$U$98:$AI$137,MATCH($B127,_xlfn.ANCHORARRAY('Top Down inputs'!$S$98),0),MATCH('Re-scaled copper costs'!W$94,'Top Down inputs'!$U$96:$AI$96,0))</f>
        <v>5142324.2615656937</v>
      </c>
      <c r="X127" s="26">
        <f>R127*INDEX('Top Down inputs'!$U$98:$AI$137,MATCH($B127,_xlfn.ANCHORARRAY('Top Down inputs'!$S$98),0),MATCH('Re-scaled copper costs'!X$94,'Top Down inputs'!$U$96:$AI$96,0))</f>
        <v>6142168.0203742515</v>
      </c>
    </row>
    <row r="128" spans="2:24" ht="14.65" thickBot="1" x14ac:dyDescent="0.5">
      <c r="B128" s="9" t="s">
        <v>378</v>
      </c>
      <c r="C128" t="s">
        <v>310</v>
      </c>
      <c r="D128" s="90"/>
      <c r="E128" s="178">
        <v>85552580.804881677</v>
      </c>
      <c r="F128" s="90"/>
      <c r="G128" s="90">
        <v>147856794.39173609</v>
      </c>
      <c r="H128" s="90">
        <v>52329328.069269821</v>
      </c>
      <c r="I128" s="90">
        <v>48046227.745820306</v>
      </c>
      <c r="J128" s="90">
        <v>33314526.787297104</v>
      </c>
      <c r="K128" s="90">
        <v>24351216.581965733</v>
      </c>
      <c r="L128" s="90">
        <v>14882077.156812865</v>
      </c>
      <c r="M128" s="90">
        <v>4209046.7895875163</v>
      </c>
      <c r="P128" s="28">
        <f>E128/INDEX('Top Down inputs'!$C$98:$Q$137,MATCH('Re-scaled copper costs'!$B128,_xlfn.ANCHORARRAY('Top Down inputs'!$S$98),0),MATCH(P$94,'Top Down inputs'!$C$96:$Q$96,0))</f>
        <v>60.654430823540707</v>
      </c>
      <c r="Q128" s="28">
        <f t="shared" si="2"/>
        <v>108.26876928951613</v>
      </c>
      <c r="R128" s="28">
        <f>G128/INDEX('Top Down inputs'!$C$98:$Q$137,MATCH('Re-scaled copper costs'!$B128,_xlfn.ANCHORARRAY('Top Down inputs'!$S$98),0),MATCH(R$94,'Top Down inputs'!$C$96:$Q$96,0))</f>
        <v>155.88310775549155</v>
      </c>
      <c r="V128" s="26">
        <f>P128*INDEX('Top Down inputs'!$U$98:$AI$137,MATCH($B128,_xlfn.ANCHORARRAY('Top Down inputs'!$S$98),0),MATCH('Re-scaled copper costs'!V$94,'Top Down inputs'!$U$96:$AI$96,0))</f>
        <v>41252244.928042106</v>
      </c>
      <c r="W128" s="26">
        <f>Q128*INDEX('Top Down inputs'!$U$98:$AI$137,MATCH($B128,_xlfn.ANCHORARRAY('Top Down inputs'!$S$98),0),MATCH('Re-scaled copper costs'!W$94,'Top Down inputs'!$U$96:$AI$96,0))</f>
        <v>63342805.089764014</v>
      </c>
      <c r="X128" s="26">
        <f>R128*INDEX('Top Down inputs'!$U$98:$AI$137,MATCH($B128,_xlfn.ANCHORARRAY('Top Down inputs'!$S$98),0),MATCH('Re-scaled copper costs'!X$94,'Top Down inputs'!$U$96:$AI$96,0))</f>
        <v>71294455.867250964</v>
      </c>
    </row>
    <row r="129" spans="2:24" ht="14.65" thickBot="1" x14ac:dyDescent="0.5">
      <c r="B129" s="9" t="s">
        <v>379</v>
      </c>
      <c r="C129" t="s">
        <v>311</v>
      </c>
      <c r="D129" s="90"/>
      <c r="E129" s="178">
        <v>11894657.786227703</v>
      </c>
      <c r="F129" s="90"/>
      <c r="G129" s="90">
        <v>22469423.100779094</v>
      </c>
      <c r="H129" s="90">
        <v>7636528.3007867606</v>
      </c>
      <c r="I129" s="90">
        <v>6902742.8977507949</v>
      </c>
      <c r="J129" s="90">
        <v>4792385.1460286379</v>
      </c>
      <c r="K129" s="90">
        <v>3545466.87327827</v>
      </c>
      <c r="L129" s="90">
        <v>2169194.6524669556</v>
      </c>
      <c r="M129" s="90">
        <v>619133.2864304207</v>
      </c>
      <c r="P129" s="28">
        <f>E129/INDEX('Top Down inputs'!$C$98:$Q$137,MATCH('Re-scaled copper costs'!$B129,_xlfn.ANCHORARRAY('Top Down inputs'!$S$98),0),MATCH(P$94,'Top Down inputs'!$C$96:$Q$96,0))</f>
        <v>74.834902322639863</v>
      </c>
      <c r="Q129" s="28">
        <f t="shared" si="2"/>
        <v>132.41965167653365</v>
      </c>
      <c r="R129" s="28">
        <f>G129/INDEX('Top Down inputs'!$C$98:$Q$137,MATCH('Re-scaled copper costs'!$B129,_xlfn.ANCHORARRAY('Top Down inputs'!$S$98),0),MATCH(R$94,'Top Down inputs'!$C$96:$Q$96,0))</f>
        <v>190.0044010304274</v>
      </c>
      <c r="V129" s="26">
        <f>P129*INDEX('Top Down inputs'!$U$98:$AI$137,MATCH($B129,_xlfn.ANCHORARRAY('Top Down inputs'!$S$98),0),MATCH('Re-scaled copper costs'!V$94,'Top Down inputs'!$U$96:$AI$96,0))</f>
        <v>5735435.8187252935</v>
      </c>
      <c r="W129" s="26">
        <f>Q129*INDEX('Top Down inputs'!$U$98:$AI$137,MATCH($B129,_xlfn.ANCHORARRAY('Top Down inputs'!$S$98),0),MATCH('Re-scaled copper costs'!W$94,'Top Down inputs'!$U$96:$AI$96,0))</f>
        <v>9506756.6097260956</v>
      </c>
      <c r="X129" s="26">
        <f>R129*INDEX('Top Down inputs'!$U$98:$AI$137,MATCH($B129,_xlfn.ANCHORARRAY('Top Down inputs'!$S$98),0),MATCH('Re-scaled copper costs'!X$94,'Top Down inputs'!$U$96:$AI$96,0))</f>
        <v>10834438.148150597</v>
      </c>
    </row>
    <row r="130" spans="2:24" ht="14.65" thickBot="1" x14ac:dyDescent="0.5">
      <c r="B130" s="9" t="s">
        <v>380</v>
      </c>
      <c r="C130" t="s">
        <v>312</v>
      </c>
      <c r="D130" s="90"/>
      <c r="E130" s="178">
        <v>36698167.613360316</v>
      </c>
      <c r="F130" s="90"/>
      <c r="G130" s="90">
        <v>41099862.068354927</v>
      </c>
      <c r="H130" s="90">
        <v>13704950.074877296</v>
      </c>
      <c r="I130" s="90">
        <v>12598603.087242644</v>
      </c>
      <c r="J130" s="90">
        <v>8658315.6470496338</v>
      </c>
      <c r="K130" s="90">
        <v>6478081.3927118024</v>
      </c>
      <c r="L130" s="90">
        <v>3862734.2264712439</v>
      </c>
      <c r="M130" s="90">
        <v>1101676.6457512043</v>
      </c>
      <c r="P130" s="28">
        <f>E130/INDEX('Top Down inputs'!$C$98:$Q$137,MATCH('Re-scaled copper costs'!$B130,_xlfn.ANCHORARRAY('Top Down inputs'!$S$98),0),MATCH(P$94,'Top Down inputs'!$C$96:$Q$96,0))</f>
        <v>69.892683281511864</v>
      </c>
      <c r="Q130" s="28">
        <f t="shared" si="2"/>
        <v>127.34963647824679</v>
      </c>
      <c r="R130" s="28">
        <f>G130/INDEX('Top Down inputs'!$C$98:$Q$137,MATCH('Re-scaled copper costs'!$B130,_xlfn.ANCHORARRAY('Top Down inputs'!$S$98),0),MATCH(R$94,'Top Down inputs'!$C$96:$Q$96,0))</f>
        <v>184.80658967498172</v>
      </c>
      <c r="V130" s="26">
        <f>P130*INDEX('Top Down inputs'!$U$98:$AI$137,MATCH($B130,_xlfn.ANCHORARRAY('Top Down inputs'!$S$98),0),MATCH('Re-scaled copper costs'!V$94,'Top Down inputs'!$U$96:$AI$96,0))</f>
        <v>17695337.587177724</v>
      </c>
      <c r="W130" s="26">
        <f>Q130*INDEX('Top Down inputs'!$U$98:$AI$137,MATCH($B130,_xlfn.ANCHORARRAY('Top Down inputs'!$S$98),0),MATCH('Re-scaled copper costs'!W$94,'Top Down inputs'!$U$96:$AI$96,0))</f>
        <v>17455000.021157861</v>
      </c>
      <c r="X130" s="26">
        <f>R130*INDEX('Top Down inputs'!$U$98:$AI$137,MATCH($B130,_xlfn.ANCHORARRAY('Top Down inputs'!$S$98),0),MATCH('Re-scaled copper costs'!X$94,'Top Down inputs'!$U$96:$AI$96,0))</f>
        <v>19817772.422544859</v>
      </c>
    </row>
    <row r="131" spans="2:24" ht="14.65" thickBot="1" x14ac:dyDescent="0.5">
      <c r="B131" s="9" t="s">
        <v>340</v>
      </c>
      <c r="C131" t="s">
        <v>313</v>
      </c>
      <c r="D131" s="90"/>
      <c r="E131" s="178">
        <v>27894.875001888548</v>
      </c>
      <c r="F131" s="90"/>
      <c r="G131" s="90">
        <v>12131.15905972463</v>
      </c>
      <c r="H131" s="90">
        <v>4174.9457515712793</v>
      </c>
      <c r="I131" s="90">
        <v>2551.9511424950474</v>
      </c>
      <c r="J131" s="90">
        <v>1560.0250549472869</v>
      </c>
      <c r="K131" s="90">
        <v>1031.0360497385868</v>
      </c>
      <c r="L131" s="90">
        <v>538.47997365538299</v>
      </c>
      <c r="M131" s="90">
        <v>360.14787748587173</v>
      </c>
      <c r="P131" s="28">
        <f>E131/INDEX('Top Down inputs'!$C$98:$Q$137,MATCH('Re-scaled copper costs'!$B131,_xlfn.ANCHORARRAY('Top Down inputs'!$S$98),0),MATCH(P$94,'Top Down inputs'!$C$96:$Q$96,0))</f>
        <v>18.580383467086982</v>
      </c>
      <c r="Q131" s="28">
        <f t="shared" si="2"/>
        <v>35.360987724601372</v>
      </c>
      <c r="R131" s="28">
        <f>G131/INDEX('Top Down inputs'!$C$98:$Q$137,MATCH('Re-scaled copper costs'!$B131,_xlfn.ANCHORARRAY('Top Down inputs'!$S$98),0),MATCH(R$94,'Top Down inputs'!$C$96:$Q$96,0))</f>
        <v>52.14159198211577</v>
      </c>
      <c r="V131" s="26">
        <f>P131*INDEX('Top Down inputs'!$U$98:$AI$137,MATCH($B131,_xlfn.ANCHORARRAY('Top Down inputs'!$S$98),0),MATCH('Re-scaled copper costs'!V$94,'Top Down inputs'!$U$96:$AI$96,0))</f>
        <v>13450.514350227108</v>
      </c>
      <c r="W131" s="26">
        <f>Q131*INDEX('Top Down inputs'!$U$98:$AI$137,MATCH($B131,_xlfn.ANCHORARRAY('Top Down inputs'!$S$98),0),MATCH('Re-scaled copper costs'!W$94,'Top Down inputs'!$U$96:$AI$96,0))</f>
        <v>10672.692071741327</v>
      </c>
      <c r="X131" s="26">
        <f>R131*INDEX('Top Down inputs'!$U$98:$AI$137,MATCH($B131,_xlfn.ANCHORARRAY('Top Down inputs'!$S$98),0),MATCH('Re-scaled copper costs'!X$94,'Top Down inputs'!$U$96:$AI$96,0))</f>
        <v>5849.4733891679653</v>
      </c>
    </row>
    <row r="132" spans="2:24" ht="14.65" thickBot="1" x14ac:dyDescent="0.5">
      <c r="B132" s="9" t="s">
        <v>341</v>
      </c>
      <c r="C132" t="s">
        <v>314</v>
      </c>
      <c r="D132" s="90"/>
      <c r="E132" s="178">
        <v>498995.10478032118</v>
      </c>
      <c r="F132" s="90"/>
      <c r="G132" s="90">
        <v>114630.72337465633</v>
      </c>
      <c r="H132" s="90">
        <v>39125.526451990256</v>
      </c>
      <c r="I132" s="90">
        <v>23907.025472928512</v>
      </c>
      <c r="J132" s="90">
        <v>14628.4715097474</v>
      </c>
      <c r="K132" s="90">
        <v>9670.4632305971045</v>
      </c>
      <c r="L132" s="90">
        <v>5055.2952137580714</v>
      </c>
      <c r="M132" s="90">
        <v>3480.0345819826239</v>
      </c>
      <c r="P132" s="28">
        <f>E132/INDEX('Top Down inputs'!$C$98:$Q$137,MATCH('Re-scaled copper costs'!$B132,_xlfn.ANCHORARRAY('Top Down inputs'!$S$98),0),MATCH(P$94,'Top Down inputs'!$C$96:$Q$96,0))</f>
        <v>19.316939696483711</v>
      </c>
      <c r="Q132" s="28">
        <f t="shared" si="2"/>
        <v>29.80628486157871</v>
      </c>
      <c r="R132" s="28">
        <f>G132/INDEX('Top Down inputs'!$C$98:$Q$137,MATCH('Re-scaled copper costs'!$B132,_xlfn.ANCHORARRAY('Top Down inputs'!$S$98),0),MATCH(R$94,'Top Down inputs'!$C$96:$Q$96,0))</f>
        <v>40.295630026673713</v>
      </c>
      <c r="V132" s="26">
        <f>P132*INDEX('Top Down inputs'!$U$98:$AI$137,MATCH($B132,_xlfn.ANCHORARRAY('Top Down inputs'!$S$98),0),MATCH('Re-scaled copper costs'!V$94,'Top Down inputs'!$U$96:$AI$96,0))</f>
        <v>240608.3847691158</v>
      </c>
      <c r="W132" s="26">
        <f>Q132*INDEX('Top Down inputs'!$U$98:$AI$137,MATCH($B132,_xlfn.ANCHORARRAY('Top Down inputs'!$S$98),0),MATCH('Re-scaled copper costs'!W$94,'Top Down inputs'!$U$96:$AI$96,0))</f>
        <v>125518.80703288816</v>
      </c>
      <c r="X132" s="26">
        <f>R132*INDEX('Top Down inputs'!$U$98:$AI$137,MATCH($B132,_xlfn.ANCHORARRAY('Top Down inputs'!$S$98),0),MATCH('Re-scaled copper costs'!X$94,'Top Down inputs'!$U$96:$AI$96,0))</f>
        <v>55273.314170554368</v>
      </c>
    </row>
    <row r="133" spans="2:24" ht="14.65" thickBot="1" x14ac:dyDescent="0.5">
      <c r="B133" s="9" t="s">
        <v>342</v>
      </c>
      <c r="C133" t="s">
        <v>315</v>
      </c>
      <c r="D133" s="90"/>
      <c r="E133" s="178">
        <v>238941.28442621944</v>
      </c>
      <c r="F133" s="90"/>
      <c r="G133" s="90">
        <v>9149.1673145313798</v>
      </c>
      <c r="H133" s="90">
        <v>2842.5325908421514</v>
      </c>
      <c r="I133" s="90">
        <v>1737.5991643029454</v>
      </c>
      <c r="J133" s="90">
        <v>1063.0205691677711</v>
      </c>
      <c r="K133" s="90">
        <v>702.63839481256707</v>
      </c>
      <c r="L133" s="90">
        <v>367.21044100035294</v>
      </c>
      <c r="M133" s="90">
        <v>250.7268797794614</v>
      </c>
      <c r="P133" s="28">
        <f>E133/INDEX('Top Down inputs'!$C$98:$Q$137,MATCH('Re-scaled copper costs'!$B133,_xlfn.ANCHORARRAY('Top Down inputs'!$S$98),0),MATCH(P$94,'Top Down inputs'!$C$96:$Q$96,0))</f>
        <v>29.218349467209876</v>
      </c>
      <c r="Q133" s="28">
        <f t="shared" si="2"/>
        <v>20.494342770958134</v>
      </c>
      <c r="R133" s="28">
        <f>G133/INDEX('Top Down inputs'!$C$98:$Q$137,MATCH('Re-scaled copper costs'!$B133,_xlfn.ANCHORARRAY('Top Down inputs'!$S$98),0),MATCH(R$94,'Top Down inputs'!$C$96:$Q$96,0))</f>
        <v>11.770336074706389</v>
      </c>
      <c r="V133" s="26">
        <f>P133*INDEX('Top Down inputs'!$U$98:$AI$137,MATCH($B133,_xlfn.ANCHORARRAY('Top Down inputs'!$S$98),0),MATCH('Re-scaled copper costs'!V$94,'Top Down inputs'!$U$96:$AI$96,0))</f>
        <v>115214.1092160827</v>
      </c>
      <c r="W133" s="26">
        <f>Q133*INDEX('Top Down inputs'!$U$98:$AI$137,MATCH($B133,_xlfn.ANCHORARRAY('Top Down inputs'!$S$98),0),MATCH('Re-scaled copper costs'!W$94,'Top Down inputs'!$U$96:$AI$96,0))</f>
        <v>18655.060148010918</v>
      </c>
      <c r="X133" s="26">
        <f>R133*INDEX('Top Down inputs'!$U$98:$AI$137,MATCH($B133,_xlfn.ANCHORARRAY('Top Down inputs'!$S$98),0),MATCH('Re-scaled copper costs'!X$94,'Top Down inputs'!$U$96:$AI$96,0))</f>
        <v>4411.5991288149398</v>
      </c>
    </row>
    <row r="134" spans="2:24" x14ac:dyDescent="0.45">
      <c r="B134" s="9" t="s">
        <v>343</v>
      </c>
      <c r="C134" t="s">
        <v>316</v>
      </c>
      <c r="D134" s="90"/>
      <c r="E134" s="178">
        <v>99525.537874684014</v>
      </c>
      <c r="F134" s="90"/>
      <c r="G134" s="90">
        <v>13306.67228738314</v>
      </c>
      <c r="H134" s="90">
        <v>4126.2175530709292</v>
      </c>
      <c r="I134" s="90">
        <v>2522.3111702837159</v>
      </c>
      <c r="J134" s="90">
        <v>1543.9350101626403</v>
      </c>
      <c r="K134" s="90">
        <v>1020.7798528034351</v>
      </c>
      <c r="L134" s="90">
        <v>533.69841712347534</v>
      </c>
      <c r="M134" s="90">
        <v>370.77792146462065</v>
      </c>
      <c r="P134" s="28">
        <f>E134/INDEX('Top Down inputs'!$C$98:$Q$137,MATCH('Re-scaled copper costs'!$B134,_xlfn.ANCHORARRAY('Top Down inputs'!$S$98),0),MATCH(P$94,'Top Down inputs'!$C$96:$Q$96,0))</f>
        <v>39.28491323640695</v>
      </c>
      <c r="Q134" s="28">
        <f t="shared" si="2"/>
        <v>34.477940447034328</v>
      </c>
      <c r="R134" s="28">
        <f>G134/INDEX('Top Down inputs'!$C$98:$Q$137,MATCH('Re-scaled copper costs'!$B134,_xlfn.ANCHORARRAY('Top Down inputs'!$S$98),0),MATCH(R$94,'Top Down inputs'!$C$96:$Q$96,0))</f>
        <v>29.670967657661706</v>
      </c>
      <c r="V134" s="26">
        <f>P134*INDEX('Top Down inputs'!$U$98:$AI$137,MATCH($B134,_xlfn.ANCHORARRAY('Top Down inputs'!$S$98),0),MATCH('Re-scaled copper costs'!V$94,'Top Down inputs'!$U$96:$AI$96,0))</f>
        <v>47989.80727846524</v>
      </c>
      <c r="W134" s="26">
        <f>Q134*INDEX('Top Down inputs'!$U$98:$AI$137,MATCH($B134,_xlfn.ANCHORARRAY('Top Down inputs'!$S$98),0),MATCH('Re-scaled copper costs'!W$94,'Top Down inputs'!$U$96:$AI$96,0))</f>
        <v>15910.417569698962</v>
      </c>
      <c r="X134" s="26">
        <f>R134*INDEX('Top Down inputs'!$U$98:$AI$137,MATCH($B134,_xlfn.ANCHORARRAY('Top Down inputs'!$S$98),0),MATCH('Re-scaled copper costs'!X$94,'Top Down inputs'!$U$96:$AI$96,0))</f>
        <v>6416.289248225663</v>
      </c>
    </row>
    <row r="135" spans="2:24" x14ac:dyDescent="0.45">
      <c r="B135" s="9"/>
    </row>
    <row r="136" spans="2:24" x14ac:dyDescent="0.45">
      <c r="B136" s="9"/>
      <c r="G136" s="230" t="s">
        <v>452</v>
      </c>
      <c r="H136" s="230"/>
      <c r="I136" s="230"/>
      <c r="J136" s="230"/>
      <c r="K136" s="230"/>
      <c r="L136" s="230"/>
      <c r="M136" s="230"/>
    </row>
    <row r="137" spans="2:24" x14ac:dyDescent="0.45">
      <c r="B137" s="9"/>
      <c r="E137" s="169" t="s">
        <v>457</v>
      </c>
      <c r="G137" s="230" t="s">
        <v>456</v>
      </c>
      <c r="H137" s="230"/>
      <c r="I137" s="230"/>
      <c r="J137" s="230"/>
      <c r="K137" s="230"/>
      <c r="L137" s="230"/>
      <c r="M137" s="230"/>
    </row>
    <row r="138" spans="2:24" x14ac:dyDescent="0.45">
      <c r="D138" s="12"/>
      <c r="E138" s="170" t="s">
        <v>419</v>
      </c>
      <c r="G138" s="170" t="s">
        <v>419</v>
      </c>
      <c r="H138" s="171" t="s">
        <v>420</v>
      </c>
      <c r="I138" s="171"/>
      <c r="J138" s="171"/>
      <c r="K138" s="171"/>
      <c r="L138" s="171"/>
      <c r="M138" s="171"/>
    </row>
    <row r="139" spans="2:24" ht="14.65" thickBot="1" x14ac:dyDescent="0.5">
      <c r="B139" s="11" t="s">
        <v>416</v>
      </c>
      <c r="C139" s="8" t="s">
        <v>417</v>
      </c>
      <c r="D139" s="15" t="s">
        <v>5</v>
      </c>
      <c r="E139" s="15" t="s">
        <v>6</v>
      </c>
      <c r="F139" s="16" t="s">
        <v>7</v>
      </c>
      <c r="G139" s="16" t="s">
        <v>8</v>
      </c>
      <c r="H139" s="15" t="s">
        <v>9</v>
      </c>
      <c r="I139" s="15">
        <v>2026.27</v>
      </c>
      <c r="J139" s="15" t="s">
        <v>11</v>
      </c>
      <c r="K139" s="16" t="s">
        <v>12</v>
      </c>
      <c r="L139" s="16" t="s">
        <v>13</v>
      </c>
      <c r="M139" s="15" t="s">
        <v>14</v>
      </c>
      <c r="O139" s="15" t="s">
        <v>5</v>
      </c>
      <c r="P139" s="15" t="s">
        <v>6</v>
      </c>
      <c r="Q139" s="16" t="s">
        <v>7</v>
      </c>
      <c r="R139" s="16" t="s">
        <v>8</v>
      </c>
      <c r="U139" s="15" t="s">
        <v>5</v>
      </c>
      <c r="V139" s="15" t="s">
        <v>6</v>
      </c>
      <c r="W139" s="16" t="s">
        <v>7</v>
      </c>
      <c r="X139" s="16" t="s">
        <v>8</v>
      </c>
    </row>
    <row r="140" spans="2:24" ht="14.65" thickBot="1" x14ac:dyDescent="0.5">
      <c r="B140" s="9" t="s">
        <v>361</v>
      </c>
      <c r="C140" t="s">
        <v>274</v>
      </c>
      <c r="D140" s="90"/>
      <c r="E140" s="178">
        <v>585856.40744959435</v>
      </c>
      <c r="F140" s="90"/>
      <c r="G140" s="90">
        <v>488887.0790337323</v>
      </c>
      <c r="H140" s="90">
        <v>216231.64227454682</v>
      </c>
      <c r="I140" s="90">
        <v>148261.64064015989</v>
      </c>
      <c r="J140" s="90">
        <v>54673.32609948609</v>
      </c>
      <c r="K140" s="90">
        <v>42255.662386779979</v>
      </c>
      <c r="L140" s="90">
        <v>39159.631501739546</v>
      </c>
      <c r="M140" s="90">
        <v>39351.011588029309</v>
      </c>
      <c r="P140" s="28">
        <f>E140/INDEX('Top Down inputs'!$C$98:$Q$137,MATCH('Re-scaled copper costs'!$B140,_xlfn.ANCHORARRAY('Top Down inputs'!$S$98),0),MATCH(P$139,'Top Down inputs'!$C$96:$Q$96,0))</f>
        <v>78.555087221082417</v>
      </c>
      <c r="Q140" s="28">
        <f>AVERAGE(P140,R140)</f>
        <v>153.91636818940668</v>
      </c>
      <c r="R140" s="28">
        <f>G140/INDEX('Top Down inputs'!$C$98:$Q$137,MATCH('Re-scaled copper costs'!$B140,_xlfn.ANCHORARRAY('Top Down inputs'!$S$98),0),MATCH(R$139,'Top Down inputs'!$C$96:$Q$96,0))</f>
        <v>229.27764915773093</v>
      </c>
      <c r="V140" s="26">
        <f>P140*INDEX('Top Down inputs'!$U$98:$AI$137,MATCH($B140,_xlfn.ANCHORARRAY('Top Down inputs'!$S$98),0),MATCH('Re-scaled copper costs'!V$139,'Top Down inputs'!$U$96:$AI$96,0))</f>
        <v>282491.67687755439</v>
      </c>
      <c r="W140" s="26">
        <f>Q140*INDEX('Top Down inputs'!$U$98:$AI$137,MATCH($B140,_xlfn.ANCHORARRAY('Top Down inputs'!$S$98),0),MATCH('Re-scaled copper costs'!W$139,'Top Down inputs'!$U$96:$AI$96,0))</f>
        <v>349539.89224279643</v>
      </c>
      <c r="X140" s="26">
        <f>R140*INDEX('Top Down inputs'!$U$98:$AI$137,MATCH($B140,_xlfn.ANCHORARRAY('Top Down inputs'!$S$98),0),MATCH('Re-scaled copper costs'!X$139,'Top Down inputs'!$U$96:$AI$96,0))</f>
        <v>235734.43766063245</v>
      </c>
    </row>
    <row r="141" spans="2:24" ht="14.65" thickBot="1" x14ac:dyDescent="0.5">
      <c r="B141" s="9" t="s">
        <v>362</v>
      </c>
      <c r="C141" t="s">
        <v>276</v>
      </c>
      <c r="D141" s="90"/>
      <c r="E141" s="178">
        <v>1805.484053119103</v>
      </c>
      <c r="F141" s="90"/>
      <c r="G141" s="90">
        <v>1674.9218462171345</v>
      </c>
      <c r="H141" s="90">
        <v>723.2909271592747</v>
      </c>
      <c r="I141" s="90">
        <v>488.35908609120662</v>
      </c>
      <c r="J141" s="90">
        <v>180.45010483021716</v>
      </c>
      <c r="K141" s="90">
        <v>137.49542879944337</v>
      </c>
      <c r="L141" s="90">
        <v>125.47312438539593</v>
      </c>
      <c r="M141" s="90">
        <v>125.08366814834761</v>
      </c>
      <c r="P141" s="28">
        <f>E141/INDEX('Top Down inputs'!$C$98:$Q$137,MATCH('Re-scaled copper costs'!$B141,_xlfn.ANCHORARRAY('Top Down inputs'!$S$98),0),MATCH(P$139,'Top Down inputs'!$C$96:$Q$96,0))</f>
        <v>63.120613409722701</v>
      </c>
      <c r="Q141" s="28">
        <f t="shared" ref="Q141:Q179" si="3">AVERAGE(P141,R141)</f>
        <v>150.89179889025027</v>
      </c>
      <c r="R141" s="28">
        <f>G141/INDEX('Top Down inputs'!$C$98:$Q$137,MATCH('Re-scaled copper costs'!$B141,_xlfn.ANCHORARRAY('Top Down inputs'!$S$98),0),MATCH(R$139,'Top Down inputs'!$C$96:$Q$96,0))</f>
        <v>238.66298437077782</v>
      </c>
      <c r="U141" s="28"/>
      <c r="V141" s="26">
        <f>P141*INDEX('Top Down inputs'!$U$98:$AI$137,MATCH($B141,_xlfn.ANCHORARRAY('Top Down inputs'!$S$98),0),MATCH('Re-scaled copper costs'!V$139,'Top Down inputs'!$U$96:$AI$96,0))</f>
        <v>870.57888461377115</v>
      </c>
      <c r="W141" s="26">
        <f>Q141*INDEX('Top Down inputs'!$U$98:$AI$137,MATCH($B141,_xlfn.ANCHORARRAY('Top Down inputs'!$S$98),0),MATCH('Re-scaled copper costs'!W$139,'Top Down inputs'!$U$96:$AI$96,0))</f>
        <v>786.39556634904568</v>
      </c>
      <c r="X141" s="26">
        <f>R141*INDEX('Top Down inputs'!$U$98:$AI$137,MATCH($B141,_xlfn.ANCHORARRAY('Top Down inputs'!$S$98),0),MATCH('Re-scaled copper costs'!X$139,'Top Down inputs'!$U$96:$AI$96,0))</f>
        <v>807.62363432448478</v>
      </c>
    </row>
    <row r="142" spans="2:24" ht="14.65" thickBot="1" x14ac:dyDescent="0.5">
      <c r="B142" s="9" t="s">
        <v>363</v>
      </c>
      <c r="C142" t="s">
        <v>277</v>
      </c>
      <c r="D142" s="90"/>
      <c r="E142" s="178">
        <v>9405393.6214725822</v>
      </c>
      <c r="F142" s="90"/>
      <c r="G142" s="90">
        <v>12580073.89095879</v>
      </c>
      <c r="H142" s="90">
        <v>4071306.8638855568</v>
      </c>
      <c r="I142" s="90">
        <v>2927620.6478447812</v>
      </c>
      <c r="J142" s="90">
        <v>1138579.6026918842</v>
      </c>
      <c r="K142" s="90">
        <v>892024.97672214196</v>
      </c>
      <c r="L142" s="90">
        <v>837834.66470254015</v>
      </c>
      <c r="M142" s="90">
        <v>854758.13580146851</v>
      </c>
      <c r="P142" s="28">
        <f>E142/INDEX('Top Down inputs'!$C$98:$Q$137,MATCH('Re-scaled copper costs'!$B142,_xlfn.ANCHORARRAY('Top Down inputs'!$S$98),0),MATCH(P$139,'Top Down inputs'!$C$96:$Q$96,0))</f>
        <v>145.19169427464456</v>
      </c>
      <c r="Q142" s="28">
        <f t="shared" si="3"/>
        <v>199.19565229366145</v>
      </c>
      <c r="R142" s="28">
        <f>G142/INDEX('Top Down inputs'!$C$98:$Q$137,MATCH('Re-scaled copper costs'!$B142,_xlfn.ANCHORARRAY('Top Down inputs'!$S$98),0),MATCH(R$139,'Top Down inputs'!$C$96:$Q$96,0))</f>
        <v>253.19961031267835</v>
      </c>
      <c r="V142" s="26">
        <f>P142*INDEX('Top Down inputs'!$U$98:$AI$137,MATCH($B142,_xlfn.ANCHORARRAY('Top Down inputs'!$S$98),0),MATCH('Re-scaled copper costs'!V$139,'Top Down inputs'!$U$96:$AI$96,0))</f>
        <v>4535147.8315133741</v>
      </c>
      <c r="W142" s="26">
        <f>Q142*INDEX('Top Down inputs'!$U$98:$AI$137,MATCH($B142,_xlfn.ANCHORARRAY('Top Down inputs'!$S$98),0),MATCH('Re-scaled copper costs'!W$139,'Top Down inputs'!$U$96:$AI$96,0))</f>
        <v>4974143.8686038712</v>
      </c>
      <c r="X142" s="26">
        <f>R142*INDEX('Top Down inputs'!$U$98:$AI$137,MATCH($B142,_xlfn.ANCHORARRAY('Top Down inputs'!$S$98),0),MATCH('Re-scaled copper costs'!X$139,'Top Down inputs'!$U$96:$AI$96,0))</f>
        <v>6065933.7740643322</v>
      </c>
    </row>
    <row r="143" spans="2:24" ht="14.65" thickBot="1" x14ac:dyDescent="0.5">
      <c r="B143" s="9" t="s">
        <v>364</v>
      </c>
      <c r="C143" t="s">
        <v>278</v>
      </c>
      <c r="D143" s="90"/>
      <c r="E143" s="178">
        <v>102573547.17984532</v>
      </c>
      <c r="F143" s="90"/>
      <c r="G143" s="90">
        <v>152721934.56185403</v>
      </c>
      <c r="H143" s="90">
        <v>49611089.818124443</v>
      </c>
      <c r="I143" s="90">
        <v>36583206.265053794</v>
      </c>
      <c r="J143" s="90">
        <v>13648588.421177549</v>
      </c>
      <c r="K143" s="90">
        <v>10608738.832128821</v>
      </c>
      <c r="L143" s="90">
        <v>9801978.5348038767</v>
      </c>
      <c r="M143" s="90">
        <v>10024747.63258964</v>
      </c>
      <c r="P143" s="28">
        <f>E143/INDEX('Top Down inputs'!$C$98:$Q$137,MATCH('Re-scaled copper costs'!$B143,_xlfn.ANCHORARRAY('Top Down inputs'!$S$98),0),MATCH(P$139,'Top Down inputs'!$C$96:$Q$96,0))</f>
        <v>106.20282758804316</v>
      </c>
      <c r="Q143" s="28">
        <f t="shared" si="3"/>
        <v>168.20535260795043</v>
      </c>
      <c r="R143" s="28">
        <f>G143/INDEX('Top Down inputs'!$C$98:$Q$137,MATCH('Re-scaled copper costs'!$B143,_xlfn.ANCHORARRAY('Top Down inputs'!$S$98),0),MATCH(R$139,'Top Down inputs'!$C$96:$Q$96,0))</f>
        <v>230.20787762785773</v>
      </c>
      <c r="V143" s="26">
        <f>P143*INDEX('Top Down inputs'!$U$98:$AI$137,MATCH($B143,_xlfn.ANCHORARRAY('Top Down inputs'!$S$98),0),MATCH('Re-scaled copper costs'!V$139,'Top Down inputs'!$U$96:$AI$96,0))</f>
        <v>49459514.272883467</v>
      </c>
      <c r="W143" s="26">
        <f>Q143*INDEX('Top Down inputs'!$U$98:$AI$137,MATCH($B143,_xlfn.ANCHORARRAY('Top Down inputs'!$S$98),0),MATCH('Re-scaled copper costs'!W$139,'Top Down inputs'!$U$96:$AI$96,0))</f>
        <v>67198877.174330115</v>
      </c>
      <c r="X143" s="26">
        <f>R143*INDEX('Top Down inputs'!$U$98:$AI$137,MATCH($B143,_xlfn.ANCHORARRAY('Top Down inputs'!$S$98),0),MATCH('Re-scaled copper costs'!X$139,'Top Down inputs'!$U$96:$AI$96,0))</f>
        <v>73640357.674289271</v>
      </c>
    </row>
    <row r="144" spans="2:24" ht="14.65" thickBot="1" x14ac:dyDescent="0.5">
      <c r="B144" s="9" t="s">
        <v>324</v>
      </c>
      <c r="C144" t="s">
        <v>279</v>
      </c>
      <c r="D144" s="90"/>
      <c r="E144" s="178">
        <v>4220129.7638664637</v>
      </c>
      <c r="F144" s="90"/>
      <c r="G144" s="90">
        <v>1698842.4113116288</v>
      </c>
      <c r="H144" s="90">
        <v>670069.37185007054</v>
      </c>
      <c r="I144" s="90">
        <v>353543.56348680396</v>
      </c>
      <c r="J144" s="90">
        <v>118960.64047508534</v>
      </c>
      <c r="K144" s="90">
        <v>83185.030990793734</v>
      </c>
      <c r="L144" s="90">
        <v>67900.912665467098</v>
      </c>
      <c r="M144" s="90">
        <v>135198.6889372564</v>
      </c>
      <c r="P144" s="28">
        <f>E144/INDEX('Top Down inputs'!$C$98:$Q$137,MATCH('Re-scaled copper costs'!$B144,_xlfn.ANCHORARRAY('Top Down inputs'!$S$98),0),MATCH(P$139,'Top Down inputs'!$C$96:$Q$96,0))</f>
        <v>50.368074093162328</v>
      </c>
      <c r="Q144" s="28">
        <f t="shared" si="3"/>
        <v>45.735764741719564</v>
      </c>
      <c r="R144" s="28">
        <f>G144/INDEX('Top Down inputs'!$C$98:$Q$137,MATCH('Re-scaled copper costs'!$B144,_xlfn.ANCHORARRAY('Top Down inputs'!$S$98),0),MATCH(R$139,'Top Down inputs'!$C$96:$Q$96,0))</f>
        <v>41.103455390276793</v>
      </c>
      <c r="V144" s="26">
        <f>P144*INDEX('Top Down inputs'!$U$98:$AI$137,MATCH($B144,_xlfn.ANCHORARRAY('Top Down inputs'!$S$98),0),MATCH('Re-scaled copper costs'!V$139,'Top Down inputs'!$U$96:$AI$96,0))</f>
        <v>2034886.9082533417</v>
      </c>
      <c r="W144" s="26">
        <f>Q144*INDEX('Top Down inputs'!$U$98:$AI$137,MATCH($B144,_xlfn.ANCHORARRAY('Top Down inputs'!$S$98),0),MATCH('Re-scaled copper costs'!W$139,'Top Down inputs'!$U$96:$AI$96,0))</f>
        <v>1274534.6495252498</v>
      </c>
      <c r="X144" s="26">
        <f>R144*INDEX('Top Down inputs'!$U$98:$AI$137,MATCH($B144,_xlfn.ANCHORARRAY('Top Down inputs'!$S$98),0),MATCH('Re-scaled copper costs'!X$139,'Top Down inputs'!$U$96:$AI$96,0))</f>
        <v>819157.7926258666</v>
      </c>
    </row>
    <row r="145" spans="2:24" ht="14.65" thickBot="1" x14ac:dyDescent="0.5">
      <c r="B145" s="9" t="s">
        <v>325</v>
      </c>
      <c r="C145" t="s">
        <v>280</v>
      </c>
      <c r="D145" s="90"/>
      <c r="E145" s="178">
        <v>59.551951612406441</v>
      </c>
      <c r="F145" s="90"/>
      <c r="G145" s="90">
        <v>1927.9275709463461</v>
      </c>
      <c r="H145" s="90">
        <v>0</v>
      </c>
      <c r="I145" s="90">
        <v>0</v>
      </c>
      <c r="J145" s="90">
        <v>0</v>
      </c>
      <c r="K145" s="90">
        <v>0</v>
      </c>
      <c r="L145" s="90">
        <v>0</v>
      </c>
      <c r="M145" s="90">
        <v>0</v>
      </c>
      <c r="P145" s="28">
        <f>E145/INDEX('Top Down inputs'!$C$98:$Q$137,MATCH('Re-scaled copper costs'!$B145,_xlfn.ANCHORARRAY('Top Down inputs'!$S$98),0),MATCH(P$139,'Top Down inputs'!$C$96:$Q$96,0))</f>
        <v>0.23691795694485418</v>
      </c>
      <c r="Q145" s="28">
        <f t="shared" si="3"/>
        <v>7.8927070912011077</v>
      </c>
      <c r="R145" s="28">
        <f>G145/INDEX('Top Down inputs'!$C$98:$Q$137,MATCH('Re-scaled copper costs'!$B145,_xlfn.ANCHORARRAY('Top Down inputs'!$S$98),0),MATCH(R$139,'Top Down inputs'!$C$96:$Q$96,0))</f>
        <v>15.548496225457361</v>
      </c>
      <c r="V145" s="26">
        <f>P145*INDEX('Top Down inputs'!$U$98:$AI$137,MATCH($B145,_xlfn.ANCHORARRAY('Top Down inputs'!$S$98),0),MATCH('Re-scaled copper costs'!V$139,'Top Down inputs'!$U$96:$AI$96,0))</f>
        <v>28.715109126406677</v>
      </c>
      <c r="W145" s="26">
        <f>Q145*INDEX('Top Down inputs'!$U$98:$AI$137,MATCH($B145,_xlfn.ANCHORARRAY('Top Down inputs'!$S$98),0),MATCH('Re-scaled copper costs'!W$139,'Top Down inputs'!$U$96:$AI$96,0))</f>
        <v>659.8561169701527</v>
      </c>
      <c r="X145" s="26">
        <f>R145*INDEX('Top Down inputs'!$U$98:$AI$137,MATCH($B145,_xlfn.ANCHORARRAY('Top Down inputs'!$S$98),0),MATCH('Re-scaled copper costs'!X$139,'Top Down inputs'!$U$96:$AI$96,0))</f>
        <v>929.6194178126517</v>
      </c>
    </row>
    <row r="146" spans="2:24" ht="14.65" thickBot="1" x14ac:dyDescent="0.5">
      <c r="B146" s="9" t="s">
        <v>365</v>
      </c>
      <c r="C146" t="s">
        <v>281</v>
      </c>
      <c r="D146" s="90"/>
      <c r="E146" s="178">
        <v>44881881.334117956</v>
      </c>
      <c r="F146" s="90"/>
      <c r="G146" s="90">
        <v>46651195.113494702</v>
      </c>
      <c r="H146" s="90">
        <v>10585055.984098883</v>
      </c>
      <c r="I146" s="90">
        <v>4753761.0752783278</v>
      </c>
      <c r="J146" s="90">
        <v>294985.25397780014</v>
      </c>
      <c r="K146" s="90">
        <v>0</v>
      </c>
      <c r="L146" s="90">
        <v>0</v>
      </c>
      <c r="M146" s="90">
        <v>0</v>
      </c>
      <c r="P146" s="28">
        <f>E146/INDEX('Top Down inputs'!$C$98:$Q$137,MATCH('Re-scaled copper costs'!$B146,_xlfn.ANCHORARRAY('Top Down inputs'!$S$98),0),MATCH(P$139,'Top Down inputs'!$C$96:$Q$96,0))</f>
        <v>78.032752249635081</v>
      </c>
      <c r="Q146" s="28">
        <f t="shared" si="3"/>
        <v>129.49897596561516</v>
      </c>
      <c r="R146" s="28">
        <f>G146/INDEX('Top Down inputs'!$C$98:$Q$137,MATCH('Re-scaled copper costs'!$B146,_xlfn.ANCHORARRAY('Top Down inputs'!$S$98),0),MATCH(R$139,'Top Down inputs'!$C$96:$Q$96,0))</f>
        <v>180.96519968159524</v>
      </c>
      <c r="V146" s="26">
        <f>P146*INDEX('Top Down inputs'!$U$98:$AI$137,MATCH($B146,_xlfn.ANCHORARRAY('Top Down inputs'!$S$98),0),MATCH('Re-scaled copper costs'!V$139,'Top Down inputs'!$U$96:$AI$96,0))</f>
        <v>21641408.642586604</v>
      </c>
      <c r="W146" s="26">
        <f>Q146*INDEX('Top Down inputs'!$U$98:$AI$137,MATCH($B146,_xlfn.ANCHORARRAY('Top Down inputs'!$S$98),0),MATCH('Re-scaled copper costs'!W$139,'Top Down inputs'!$U$96:$AI$96,0))</f>
        <v>24481325.882884447</v>
      </c>
      <c r="X146" s="26">
        <f>R146*INDEX('Top Down inputs'!$U$98:$AI$137,MATCH($B146,_xlfn.ANCHORARRAY('Top Down inputs'!$S$98),0),MATCH('Re-scaled copper costs'!X$139,'Top Down inputs'!$U$96:$AI$96,0))</f>
        <v>22494546.73257447</v>
      </c>
    </row>
    <row r="147" spans="2:24" ht="14.65" thickBot="1" x14ac:dyDescent="0.5">
      <c r="B147" s="9" t="s">
        <v>366</v>
      </c>
      <c r="C147" t="s">
        <v>282</v>
      </c>
      <c r="D147" s="90"/>
      <c r="E147" s="178">
        <v>17377467.17507752</v>
      </c>
      <c r="F147" s="90"/>
      <c r="G147" s="90">
        <v>21494271.309654817</v>
      </c>
      <c r="H147" s="90">
        <v>5369876.1430794643</v>
      </c>
      <c r="I147" s="90">
        <v>2390259.248826989</v>
      </c>
      <c r="J147" s="90">
        <v>145736.73994243777</v>
      </c>
      <c r="K147" s="90">
        <v>0</v>
      </c>
      <c r="L147" s="90">
        <v>0</v>
      </c>
      <c r="M147" s="90">
        <v>0</v>
      </c>
      <c r="P147" s="28">
        <f>E147/INDEX('Top Down inputs'!$C$98:$Q$137,MATCH('Re-scaled copper costs'!$B147,_xlfn.ANCHORARRAY('Top Down inputs'!$S$98),0),MATCH(P$139,'Top Down inputs'!$C$96:$Q$96,0))</f>
        <v>69.484823198757951</v>
      </c>
      <c r="Q147" s="28">
        <f t="shared" si="3"/>
        <v>122.68763004946862</v>
      </c>
      <c r="R147" s="28">
        <f>G147/INDEX('Top Down inputs'!$C$98:$Q$137,MATCH('Re-scaled copper costs'!$B147,_xlfn.ANCHORARRAY('Top Down inputs'!$S$98),0),MATCH(R$139,'Top Down inputs'!$C$96:$Q$96,0))</f>
        <v>175.89043690017931</v>
      </c>
      <c r="V147" s="26">
        <f>P147*INDEX('Top Down inputs'!$U$98:$AI$137,MATCH($B147,_xlfn.ANCHORARRAY('Top Down inputs'!$S$98),0),MATCH('Re-scaled copper costs'!V$139,'Top Down inputs'!$U$96:$AI$96,0))</f>
        <v>8379168.9904742818</v>
      </c>
      <c r="W147" s="26">
        <f>Q147*INDEX('Top Down inputs'!$U$98:$AI$137,MATCH($B147,_xlfn.ANCHORARRAY('Top Down inputs'!$S$98),0),MATCH('Re-scaled copper costs'!W$139,'Top Down inputs'!$U$96:$AI$96,0))</f>
        <v>11410332.188765531</v>
      </c>
      <c r="X147" s="26">
        <f>R147*INDEX('Top Down inputs'!$U$98:$AI$137,MATCH($B147,_xlfn.ANCHORARRAY('Top Down inputs'!$S$98),0),MATCH('Re-scaled copper costs'!X$139,'Top Down inputs'!$U$96:$AI$96,0))</f>
        <v>10364233.741094505</v>
      </c>
    </row>
    <row r="148" spans="2:24" ht="14.65" thickBot="1" x14ac:dyDescent="0.5">
      <c r="B148" s="9" t="s">
        <v>367</v>
      </c>
      <c r="C148" t="s">
        <v>283</v>
      </c>
      <c r="D148" s="90"/>
      <c r="E148" s="178">
        <v>45166155.552527644</v>
      </c>
      <c r="F148" s="90"/>
      <c r="G148" s="90">
        <v>63939153.101734281</v>
      </c>
      <c r="H148" s="90">
        <v>20158049.384709619</v>
      </c>
      <c r="I148" s="90">
        <v>8969777.5705258064</v>
      </c>
      <c r="J148" s="90">
        <v>554433.85045748716</v>
      </c>
      <c r="K148" s="90">
        <v>0</v>
      </c>
      <c r="L148" s="90">
        <v>0</v>
      </c>
      <c r="M148" s="90">
        <v>0</v>
      </c>
      <c r="P148" s="28">
        <f>E148/INDEX('Top Down inputs'!$C$98:$Q$137,MATCH('Re-scaled copper costs'!$B148,_xlfn.ANCHORARRAY('Top Down inputs'!$S$98),0),MATCH(P$139,'Top Down inputs'!$C$96:$Q$96,0))</f>
        <v>59.326869137492558</v>
      </c>
      <c r="Q148" s="28">
        <f t="shared" si="3"/>
        <v>85.530840997921558</v>
      </c>
      <c r="R148" s="28">
        <f>G148/INDEX('Top Down inputs'!$C$98:$Q$137,MATCH('Re-scaled copper costs'!$B148,_xlfn.ANCHORARRAY('Top Down inputs'!$S$98),0),MATCH(R$139,'Top Down inputs'!$C$96:$Q$96,0))</f>
        <v>111.73481285835055</v>
      </c>
      <c r="V148" s="26">
        <f>P148*INDEX('Top Down inputs'!$U$98:$AI$137,MATCH($B148,_xlfn.ANCHORARRAY('Top Down inputs'!$S$98),0),MATCH('Re-scaled copper costs'!V$139,'Top Down inputs'!$U$96:$AI$96,0))</f>
        <v>21778481.651655838</v>
      </c>
      <c r="W148" s="26">
        <f>Q148*INDEX('Top Down inputs'!$U$98:$AI$137,MATCH($B148,_xlfn.ANCHORARRAY('Top Down inputs'!$S$98),0),MATCH('Re-scaled copper costs'!W$139,'Top Down inputs'!$U$96:$AI$96,0))</f>
        <v>32429980.279373795</v>
      </c>
      <c r="X148" s="26">
        <f>R148*INDEX('Top Down inputs'!$U$98:$AI$137,MATCH($B148,_xlfn.ANCHORARRAY('Top Down inputs'!$S$98),0),MATCH('Re-scaled copper costs'!X$139,'Top Down inputs'!$U$96:$AI$96,0))</f>
        <v>30830555.658629775</v>
      </c>
    </row>
    <row r="149" spans="2:24" ht="14.65" thickBot="1" x14ac:dyDescent="0.5">
      <c r="B149" s="9" t="s">
        <v>368</v>
      </c>
      <c r="C149" t="s">
        <v>284</v>
      </c>
      <c r="D149" s="90"/>
      <c r="E149" s="178">
        <v>30694119.971384704</v>
      </c>
      <c r="F149" s="90"/>
      <c r="G149" s="90">
        <v>35705608.344504125</v>
      </c>
      <c r="H149" s="90">
        <v>11712470.969782518</v>
      </c>
      <c r="I149" s="90">
        <v>5156577.7606334593</v>
      </c>
      <c r="J149" s="90">
        <v>313277.28683137533</v>
      </c>
      <c r="K149" s="90">
        <v>0</v>
      </c>
      <c r="L149" s="90">
        <v>0</v>
      </c>
      <c r="M149" s="90">
        <v>0</v>
      </c>
      <c r="P149" s="28">
        <f>E149/INDEX('Top Down inputs'!$C$98:$Q$137,MATCH('Re-scaled copper costs'!$B149,_xlfn.ANCHORARRAY('Top Down inputs'!$S$98),0),MATCH(P$139,'Top Down inputs'!$C$96:$Q$96,0))</f>
        <v>63.649285539931583</v>
      </c>
      <c r="Q149" s="28">
        <f t="shared" si="3"/>
        <v>92.599985580904729</v>
      </c>
      <c r="R149" s="28">
        <f>G149/INDEX('Top Down inputs'!$C$98:$Q$137,MATCH('Re-scaled copper costs'!$B149,_xlfn.ANCHORARRAY('Top Down inputs'!$S$98),0),MATCH(R$139,'Top Down inputs'!$C$96:$Q$96,0))</f>
        <v>121.55068562187789</v>
      </c>
      <c r="V149" s="26">
        <f>P149*INDEX('Top Down inputs'!$U$98:$AI$137,MATCH($B149,_xlfn.ANCHORARRAY('Top Down inputs'!$S$98),0),MATCH('Re-scaled copper costs'!V$139,'Top Down inputs'!$U$96:$AI$96,0))</f>
        <v>14800270.69899942</v>
      </c>
      <c r="W149" s="26">
        <f>Q149*INDEX('Top Down inputs'!$U$98:$AI$137,MATCH($B149,_xlfn.ANCHORARRAY('Top Down inputs'!$S$98),0),MATCH('Re-scaled copper costs'!W$139,'Top Down inputs'!$U$96:$AI$96,0))</f>
        <v>17073357.440325301</v>
      </c>
      <c r="X149" s="26">
        <f>R149*INDEX('Top Down inputs'!$U$98:$AI$137,MATCH($B149,_xlfn.ANCHORARRAY('Top Down inputs'!$S$98),0),MATCH('Re-scaled copper costs'!X$139,'Top Down inputs'!$U$96:$AI$96,0))</f>
        <v>17216739.540464938</v>
      </c>
    </row>
    <row r="150" spans="2:24" ht="14.65" thickBot="1" x14ac:dyDescent="0.5">
      <c r="B150" s="9" t="s">
        <v>326</v>
      </c>
      <c r="C150" t="s">
        <v>285</v>
      </c>
      <c r="D150" s="90"/>
      <c r="E150" s="178">
        <v>670974.11892116535</v>
      </c>
      <c r="F150" s="90"/>
      <c r="G150" s="90">
        <v>254528.51296234425</v>
      </c>
      <c r="H150" s="90">
        <v>58091.431178661987</v>
      </c>
      <c r="I150" s="90">
        <v>21894.511160644699</v>
      </c>
      <c r="J150" s="90">
        <v>1196.9417731194242</v>
      </c>
      <c r="K150" s="90">
        <v>0</v>
      </c>
      <c r="L150" s="90">
        <v>0</v>
      </c>
      <c r="M150" s="90">
        <v>0</v>
      </c>
      <c r="P150" s="28">
        <f>E150/INDEX('Top Down inputs'!$C$98:$Q$137,MATCH('Re-scaled copper costs'!$B150,_xlfn.ANCHORARRAY('Top Down inputs'!$S$98),0),MATCH(P$139,'Top Down inputs'!$C$96:$Q$96,0))</f>
        <v>458.34313434152506</v>
      </c>
      <c r="Q150" s="28">
        <f t="shared" si="3"/>
        <v>299.45402527006718</v>
      </c>
      <c r="R150" s="28">
        <f>G150/INDEX('Top Down inputs'!$C$98:$Q$137,MATCH('Re-scaled copper costs'!$B150,_xlfn.ANCHORARRAY('Top Down inputs'!$S$98),0),MATCH(R$139,'Top Down inputs'!$C$96:$Q$96,0))</f>
        <v>140.56491619860935</v>
      </c>
      <c r="V150" s="26">
        <f>P150*INDEX('Top Down inputs'!$U$98:$AI$137,MATCH($B150,_xlfn.ANCHORARRAY('Top Down inputs'!$S$98),0),MATCH('Re-scaled copper costs'!V$139,'Top Down inputs'!$U$96:$AI$96,0))</f>
        <v>323534.23396122461</v>
      </c>
      <c r="W150" s="26">
        <f>Q150*INDEX('Top Down inputs'!$U$98:$AI$137,MATCH($B150,_xlfn.ANCHORARRAY('Top Down inputs'!$S$98),0),MATCH('Re-scaled copper costs'!W$139,'Top Down inputs'!$U$96:$AI$96,0))</f>
        <v>158265.04884823225</v>
      </c>
      <c r="X150" s="26">
        <f>R150*INDEX('Top Down inputs'!$U$98:$AI$137,MATCH($B150,_xlfn.ANCHORARRAY('Top Down inputs'!$S$98),0),MATCH('Re-scaled copper costs'!X$139,'Top Down inputs'!$U$96:$AI$96,0))</f>
        <v>122730.05044511569</v>
      </c>
    </row>
    <row r="151" spans="2:24" ht="14.65" thickBot="1" x14ac:dyDescent="0.5">
      <c r="B151" s="9" t="s">
        <v>327</v>
      </c>
      <c r="C151" t="s">
        <v>286</v>
      </c>
      <c r="D151" s="90"/>
      <c r="E151" s="178">
        <v>582600.33033226139</v>
      </c>
      <c r="F151" s="90"/>
      <c r="G151" s="90">
        <v>1483556.125422847</v>
      </c>
      <c r="H151" s="90">
        <v>318289.0592999389</v>
      </c>
      <c r="I151" s="90">
        <v>121875.70514912986</v>
      </c>
      <c r="J151" s="90">
        <v>7077.3004594262275</v>
      </c>
      <c r="K151" s="90">
        <v>0</v>
      </c>
      <c r="L151" s="90">
        <v>0</v>
      </c>
      <c r="M151" s="90">
        <v>0</v>
      </c>
      <c r="P151" s="28">
        <f>E151/INDEX('Top Down inputs'!$C$98:$Q$137,MATCH('Re-scaled copper costs'!$B151,_xlfn.ANCHORARRAY('Top Down inputs'!$S$98),0),MATCH(P$139,'Top Down inputs'!$C$96:$Q$96,0))</f>
        <v>228.7247293416236</v>
      </c>
      <c r="Q151" s="28">
        <f t="shared" si="3"/>
        <v>322.96554241119742</v>
      </c>
      <c r="R151" s="28">
        <f>G151/INDEX('Top Down inputs'!$C$98:$Q$137,MATCH('Re-scaled copper costs'!$B151,_xlfn.ANCHORARRAY('Top Down inputs'!$S$98),0),MATCH(R$139,'Top Down inputs'!$C$96:$Q$96,0))</f>
        <v>417.20635548077126</v>
      </c>
      <c r="V151" s="26">
        <f>P151*INDEX('Top Down inputs'!$U$98:$AI$137,MATCH($B151,_xlfn.ANCHORARRAY('Top Down inputs'!$S$98),0),MATCH('Re-scaled copper costs'!V$139,'Top Down inputs'!$U$96:$AI$96,0))</f>
        <v>280921.64252575435</v>
      </c>
      <c r="W151" s="26">
        <f>Q151*INDEX('Top Down inputs'!$U$98:$AI$137,MATCH($B151,_xlfn.ANCHORARRAY('Top Down inputs'!$S$98),0),MATCH('Re-scaled copper costs'!W$139,'Top Down inputs'!$U$96:$AI$96,0))</f>
        <v>323615.39888657455</v>
      </c>
      <c r="X151" s="26">
        <f>R151*INDEX('Top Down inputs'!$U$98:$AI$137,MATCH($B151,_xlfn.ANCHORARRAY('Top Down inputs'!$S$98),0),MATCH('Re-scaled copper costs'!X$139,'Top Down inputs'!$U$96:$AI$96,0))</f>
        <v>715349.78927191324</v>
      </c>
    </row>
    <row r="152" spans="2:24" ht="14.65" thickBot="1" x14ac:dyDescent="0.5">
      <c r="B152" t="s">
        <v>328</v>
      </c>
      <c r="C152" t="s">
        <v>287</v>
      </c>
      <c r="D152" s="80"/>
      <c r="E152" s="178">
        <v>573934.19377263437</v>
      </c>
      <c r="F152" s="90"/>
      <c r="G152" s="90">
        <v>398167.1494531919</v>
      </c>
      <c r="H152" s="90">
        <v>105833.14153355436</v>
      </c>
      <c r="I152" s="90">
        <v>40168.195969907014</v>
      </c>
      <c r="J152" s="90">
        <v>2322.5149356261236</v>
      </c>
      <c r="K152" s="90">
        <v>0</v>
      </c>
      <c r="L152" s="90">
        <v>0</v>
      </c>
      <c r="M152" s="90">
        <v>0</v>
      </c>
      <c r="P152" s="28">
        <f>E152/INDEX('Top Down inputs'!$C$98:$Q$137,MATCH('Re-scaled copper costs'!$B152,_xlfn.ANCHORARRAY('Top Down inputs'!$S$98),0),MATCH(P$139,'Top Down inputs'!$C$96:$Q$96,0))</f>
        <v>273.18801566677291</v>
      </c>
      <c r="Q152" s="28">
        <f t="shared" si="3"/>
        <v>350.21104460262882</v>
      </c>
      <c r="R152" s="28">
        <f>G152/INDEX('Top Down inputs'!$C$98:$Q$137,MATCH('Re-scaled copper costs'!$B152,_xlfn.ANCHORARRAY('Top Down inputs'!$S$98),0),MATCH(R$139,'Top Down inputs'!$C$96:$Q$96,0))</f>
        <v>427.23407353848472</v>
      </c>
      <c r="V152" s="26">
        <f>P152*INDEX('Top Down inputs'!$U$98:$AI$137,MATCH($B152,_xlfn.ANCHORARRAY('Top Down inputs'!$S$98),0),MATCH('Re-scaled copper costs'!V$139,'Top Down inputs'!$U$96:$AI$96,0))</f>
        <v>276742.95399790118</v>
      </c>
      <c r="W152" s="26">
        <f>Q152*INDEX('Top Down inputs'!$U$98:$AI$137,MATCH($B152,_xlfn.ANCHORARRAY('Top Down inputs'!$S$98),0),MATCH('Re-scaled copper costs'!W$139,'Top Down inputs'!$U$96:$AI$96,0))</f>
        <v>324557.26963081572</v>
      </c>
      <c r="X152" s="26">
        <f>R152*INDEX('Top Down inputs'!$U$98:$AI$137,MATCH($B152,_xlfn.ANCHORARRAY('Top Down inputs'!$S$98),0),MATCH('Re-scaled copper costs'!X$139,'Top Down inputs'!$U$96:$AI$96,0))</f>
        <v>191990.57020856327</v>
      </c>
    </row>
    <row r="153" spans="2:24" ht="14.65" thickBot="1" x14ac:dyDescent="0.5">
      <c r="B153" t="s">
        <v>329</v>
      </c>
      <c r="C153" t="s">
        <v>288</v>
      </c>
      <c r="D153" s="80"/>
      <c r="E153" s="178">
        <v>312903.68169659638</v>
      </c>
      <c r="F153" s="90"/>
      <c r="G153" s="90">
        <v>124882.39122654361</v>
      </c>
      <c r="H153" s="90">
        <v>30709.423858320686</v>
      </c>
      <c r="I153" s="90">
        <v>11465.071617124415</v>
      </c>
      <c r="J153" s="90">
        <v>623.53881408288919</v>
      </c>
      <c r="K153" s="90">
        <v>0</v>
      </c>
      <c r="L153" s="90">
        <v>0</v>
      </c>
      <c r="M153" s="90">
        <v>0</v>
      </c>
      <c r="P153" s="28">
        <f>E153/INDEX('Top Down inputs'!$C$98:$Q$137,MATCH('Re-scaled copper costs'!$B153,_xlfn.ANCHORARRAY('Top Down inputs'!$S$98),0),MATCH(P$139,'Top Down inputs'!$C$96:$Q$96,0))</f>
        <v>271.73224453465798</v>
      </c>
      <c r="Q153" s="28">
        <f t="shared" si="3"/>
        <v>255.85247247882563</v>
      </c>
      <c r="R153" s="28">
        <f>G153/INDEX('Top Down inputs'!$C$98:$Q$137,MATCH('Re-scaled copper costs'!$B153,_xlfn.ANCHORARRAY('Top Down inputs'!$S$98),0),MATCH(R$139,'Top Down inputs'!$C$96:$Q$96,0))</f>
        <v>239.97270042299326</v>
      </c>
      <c r="V153" s="26">
        <f>P153*INDEX('Top Down inputs'!$U$98:$AI$137,MATCH($B153,_xlfn.ANCHORARRAY('Top Down inputs'!$S$98),0),MATCH('Re-scaled copper costs'!V$139,'Top Down inputs'!$U$96:$AI$96,0))</f>
        <v>150877.73150494581</v>
      </c>
      <c r="W153" s="26">
        <f>Q153*INDEX('Top Down inputs'!$U$98:$AI$137,MATCH($B153,_xlfn.ANCHORARRAY('Top Down inputs'!$S$98),0),MATCH('Re-scaled copper costs'!W$139,'Top Down inputs'!$U$96:$AI$96,0))</f>
        <v>116409.11316905938</v>
      </c>
      <c r="X153" s="26">
        <f>R153*INDEX('Top Down inputs'!$U$98:$AI$137,MATCH($B153,_xlfn.ANCHORARRAY('Top Down inputs'!$S$98),0),MATCH('Re-scaled copper costs'!X$139,'Top Down inputs'!$U$96:$AI$96,0))</f>
        <v>60216.523471411114</v>
      </c>
    </row>
    <row r="154" spans="2:24" ht="14.65" thickBot="1" x14ac:dyDescent="0.5">
      <c r="B154" t="s">
        <v>330</v>
      </c>
      <c r="C154" t="s">
        <v>289</v>
      </c>
      <c r="D154" s="80"/>
      <c r="E154" s="178">
        <v>4595973.3094172068</v>
      </c>
      <c r="F154" s="90"/>
      <c r="G154" s="90">
        <v>1561408.7810195345</v>
      </c>
      <c r="H154" s="90">
        <v>386432.74146426143</v>
      </c>
      <c r="I154" s="90">
        <v>144343.43284601858</v>
      </c>
      <c r="J154" s="90">
        <v>7865.5479741841073</v>
      </c>
      <c r="K154" s="90">
        <v>0</v>
      </c>
      <c r="L154" s="90">
        <v>0</v>
      </c>
      <c r="M154" s="90">
        <v>0</v>
      </c>
      <c r="P154" s="28">
        <f>E154/INDEX('Top Down inputs'!$C$98:$Q$137,MATCH('Re-scaled copper costs'!$B154,_xlfn.ANCHORARRAY('Top Down inputs'!$S$98),0),MATCH(P$139,'Top Down inputs'!$C$96:$Q$96,0))</f>
        <v>358.19320091624547</v>
      </c>
      <c r="Q154" s="28">
        <f t="shared" si="3"/>
        <v>629.49425320227738</v>
      </c>
      <c r="R154" s="28">
        <f>G154/INDEX('Top Down inputs'!$C$98:$Q$137,MATCH('Re-scaled copper costs'!$B154,_xlfn.ANCHORARRAY('Top Down inputs'!$S$98),0),MATCH(R$139,'Top Down inputs'!$C$96:$Q$96,0))</f>
        <v>900.79530548830917</v>
      </c>
      <c r="V154" s="26">
        <f>P154*INDEX('Top Down inputs'!$U$98:$AI$137,MATCH($B154,_xlfn.ANCHORARRAY('Top Down inputs'!$S$98),0),MATCH('Re-scaled copper costs'!V$139,'Top Down inputs'!$U$96:$AI$96,0))</f>
        <v>2216113.3522696081</v>
      </c>
      <c r="W154" s="26">
        <f>Q154*INDEX('Top Down inputs'!$U$98:$AI$137,MATCH($B154,_xlfn.ANCHORARRAY('Top Down inputs'!$S$98),0),MATCH('Re-scaled copper costs'!W$139,'Top Down inputs'!$U$96:$AI$96,0))</f>
        <v>1631150.1398873064</v>
      </c>
      <c r="X154" s="26">
        <f>R154*INDEX('Top Down inputs'!$U$98:$AI$137,MATCH($B154,_xlfn.ANCHORARRAY('Top Down inputs'!$S$98),0),MATCH('Re-scaled copper costs'!X$139,'Top Down inputs'!$U$96:$AI$96,0))</f>
        <v>752889.23912553815</v>
      </c>
    </row>
    <row r="155" spans="2:24" ht="14.65" thickBot="1" x14ac:dyDescent="0.5">
      <c r="B155" t="s">
        <v>331</v>
      </c>
      <c r="C155" t="s">
        <v>290</v>
      </c>
      <c r="D155" s="80"/>
      <c r="E155" s="178">
        <v>3369389.7751770038</v>
      </c>
      <c r="F155" s="90"/>
      <c r="G155" s="90">
        <v>822444.98457681097</v>
      </c>
      <c r="H155" s="90">
        <v>142943.90616184782</v>
      </c>
      <c r="I155" s="90">
        <v>53895.990750795027</v>
      </c>
      <c r="J155" s="90">
        <v>2950.5232894862656</v>
      </c>
      <c r="K155" s="90">
        <v>0</v>
      </c>
      <c r="L155" s="90">
        <v>0</v>
      </c>
      <c r="M155" s="90">
        <v>0</v>
      </c>
      <c r="P155" s="28">
        <f>E155/INDEX('Top Down inputs'!$C$98:$Q$137,MATCH('Re-scaled copper costs'!$B155,_xlfn.ANCHORARRAY('Top Down inputs'!$S$98),0),MATCH(P$139,'Top Down inputs'!$C$96:$Q$96,0))</f>
        <v>121.83097582520777</v>
      </c>
      <c r="Q155" s="28">
        <f t="shared" si="3"/>
        <v>166.33560992750722</v>
      </c>
      <c r="R155" s="28">
        <f>G155/INDEX('Top Down inputs'!$C$98:$Q$137,MATCH('Re-scaled copper costs'!$B155,_xlfn.ANCHORARRAY('Top Down inputs'!$S$98),0),MATCH(R$139,'Top Down inputs'!$C$96:$Q$96,0))</f>
        <v>210.84024402980666</v>
      </c>
      <c r="V155" s="26">
        <f>P155*INDEX('Top Down inputs'!$U$98:$AI$137,MATCH($B155,_xlfn.ANCHORARRAY('Top Down inputs'!$S$98),0),MATCH('Re-scaled copper costs'!V$139,'Top Down inputs'!$U$96:$AI$96,0))</f>
        <v>1624672.1134064414</v>
      </c>
      <c r="W155" s="26">
        <f>Q155*INDEX('Top Down inputs'!$U$98:$AI$137,MATCH($B155,_xlfn.ANCHORARRAY('Top Down inputs'!$S$98),0),MATCH('Re-scaled copper costs'!W$139,'Top Down inputs'!$U$96:$AI$96,0))</f>
        <v>976807.13029874489</v>
      </c>
      <c r="X155" s="26">
        <f>R155*INDEX('Top Down inputs'!$U$98:$AI$137,MATCH($B155,_xlfn.ANCHORARRAY('Top Down inputs'!$S$98),0),MATCH('Re-scaled copper costs'!X$139,'Top Down inputs'!$U$96:$AI$96,0))</f>
        <v>396571.34389646002</v>
      </c>
    </row>
    <row r="156" spans="2:24" ht="14.65" thickBot="1" x14ac:dyDescent="0.5">
      <c r="B156" t="s">
        <v>332</v>
      </c>
      <c r="C156" t="s">
        <v>291</v>
      </c>
      <c r="D156" s="80"/>
      <c r="E156" s="178">
        <v>3926540.8147761151</v>
      </c>
      <c r="F156" s="90"/>
      <c r="G156" s="90">
        <v>780586.17592296295</v>
      </c>
      <c r="H156" s="90">
        <v>255976.82699536116</v>
      </c>
      <c r="I156" s="90">
        <v>97185.861531733404</v>
      </c>
      <c r="J156" s="90">
        <v>5635.4664411440535</v>
      </c>
      <c r="K156" s="90">
        <v>0</v>
      </c>
      <c r="L156" s="90">
        <v>0</v>
      </c>
      <c r="M156" s="90">
        <v>0</v>
      </c>
      <c r="P156" s="28">
        <f>E156/INDEX('Top Down inputs'!$C$98:$Q$137,MATCH('Re-scaled copper costs'!$B156,_xlfn.ANCHORARRAY('Top Down inputs'!$S$98),0),MATCH(P$139,'Top Down inputs'!$C$96:$Q$96,0))</f>
        <v>127.30674905411581</v>
      </c>
      <c r="Q156" s="28">
        <f t="shared" si="3"/>
        <v>157.32365672529841</v>
      </c>
      <c r="R156" s="28">
        <f>G156/INDEX('Top Down inputs'!$C$98:$Q$137,MATCH('Re-scaled copper costs'!$B156,_xlfn.ANCHORARRAY('Top Down inputs'!$S$98),0),MATCH(R$139,'Top Down inputs'!$C$96:$Q$96,0))</f>
        <v>187.340564396481</v>
      </c>
      <c r="V156" s="26">
        <f>P156*INDEX('Top Down inputs'!$U$98:$AI$137,MATCH($B156,_xlfn.ANCHORARRAY('Top Down inputs'!$S$98),0),MATCH('Re-scaled copper costs'!V$139,'Top Down inputs'!$U$96:$AI$96,0))</f>
        <v>1893322.4677408645</v>
      </c>
      <c r="W156" s="26">
        <f>Q156*INDEX('Top Down inputs'!$U$98:$AI$137,MATCH($B156,_xlfn.ANCHORARRAY('Top Down inputs'!$S$98),0),MATCH('Re-scaled copper costs'!W$139,'Top Down inputs'!$U$96:$AI$96,0))</f>
        <v>979929.26658734051</v>
      </c>
      <c r="X156" s="26">
        <f>R156*INDEX('Top Down inputs'!$U$98:$AI$137,MATCH($B156,_xlfn.ANCHORARRAY('Top Down inputs'!$S$98),0),MATCH('Re-scaled copper costs'!X$139,'Top Down inputs'!$U$96:$AI$96,0))</f>
        <v>376387.6181603212</v>
      </c>
    </row>
    <row r="157" spans="2:24" ht="14.65" thickBot="1" x14ac:dyDescent="0.5">
      <c r="B157" t="s">
        <v>333</v>
      </c>
      <c r="C157" t="s">
        <v>292</v>
      </c>
      <c r="D157" s="80"/>
      <c r="E157" s="178">
        <v>8893337.7880018838</v>
      </c>
      <c r="F157" s="90"/>
      <c r="G157" s="90">
        <v>1933037.3399619728</v>
      </c>
      <c r="H157" s="90">
        <v>560492.06689498376</v>
      </c>
      <c r="I157" s="90">
        <v>214825.98511448689</v>
      </c>
      <c r="J157" s="90">
        <v>12498.452414683314</v>
      </c>
      <c r="K157" s="90">
        <v>0</v>
      </c>
      <c r="L157" s="90">
        <v>0</v>
      </c>
      <c r="M157" s="90">
        <v>0</v>
      </c>
      <c r="P157" s="28">
        <f>E157/INDEX('Top Down inputs'!$C$98:$Q$137,MATCH('Re-scaled copper costs'!$B157,_xlfn.ANCHORARRAY('Top Down inputs'!$S$98),0),MATCH(P$139,'Top Down inputs'!$C$96:$Q$96,0))</f>
        <v>164.54329731339706</v>
      </c>
      <c r="Q157" s="28">
        <f t="shared" si="3"/>
        <v>209.05605457915129</v>
      </c>
      <c r="R157" s="28">
        <f>G157/INDEX('Top Down inputs'!$C$98:$Q$137,MATCH('Re-scaled copper costs'!$B157,_xlfn.ANCHORARRAY('Top Down inputs'!$S$98),0),MATCH(R$139,'Top Down inputs'!$C$96:$Q$96,0))</f>
        <v>253.56881184490555</v>
      </c>
      <c r="V157" s="26">
        <f>P157*INDEX('Top Down inputs'!$U$98:$AI$137,MATCH($B157,_xlfn.ANCHORARRAY('Top Down inputs'!$S$98),0),MATCH('Re-scaled copper costs'!V$139,'Top Down inputs'!$U$96:$AI$96,0))</f>
        <v>4288241.7480213763</v>
      </c>
      <c r="W157" s="26">
        <f>Q157*INDEX('Top Down inputs'!$U$98:$AI$137,MATCH($B157,_xlfn.ANCHORARRAY('Top Down inputs'!$S$98),0),MATCH('Re-scaled copper costs'!W$139,'Top Down inputs'!$U$96:$AI$96,0))</f>
        <v>2399260.4621679187</v>
      </c>
      <c r="X157" s="26">
        <f>R157*INDEX('Top Down inputs'!$U$98:$AI$137,MATCH($B157,_xlfn.ANCHORARRAY('Top Down inputs'!$S$98),0),MATCH('Re-scaled copper costs'!X$139,'Top Down inputs'!$U$96:$AI$96,0))</f>
        <v>932083.27619044972</v>
      </c>
    </row>
    <row r="158" spans="2:24" ht="14.65" thickBot="1" x14ac:dyDescent="0.5">
      <c r="B158" t="s">
        <v>369</v>
      </c>
      <c r="C158" t="s">
        <v>293</v>
      </c>
      <c r="D158" s="80"/>
      <c r="E158" s="178">
        <v>2235727.3038539048</v>
      </c>
      <c r="F158" s="90"/>
      <c r="G158" s="90">
        <v>2756495.2366230679</v>
      </c>
      <c r="H158" s="90">
        <v>913244.39377394295</v>
      </c>
      <c r="I158" s="90">
        <v>1166244.8434749057</v>
      </c>
      <c r="J158" s="90">
        <v>1277214.5592787368</v>
      </c>
      <c r="K158" s="90">
        <v>1484763.7674236901</v>
      </c>
      <c r="L158" s="90">
        <v>1771160.9588857079</v>
      </c>
      <c r="M158" s="90">
        <v>2201403.0568188792</v>
      </c>
      <c r="P158" s="28">
        <f>E158/INDEX('Top Down inputs'!$C$98:$Q$137,MATCH('Re-scaled copper costs'!$B158,_xlfn.ANCHORARRAY('Top Down inputs'!$S$98),0),MATCH(P$139,'Top Down inputs'!$C$96:$Q$96,0))</f>
        <v>120.12311728407113</v>
      </c>
      <c r="Q158" s="28">
        <f t="shared" si="3"/>
        <v>194.65944277943731</v>
      </c>
      <c r="R158" s="28">
        <f>G158/INDEX('Top Down inputs'!$C$98:$Q$137,MATCH('Re-scaled copper costs'!$B158,_xlfn.ANCHORARRAY('Top Down inputs'!$S$98),0),MATCH(R$139,'Top Down inputs'!$C$96:$Q$96,0))</f>
        <v>269.19576827480353</v>
      </c>
      <c r="V158" s="26">
        <f>P158*INDEX('Top Down inputs'!$U$98:$AI$137,MATCH($B158,_xlfn.ANCHORARRAY('Top Down inputs'!$S$98),0),MATCH('Re-scaled copper costs'!V$139,'Top Down inputs'!$U$96:$AI$96,0))</f>
        <v>1078036.0973707745</v>
      </c>
      <c r="W158" s="26">
        <f>Q158*INDEX('Top Down inputs'!$U$98:$AI$137,MATCH($B158,_xlfn.ANCHORARRAY('Top Down inputs'!$S$98),0),MATCH('Re-scaled copper costs'!W$139,'Top Down inputs'!$U$96:$AI$96,0))</f>
        <v>1728213.1371978035</v>
      </c>
      <c r="X158" s="26">
        <f>R158*INDEX('Top Down inputs'!$U$98:$AI$137,MATCH($B158,_xlfn.ANCHORARRAY('Top Down inputs'!$S$98),0),MATCH('Re-scaled copper costs'!X$139,'Top Down inputs'!$U$96:$AI$96,0))</f>
        <v>1329143.0319734751</v>
      </c>
    </row>
    <row r="159" spans="2:24" ht="14.65" thickBot="1" x14ac:dyDescent="0.5">
      <c r="B159" t="s">
        <v>370</v>
      </c>
      <c r="C159" t="s">
        <v>295</v>
      </c>
      <c r="D159" s="80"/>
      <c r="E159" s="178">
        <v>1229872.7860739336</v>
      </c>
      <c r="F159" s="90"/>
      <c r="G159" s="90">
        <v>3557289.4411622561</v>
      </c>
      <c r="H159" s="90">
        <v>1582920.3957755512</v>
      </c>
      <c r="I159" s="90">
        <v>1948247.8457948756</v>
      </c>
      <c r="J159" s="90">
        <v>2100381.7815631921</v>
      </c>
      <c r="K159" s="90">
        <v>2363408.988126684</v>
      </c>
      <c r="L159" s="90">
        <v>2713400.2548258933</v>
      </c>
      <c r="M159" s="90">
        <v>3273325.8784408406</v>
      </c>
      <c r="P159" s="28">
        <f>E159/INDEX('Top Down inputs'!$C$98:$Q$137,MATCH('Re-scaled copper costs'!$B159,_xlfn.ANCHORARRAY('Top Down inputs'!$S$98),0),MATCH(P$139,'Top Down inputs'!$C$96:$Q$96,0))</f>
        <v>77.039773651050396</v>
      </c>
      <c r="Q159" s="28">
        <f t="shared" si="3"/>
        <v>129.19631537836392</v>
      </c>
      <c r="R159" s="28">
        <f>G159/INDEX('Top Down inputs'!$C$98:$Q$137,MATCH('Re-scaled copper costs'!$B159,_xlfn.ANCHORARRAY('Top Down inputs'!$S$98),0),MATCH(R$139,'Top Down inputs'!$C$96:$Q$96,0))</f>
        <v>181.35285710567746</v>
      </c>
      <c r="V159" s="26">
        <f>P159*INDEX('Top Down inputs'!$U$98:$AI$137,MATCH($B159,_xlfn.ANCHORARRAY('Top Down inputs'!$S$98),0),MATCH('Re-scaled copper costs'!V$139,'Top Down inputs'!$U$96:$AI$96,0))</f>
        <v>593027.26959419169</v>
      </c>
      <c r="W159" s="26">
        <f>Q159*INDEX('Top Down inputs'!$U$98:$AI$137,MATCH($B159,_xlfn.ANCHORARRAY('Top Down inputs'!$S$98),0),MATCH('Re-scaled copper costs'!W$139,'Top Down inputs'!$U$96:$AI$96,0))</f>
        <v>974476.66002418194</v>
      </c>
      <c r="X159" s="26">
        <f>R159*INDEX('Top Down inputs'!$U$98:$AI$137,MATCH($B159,_xlfn.ANCHORARRAY('Top Down inputs'!$S$98),0),MATCH('Re-scaled copper costs'!X$139,'Top Down inputs'!$U$96:$AI$96,0))</f>
        <v>1715274.6758329235</v>
      </c>
    </row>
    <row r="160" spans="2:24" ht="14.65" thickBot="1" x14ac:dyDescent="0.5">
      <c r="B160" t="s">
        <v>334</v>
      </c>
      <c r="C160" t="s">
        <v>296</v>
      </c>
      <c r="D160" s="80"/>
      <c r="E160" s="178">
        <v>470338.50842743111</v>
      </c>
      <c r="F160" s="90"/>
      <c r="G160" s="90">
        <v>306311.68236662803</v>
      </c>
      <c r="H160" s="90">
        <v>149357.96342501452</v>
      </c>
      <c r="I160" s="90">
        <v>157353.12186051242</v>
      </c>
      <c r="J160" s="90">
        <v>154664.86484666241</v>
      </c>
      <c r="K160" s="90">
        <v>154207.78282962472</v>
      </c>
      <c r="L160" s="90">
        <v>150837.01814599236</v>
      </c>
      <c r="M160" s="90">
        <v>289786.02196784283</v>
      </c>
      <c r="P160" s="28">
        <f>E160/INDEX('Top Down inputs'!$C$98:$Q$137,MATCH('Re-scaled copper costs'!$B160,_xlfn.ANCHORARRAY('Top Down inputs'!$S$98),0),MATCH(P$139,'Top Down inputs'!$C$96:$Q$96,0))</f>
        <v>202.35973091338633</v>
      </c>
      <c r="Q160" s="28">
        <f t="shared" si="3"/>
        <v>756.9725371022098</v>
      </c>
      <c r="R160" s="28">
        <f>G160/INDEX('Top Down inputs'!$C$98:$Q$137,MATCH('Re-scaled copper costs'!$B160,_xlfn.ANCHORARRAY('Top Down inputs'!$S$98),0),MATCH(R$139,'Top Down inputs'!$C$96:$Q$96,0))</f>
        <v>1311.5853432910333</v>
      </c>
      <c r="V160" s="26">
        <f>P160*INDEX('Top Down inputs'!$U$98:$AI$137,MATCH($B160,_xlfn.ANCHORARRAY('Top Down inputs'!$S$98),0),MATCH('Re-scaled copper costs'!V$139,'Top Down inputs'!$U$96:$AI$96,0))</f>
        <v>226790.57915259601</v>
      </c>
      <c r="W160" s="26">
        <f>Q160*INDEX('Top Down inputs'!$U$98:$AI$137,MATCH($B160,_xlfn.ANCHORARRAY('Top Down inputs'!$S$98),0),MATCH('Re-scaled copper costs'!W$139,'Top Down inputs'!$U$96:$AI$96,0))</f>
        <v>410423.4850935014</v>
      </c>
      <c r="X160" s="26">
        <f>R160*INDEX('Top Down inputs'!$U$98:$AI$137,MATCH($B160,_xlfn.ANCHORARRAY('Top Down inputs'!$S$98),0),MATCH('Re-scaled copper costs'!X$139,'Top Down inputs'!$U$96:$AI$96,0))</f>
        <v>147699.16262523498</v>
      </c>
    </row>
    <row r="161" spans="2:24" ht="14.65" thickBot="1" x14ac:dyDescent="0.5">
      <c r="B161" t="s">
        <v>335</v>
      </c>
      <c r="C161" t="s">
        <v>297</v>
      </c>
      <c r="D161" s="80"/>
      <c r="E161" s="178">
        <v>274420.08276416466</v>
      </c>
      <c r="F161" s="90"/>
      <c r="G161" s="90">
        <v>53916.60708263149</v>
      </c>
      <c r="H161" s="90">
        <v>78386.368811965294</v>
      </c>
      <c r="I161" s="90">
        <v>83902.089499677109</v>
      </c>
      <c r="J161" s="90">
        <v>87642.490506162925</v>
      </c>
      <c r="K161" s="90">
        <v>89346.577637357477</v>
      </c>
      <c r="L161" s="90">
        <v>92210.535287252409</v>
      </c>
      <c r="M161" s="90">
        <v>1347269.8056275847</v>
      </c>
      <c r="P161" s="28">
        <f>E161/INDEX('Top Down inputs'!$C$98:$Q$137,MATCH('Re-scaled copper costs'!$B161,_xlfn.ANCHORARRAY('Top Down inputs'!$S$98),0),MATCH(P$139,'Top Down inputs'!$C$96:$Q$96,0))</f>
        <v>71.486689068931184</v>
      </c>
      <c r="Q161" s="28">
        <f t="shared" si="3"/>
        <v>92.436517700899643</v>
      </c>
      <c r="R161" s="28">
        <f>G161/INDEX('Top Down inputs'!$C$98:$Q$137,MATCH('Re-scaled copper costs'!$B161,_xlfn.ANCHORARRAY('Top Down inputs'!$S$98),0),MATCH(R$139,'Top Down inputs'!$C$96:$Q$96,0))</f>
        <v>113.3863463328681</v>
      </c>
      <c r="V161" s="26">
        <f>P161*INDEX('Top Down inputs'!$U$98:$AI$137,MATCH($B161,_xlfn.ANCHORARRAY('Top Down inputs'!$S$98),0),MATCH('Re-scaled copper costs'!V$139,'Top Down inputs'!$U$96:$AI$96,0))</f>
        <v>132321.48417800805</v>
      </c>
      <c r="W161" s="26">
        <f>Q161*INDEX('Top Down inputs'!$U$98:$AI$137,MATCH($B161,_xlfn.ANCHORARRAY('Top Down inputs'!$S$98),0),MATCH('Re-scaled copper costs'!W$139,'Top Down inputs'!$U$96:$AI$96,0))</f>
        <v>96579.908025008437</v>
      </c>
      <c r="X161" s="26">
        <f>R161*INDEX('Top Down inputs'!$U$98:$AI$137,MATCH($B161,_xlfn.ANCHORARRAY('Top Down inputs'!$S$98),0),MATCH('Re-scaled copper costs'!X$139,'Top Down inputs'!$U$96:$AI$96,0))</f>
        <v>25997.825666234148</v>
      </c>
    </row>
    <row r="162" spans="2:24" ht="14.65" thickBot="1" x14ac:dyDescent="0.5">
      <c r="B162" t="s">
        <v>371</v>
      </c>
      <c r="C162" t="s">
        <v>298</v>
      </c>
      <c r="D162" s="80"/>
      <c r="E162" s="178">
        <v>11240905.877808275</v>
      </c>
      <c r="F162" s="90"/>
      <c r="G162" s="90">
        <v>51611568.03641516</v>
      </c>
      <c r="H162" s="90">
        <v>40128807.812760018</v>
      </c>
      <c r="I162" s="90">
        <v>52109957.385809466</v>
      </c>
      <c r="J162" s="90">
        <v>76978847.360969067</v>
      </c>
      <c r="K162" s="90">
        <v>76756769.044990793</v>
      </c>
      <c r="L162" s="90">
        <v>59748484.183374129</v>
      </c>
      <c r="M162" s="90">
        <v>35345139.433141597</v>
      </c>
      <c r="P162" s="28">
        <f>E162/INDEX('Top Down inputs'!$C$98:$Q$137,MATCH('Re-scaled copper costs'!$B162,_xlfn.ANCHORARRAY('Top Down inputs'!$S$98),0),MATCH(P$139,'Top Down inputs'!$C$96:$Q$96,0))</f>
        <v>130.91476020085426</v>
      </c>
      <c r="Q162" s="28">
        <f t="shared" si="3"/>
        <v>208.75406472228786</v>
      </c>
      <c r="R162" s="28">
        <f>G162/INDEX('Top Down inputs'!$C$98:$Q$137,MATCH('Re-scaled copper costs'!$B162,_xlfn.ANCHORARRAY('Top Down inputs'!$S$98),0),MATCH(R$139,'Top Down inputs'!$C$96:$Q$96,0))</f>
        <v>286.5933692437215</v>
      </c>
      <c r="V162" s="26">
        <f>P162*INDEX('Top Down inputs'!$U$98:$AI$137,MATCH($B162,_xlfn.ANCHORARRAY('Top Down inputs'!$S$98),0),MATCH('Re-scaled copper costs'!V$139,'Top Down inputs'!$U$96:$AI$96,0))</f>
        <v>5420205.8911816645</v>
      </c>
      <c r="W162" s="26">
        <f>Q162*INDEX('Top Down inputs'!$U$98:$AI$137,MATCH($B162,_xlfn.ANCHORARRAY('Top Down inputs'!$S$98),0),MATCH('Re-scaled copper costs'!W$139,'Top Down inputs'!$U$96:$AI$96,0))</f>
        <v>12840051.212597167</v>
      </c>
      <c r="X162" s="26">
        <f>R162*INDEX('Top Down inputs'!$U$98:$AI$137,MATCH($B162,_xlfn.ANCHORARRAY('Top Down inputs'!$S$98),0),MATCH('Re-scaled copper costs'!X$139,'Top Down inputs'!$U$96:$AI$96,0))</f>
        <v>24886368.426620509</v>
      </c>
    </row>
    <row r="163" spans="2:24" ht="14.65" thickBot="1" x14ac:dyDescent="0.5">
      <c r="B163" t="s">
        <v>372</v>
      </c>
      <c r="C163" t="s">
        <v>300</v>
      </c>
      <c r="D163" s="80"/>
      <c r="E163" s="178">
        <v>37493395.625035085</v>
      </c>
      <c r="F163" s="90"/>
      <c r="G163" s="90">
        <v>153005149.47817853</v>
      </c>
      <c r="H163" s="90">
        <v>89982850.841782153</v>
      </c>
      <c r="I163" s="90">
        <v>113640311.1448461</v>
      </c>
      <c r="J163" s="90">
        <v>117845190.75184563</v>
      </c>
      <c r="K163" s="90">
        <v>107937789.1739904</v>
      </c>
      <c r="L163" s="90">
        <v>106454541.46586366</v>
      </c>
      <c r="M163" s="90">
        <v>109689379.51716483</v>
      </c>
      <c r="P163" s="28">
        <f>E163/INDEX('Top Down inputs'!$C$98:$Q$137,MATCH('Re-scaled copper costs'!$B163,_xlfn.ANCHORARRAY('Top Down inputs'!$S$98),0),MATCH(P$139,'Top Down inputs'!$C$96:$Q$96,0))</f>
        <v>161.37566131624178</v>
      </c>
      <c r="Q163" s="28">
        <f t="shared" si="3"/>
        <v>229.29365115960576</v>
      </c>
      <c r="R163" s="28">
        <f>G163/INDEX('Top Down inputs'!$C$98:$Q$137,MATCH('Re-scaled copper costs'!$B163,_xlfn.ANCHORARRAY('Top Down inputs'!$S$98),0),MATCH(R$139,'Top Down inputs'!$C$96:$Q$96,0))</f>
        <v>297.21164100296977</v>
      </c>
      <c r="V163" s="26">
        <f>P163*INDEX('Top Down inputs'!$U$98:$AI$137,MATCH($B163,_xlfn.ANCHORARRAY('Top Down inputs'!$S$98),0),MATCH('Re-scaled copper costs'!V$139,'Top Down inputs'!$U$96:$AI$96,0))</f>
        <v>18078785.291532371</v>
      </c>
      <c r="W163" s="26">
        <f>Q163*INDEX('Top Down inputs'!$U$98:$AI$137,MATCH($B163,_xlfn.ANCHORARRAY('Top Down inputs'!$S$98),0),MATCH('Re-scaled copper costs'!W$139,'Top Down inputs'!$U$96:$AI$96,0))</f>
        <v>39513301.234225422</v>
      </c>
      <c r="X163" s="26">
        <f>R163*INDEX('Top Down inputs'!$U$98:$AI$137,MATCH($B163,_xlfn.ANCHORARRAY('Top Down inputs'!$S$98),0),MATCH('Re-scaled copper costs'!X$139,'Top Down inputs'!$U$96:$AI$96,0))</f>
        <v>73776919.902869374</v>
      </c>
    </row>
    <row r="164" spans="2:24" ht="14.65" thickBot="1" x14ac:dyDescent="0.5">
      <c r="B164" t="s">
        <v>373</v>
      </c>
      <c r="C164" t="s">
        <v>301</v>
      </c>
      <c r="D164" s="80"/>
      <c r="E164" s="178">
        <v>6520736.2472740905</v>
      </c>
      <c r="F164" s="90"/>
      <c r="G164" s="90">
        <v>31342963.278570425</v>
      </c>
      <c r="H164" s="90">
        <v>25834077.568293218</v>
      </c>
      <c r="I164" s="90">
        <v>34140871.733412512</v>
      </c>
      <c r="J164" s="90">
        <v>50417132.683848172</v>
      </c>
      <c r="K164" s="90">
        <v>51001527.343576156</v>
      </c>
      <c r="L164" s="90">
        <v>38897876.51890932</v>
      </c>
      <c r="M164" s="90">
        <v>23168592.478109531</v>
      </c>
      <c r="P164" s="28">
        <f>E164/INDEX('Top Down inputs'!$C$98:$Q$137,MATCH('Re-scaled copper costs'!$B164,_xlfn.ANCHORARRAY('Top Down inputs'!$S$98),0),MATCH(P$139,'Top Down inputs'!$C$96:$Q$96,0))</f>
        <v>112.02586090654152</v>
      </c>
      <c r="Q164" s="28">
        <f t="shared" si="3"/>
        <v>193.16190350986761</v>
      </c>
      <c r="R164" s="28">
        <f>G164/INDEX('Top Down inputs'!$C$98:$Q$137,MATCH('Re-scaled copper costs'!$B164,_xlfn.ANCHORARRAY('Top Down inputs'!$S$98),0),MATCH(R$139,'Top Down inputs'!$C$96:$Q$96,0))</f>
        <v>274.29794611319369</v>
      </c>
      <c r="V164" s="26">
        <f>P164*INDEX('Top Down inputs'!$U$98:$AI$137,MATCH($B164,_xlfn.ANCHORARRAY('Top Down inputs'!$S$98),0),MATCH('Re-scaled copper costs'!V$139,'Top Down inputs'!$U$96:$AI$96,0))</f>
        <v>3144206.8287478699</v>
      </c>
      <c r="W164" s="26">
        <f>Q164*INDEX('Top Down inputs'!$U$98:$AI$137,MATCH($B164,_xlfn.ANCHORARRAY('Top Down inputs'!$S$98),0),MATCH('Re-scaled copper costs'!W$139,'Top Down inputs'!$U$96:$AI$96,0))</f>
        <v>9394592.0158300586</v>
      </c>
      <c r="X164" s="26">
        <f>R164*INDEX('Top Down inputs'!$U$98:$AI$137,MATCH($B164,_xlfn.ANCHORARRAY('Top Down inputs'!$S$98),0),MATCH('Re-scaled copper costs'!X$139,'Top Down inputs'!$U$96:$AI$96,0))</f>
        <v>15113133.768425595</v>
      </c>
    </row>
    <row r="165" spans="2:24" ht="14.65" thickBot="1" x14ac:dyDescent="0.5">
      <c r="B165" t="s">
        <v>374</v>
      </c>
      <c r="C165" t="s">
        <v>302</v>
      </c>
      <c r="D165" s="80"/>
      <c r="E165" s="178">
        <v>20843384.571444687</v>
      </c>
      <c r="F165" s="90"/>
      <c r="G165" s="90">
        <v>80262801.666577086</v>
      </c>
      <c r="H165" s="90">
        <v>53014000.823264852</v>
      </c>
      <c r="I165" s="90">
        <v>67989643.154133543</v>
      </c>
      <c r="J165" s="90">
        <v>71328301.466009378</v>
      </c>
      <c r="K165" s="90">
        <v>65465082.710408151</v>
      </c>
      <c r="L165" s="90">
        <v>64989983.600289062</v>
      </c>
      <c r="M165" s="90">
        <v>66889933.920405738</v>
      </c>
      <c r="P165" s="28">
        <f>E165/INDEX('Top Down inputs'!$C$98:$Q$137,MATCH('Re-scaled copper costs'!$B165,_xlfn.ANCHORARRAY('Top Down inputs'!$S$98),0),MATCH(P$139,'Top Down inputs'!$C$96:$Q$96,0))</f>
        <v>128.89783605950922</v>
      </c>
      <c r="Q165" s="28">
        <f t="shared" si="3"/>
        <v>190.38525608817395</v>
      </c>
      <c r="R165" s="28">
        <f>G165/INDEX('Top Down inputs'!$C$98:$Q$137,MATCH('Re-scaled copper costs'!$B165,_xlfn.ANCHORARRAY('Top Down inputs'!$S$98),0),MATCH(R$139,'Top Down inputs'!$C$96:$Q$96,0))</f>
        <v>251.87267611683868</v>
      </c>
      <c r="V165" s="26">
        <f>P165*INDEX('Top Down inputs'!$U$98:$AI$137,MATCH($B165,_xlfn.ANCHORARRAY('Top Down inputs'!$S$98),0),MATCH('Re-scaled copper costs'!V$139,'Top Down inputs'!$U$96:$AI$96,0))</f>
        <v>10050385.358118236</v>
      </c>
      <c r="W165" s="26">
        <f>Q165*INDEX('Top Down inputs'!$U$98:$AI$137,MATCH($B165,_xlfn.ANCHORARRAY('Top Down inputs'!$S$98),0),MATCH('Re-scaled copper costs'!W$139,'Top Down inputs'!$U$96:$AI$96,0))</f>
        <v>23451591.556125566</v>
      </c>
      <c r="X165" s="26">
        <f>R165*INDEX('Top Down inputs'!$U$98:$AI$137,MATCH($B165,_xlfn.ANCHORARRAY('Top Down inputs'!$S$98),0),MATCH('Re-scaled copper costs'!X$139,'Top Down inputs'!$U$96:$AI$96,0))</f>
        <v>38701588.214058593</v>
      </c>
    </row>
    <row r="166" spans="2:24" ht="14.65" thickBot="1" x14ac:dyDescent="0.5">
      <c r="B166" t="s">
        <v>336</v>
      </c>
      <c r="C166" t="s">
        <v>303</v>
      </c>
      <c r="D166" s="80"/>
      <c r="E166" s="178">
        <v>21515448.984485999</v>
      </c>
      <c r="F166" s="90"/>
      <c r="G166" s="90">
        <v>21363744.714484755</v>
      </c>
      <c r="H166" s="90">
        <v>15416990.414490825</v>
      </c>
      <c r="I166" s="90">
        <v>14641764.646064838</v>
      </c>
      <c r="J166" s="90">
        <v>10109855.530921828</v>
      </c>
      <c r="K166" s="90">
        <v>9419903.3070054743</v>
      </c>
      <c r="L166" s="90">
        <v>7436038.2570831226</v>
      </c>
      <c r="M166" s="90">
        <v>0</v>
      </c>
      <c r="P166" s="28">
        <f>E166/INDEX('Top Down inputs'!$C$98:$Q$137,MATCH('Re-scaled copper costs'!$B166,_xlfn.ANCHORARRAY('Top Down inputs'!$S$98),0),MATCH(P$139,'Top Down inputs'!$C$96:$Q$96,0))</f>
        <v>346.1456950852197</v>
      </c>
      <c r="Q166" s="28">
        <f t="shared" si="3"/>
        <v>356.53237706686895</v>
      </c>
      <c r="R166" s="28">
        <f>G166/INDEX('Top Down inputs'!$C$98:$Q$137,MATCH('Re-scaled copper costs'!$B166,_xlfn.ANCHORARRAY('Top Down inputs'!$S$98),0),MATCH(R$139,'Top Down inputs'!$C$96:$Q$96,0))</f>
        <v>366.91905904851819</v>
      </c>
      <c r="V166" s="26">
        <f>P166*INDEX('Top Down inputs'!$U$98:$AI$137,MATCH($B166,_xlfn.ANCHORARRAY('Top Down inputs'!$S$98),0),MATCH('Re-scaled copper costs'!V$139,'Top Down inputs'!$U$96:$AI$96,0))</f>
        <v>10374445.316489698</v>
      </c>
      <c r="W166" s="26">
        <f>Q166*INDEX('Top Down inputs'!$U$98:$AI$137,MATCH($B166,_xlfn.ANCHORARRAY('Top Down inputs'!$S$98),0),MATCH('Re-scaled copper costs'!W$139,'Top Down inputs'!$U$96:$AI$96,0))</f>
        <v>12866684.313038666</v>
      </c>
      <c r="X166" s="26">
        <f>R166*INDEX('Top Down inputs'!$U$98:$AI$137,MATCH($B166,_xlfn.ANCHORARRAY('Top Down inputs'!$S$98),0),MATCH('Re-scaled copper costs'!X$139,'Top Down inputs'!$U$96:$AI$96,0))</f>
        <v>10301295.66227887</v>
      </c>
    </row>
    <row r="167" spans="2:24" ht="14.65" thickBot="1" x14ac:dyDescent="0.5">
      <c r="B167" t="s">
        <v>337</v>
      </c>
      <c r="C167" t="s">
        <v>304</v>
      </c>
      <c r="D167" s="80"/>
      <c r="E167" s="178">
        <v>27811003.921969086</v>
      </c>
      <c r="F167" s="90"/>
      <c r="G167" s="90">
        <v>31585122.084295612</v>
      </c>
      <c r="H167" s="90">
        <v>24690475.958468977</v>
      </c>
      <c r="I167" s="90">
        <v>23448488.81446936</v>
      </c>
      <c r="J167" s="90">
        <v>16148827.30276214</v>
      </c>
      <c r="K167" s="90">
        <v>15035430.804142492</v>
      </c>
      <c r="L167" s="90">
        <v>11876740.426593706</v>
      </c>
      <c r="M167" s="90">
        <v>0</v>
      </c>
      <c r="P167" s="28">
        <f>E167/INDEX('Top Down inputs'!$C$98:$Q$137,MATCH('Re-scaled copper costs'!$B167,_xlfn.ANCHORARRAY('Top Down inputs'!$S$98),0),MATCH(P$139,'Top Down inputs'!$C$96:$Q$96,0))</f>
        <v>381.4742045170612</v>
      </c>
      <c r="Q167" s="28">
        <f t="shared" si="3"/>
        <v>383.20609676510071</v>
      </c>
      <c r="R167" s="28">
        <f>G167/INDEX('Top Down inputs'!$C$98:$Q$137,MATCH('Re-scaled copper costs'!$B167,_xlfn.ANCHORARRAY('Top Down inputs'!$S$98),0),MATCH(R$139,'Top Down inputs'!$C$96:$Q$96,0))</f>
        <v>384.93798901314017</v>
      </c>
      <c r="V167" s="26">
        <f>P167*INDEX('Top Down inputs'!$U$98:$AI$137,MATCH($B167,_xlfn.ANCHORARRAY('Top Down inputs'!$S$98),0),MATCH('Re-scaled copper costs'!V$139,'Top Down inputs'!$U$96:$AI$96,0))</f>
        <v>13410072.90125308</v>
      </c>
      <c r="W167" s="26">
        <f>Q167*INDEX('Top Down inputs'!$U$98:$AI$137,MATCH($B167,_xlfn.ANCHORARRAY('Top Down inputs'!$S$98),0),MATCH('Re-scaled copper costs'!W$139,'Top Down inputs'!$U$96:$AI$96,0))</f>
        <v>26727568.339860979</v>
      </c>
      <c r="X167" s="26">
        <f>R167*INDEX('Top Down inputs'!$U$98:$AI$137,MATCH($B167,_xlfn.ANCHORARRAY('Top Down inputs'!$S$98),0),MATCH('Re-scaled copper costs'!X$139,'Top Down inputs'!$U$96:$AI$96,0))</f>
        <v>15229899.320922961</v>
      </c>
    </row>
    <row r="168" spans="2:24" ht="14.65" thickBot="1" x14ac:dyDescent="0.5">
      <c r="B168" t="s">
        <v>375</v>
      </c>
      <c r="C168" t="s">
        <v>305</v>
      </c>
      <c r="D168" s="80"/>
      <c r="E168" s="178">
        <v>942989.49369093124</v>
      </c>
      <c r="F168" s="90"/>
      <c r="G168" s="90">
        <v>980847.47372473171</v>
      </c>
      <c r="H168" s="90">
        <v>973871.6050904314</v>
      </c>
      <c r="I168" s="90">
        <v>850429.20377827738</v>
      </c>
      <c r="J168" s="90">
        <v>759743.31100531155</v>
      </c>
      <c r="K168" s="90">
        <v>587669.51600056665</v>
      </c>
      <c r="L168" s="90">
        <v>443474.58118158602</v>
      </c>
      <c r="M168" s="90">
        <v>334078.15586770629</v>
      </c>
      <c r="P168" s="28">
        <f>E168/INDEX('Top Down inputs'!$C$98:$Q$137,MATCH('Re-scaled copper costs'!$B168,_xlfn.ANCHORARRAY('Top Down inputs'!$S$98),0),MATCH(P$139,'Top Down inputs'!$C$96:$Q$96,0))</f>
        <v>2.73373912021178</v>
      </c>
      <c r="Q168" s="28">
        <f t="shared" si="3"/>
        <v>3.6351597782901113</v>
      </c>
      <c r="R168" s="28">
        <f>G168/INDEX('Top Down inputs'!$C$98:$Q$137,MATCH('Re-scaled copper costs'!$B168,_xlfn.ANCHORARRAY('Top Down inputs'!$S$98),0),MATCH(R$139,'Top Down inputs'!$C$96:$Q$96,0))</f>
        <v>4.5365804363684425</v>
      </c>
      <c r="V168" s="26">
        <f>P168*INDEX('Top Down inputs'!$U$98:$AI$137,MATCH($B168,_xlfn.ANCHORARRAY('Top Down inputs'!$S$98),0),MATCH('Re-scaled copper costs'!V$139,'Top Down inputs'!$U$96:$AI$96,0))</f>
        <v>454696.20194191765</v>
      </c>
      <c r="W168" s="26">
        <f>Q168*INDEX('Top Down inputs'!$U$98:$AI$137,MATCH($B168,_xlfn.ANCHORARRAY('Top Down inputs'!$S$98),0),MATCH('Re-scaled copper costs'!W$139,'Top Down inputs'!$U$96:$AI$96,0))</f>
        <v>389869.91958925663</v>
      </c>
      <c r="X168" s="26">
        <f>R168*INDEX('Top Down inputs'!$U$98:$AI$137,MATCH($B168,_xlfn.ANCHORARRAY('Top Down inputs'!$S$98),0),MATCH('Re-scaled copper costs'!X$139,'Top Down inputs'!$U$96:$AI$96,0))</f>
        <v>472950.78468088928</v>
      </c>
    </row>
    <row r="169" spans="2:24" ht="14.65" thickBot="1" x14ac:dyDescent="0.5">
      <c r="B169" t="s">
        <v>376</v>
      </c>
      <c r="C169" t="s">
        <v>306</v>
      </c>
      <c r="D169" s="80"/>
      <c r="E169" s="178">
        <v>303272.88799594517</v>
      </c>
      <c r="F169" s="90"/>
      <c r="G169" s="90">
        <v>225385.90684158567</v>
      </c>
      <c r="H169" s="90">
        <v>121210.61844311467</v>
      </c>
      <c r="I169" s="90">
        <v>105885.48207851085</v>
      </c>
      <c r="J169" s="90">
        <v>92468.388937367883</v>
      </c>
      <c r="K169" s="90">
        <v>71135.25269349906</v>
      </c>
      <c r="L169" s="90">
        <v>53298.645466874863</v>
      </c>
      <c r="M169" s="90">
        <v>39608.523646170695</v>
      </c>
      <c r="P169" s="28">
        <f>E169/INDEX('Top Down inputs'!$C$98:$Q$137,MATCH('Re-scaled copper costs'!$B169,_xlfn.ANCHORARRAY('Top Down inputs'!$S$98),0),MATCH(P$139,'Top Down inputs'!$C$96:$Q$96,0))</f>
        <v>5.4465243571443516</v>
      </c>
      <c r="Q169" s="28">
        <f t="shared" si="3"/>
        <v>6.5259407466650572</v>
      </c>
      <c r="R169" s="28">
        <f>G169/INDEX('Top Down inputs'!$C$98:$Q$137,MATCH('Re-scaled copper costs'!$B169,_xlfn.ANCHORARRAY('Top Down inputs'!$S$98),0),MATCH(R$139,'Top Down inputs'!$C$96:$Q$96,0))</f>
        <v>7.6053571361857619</v>
      </c>
      <c r="V169" s="26">
        <f>P169*INDEX('Top Down inputs'!$U$98:$AI$137,MATCH($B169,_xlfn.ANCHORARRAY('Top Down inputs'!$S$98),0),MATCH('Re-scaled copper costs'!V$139,'Top Down inputs'!$U$96:$AI$96,0))</f>
        <v>146233.89894194217</v>
      </c>
      <c r="W169" s="26">
        <f>Q169*INDEX('Top Down inputs'!$U$98:$AI$137,MATCH($B169,_xlfn.ANCHORARRAY('Top Down inputs'!$S$98),0),MATCH('Re-scaled copper costs'!W$139,'Top Down inputs'!$U$96:$AI$96,0))</f>
        <v>95683.63350447001</v>
      </c>
      <c r="X169" s="26">
        <f>R169*INDEX('Top Down inputs'!$U$98:$AI$137,MATCH($B169,_xlfn.ANCHORARRAY('Top Down inputs'!$S$98),0),MATCH('Re-scaled copper costs'!X$139,'Top Down inputs'!$U$96:$AI$96,0))</f>
        <v>108677.89778969991</v>
      </c>
    </row>
    <row r="170" spans="2:24" ht="14.65" thickBot="1" x14ac:dyDescent="0.5">
      <c r="B170" t="s">
        <v>338</v>
      </c>
      <c r="C170" t="s">
        <v>307</v>
      </c>
      <c r="D170" s="80"/>
      <c r="E170" s="178">
        <v>424689.19173136179</v>
      </c>
      <c r="F170" s="90"/>
      <c r="G170" s="90">
        <v>546685.56677421625</v>
      </c>
      <c r="H170" s="90">
        <v>410112.69443804293</v>
      </c>
      <c r="I170" s="90">
        <v>299556.87431954511</v>
      </c>
      <c r="J170" s="90">
        <v>204003.87155106704</v>
      </c>
      <c r="K170" s="90">
        <v>130202.97741392517</v>
      </c>
      <c r="L170" s="90">
        <v>77605.304380013433</v>
      </c>
      <c r="M170" s="90">
        <v>58458.243080078966</v>
      </c>
      <c r="P170" s="28">
        <f>E170/INDEX('Top Down inputs'!$C$98:$Q$137,MATCH('Re-scaled copper costs'!$B170,_xlfn.ANCHORARRAY('Top Down inputs'!$S$98),0),MATCH(P$139,'Top Down inputs'!$C$96:$Q$96,0))</f>
        <v>17.898181025220783</v>
      </c>
      <c r="Q170" s="28">
        <f t="shared" si="3"/>
        <v>54.098341614239807</v>
      </c>
      <c r="R170" s="28">
        <f>G170/INDEX('Top Down inputs'!$C$98:$Q$137,MATCH('Re-scaled copper costs'!$B170,_xlfn.ANCHORARRAY('Top Down inputs'!$S$98),0),MATCH(R$139,'Top Down inputs'!$C$96:$Q$96,0))</f>
        <v>90.298502203258835</v>
      </c>
      <c r="V170" s="26">
        <f>P170*INDEX('Top Down inputs'!$U$98:$AI$137,MATCH($B170,_xlfn.ANCHORARRAY('Top Down inputs'!$S$98),0),MATCH('Re-scaled copper costs'!V$139,'Top Down inputs'!$U$96:$AI$96,0))</f>
        <v>204779.12402842095</v>
      </c>
      <c r="W170" s="26">
        <f>Q170*INDEX('Top Down inputs'!$U$98:$AI$137,MATCH($B170,_xlfn.ANCHORARRAY('Top Down inputs'!$S$98),0),MATCH('Re-scaled copper costs'!W$139,'Top Down inputs'!$U$96:$AI$96,0))</f>
        <v>398811.88601833087</v>
      </c>
      <c r="X170" s="26">
        <f>R170*INDEX('Top Down inputs'!$U$98:$AI$137,MATCH($B170,_xlfn.ANCHORARRAY('Top Down inputs'!$S$98),0),MATCH('Re-scaled copper costs'!X$139,'Top Down inputs'!$U$96:$AI$96,0))</f>
        <v>263604.0512983409</v>
      </c>
    </row>
    <row r="171" spans="2:24" ht="14.65" thickBot="1" x14ac:dyDescent="0.5">
      <c r="B171" t="s">
        <v>339</v>
      </c>
      <c r="C171" t="s">
        <v>308</v>
      </c>
      <c r="D171" s="80"/>
      <c r="E171" s="178">
        <v>38537.130748341893</v>
      </c>
      <c r="F171" s="90"/>
      <c r="G171" s="90">
        <v>1494.413583073145</v>
      </c>
      <c r="H171" s="90">
        <v>1305.2486705333686</v>
      </c>
      <c r="I171" s="90">
        <v>984.97913970059415</v>
      </c>
      <c r="J171" s="90">
        <v>736.05996637065653</v>
      </c>
      <c r="K171" s="90">
        <v>499.27869552469463</v>
      </c>
      <c r="L171" s="90">
        <v>319.27038271317957</v>
      </c>
      <c r="M171" s="90">
        <v>432.43307133871923</v>
      </c>
      <c r="P171" s="28">
        <f>E171/INDEX('Top Down inputs'!$C$98:$Q$137,MATCH('Re-scaled copper costs'!$B171,_xlfn.ANCHORARRAY('Top Down inputs'!$S$98),0),MATCH(P$139,'Top Down inputs'!$C$96:$Q$96,0))</f>
        <v>9.2304365172665968</v>
      </c>
      <c r="Q171" s="28">
        <f t="shared" si="3"/>
        <v>5.5370035132070257</v>
      </c>
      <c r="R171" s="28">
        <f>G171/INDEX('Top Down inputs'!$C$98:$Q$137,MATCH('Re-scaled copper costs'!$B171,_xlfn.ANCHORARRAY('Top Down inputs'!$S$98),0),MATCH(R$139,'Top Down inputs'!$C$96:$Q$96,0))</f>
        <v>1.8435705091474552</v>
      </c>
      <c r="V171" s="26">
        <f>P171*INDEX('Top Down inputs'!$U$98:$AI$137,MATCH($B171,_xlfn.ANCHORARRAY('Top Down inputs'!$S$98),0),MATCH('Re-scaled copper costs'!V$139,'Top Down inputs'!$U$96:$AI$96,0))</f>
        <v>18582.059611740791</v>
      </c>
      <c r="W171" s="26">
        <f>Q171*INDEX('Top Down inputs'!$U$98:$AI$137,MATCH($B171,_xlfn.ANCHORARRAY('Top Down inputs'!$S$98),0),MATCH('Re-scaled copper costs'!W$139,'Top Down inputs'!$U$96:$AI$96,0))</f>
        <v>4448.8030392629316</v>
      </c>
      <c r="X171" s="26">
        <f>R171*INDEX('Top Down inputs'!$U$98:$AI$137,MATCH($B171,_xlfn.ANCHORARRAY('Top Down inputs'!$S$98),0),MATCH('Re-scaled copper costs'!X$139,'Top Down inputs'!$U$96:$AI$96,0))</f>
        <v>720.58510184895215</v>
      </c>
    </row>
    <row r="172" spans="2:24" ht="14.65" thickBot="1" x14ac:dyDescent="0.5">
      <c r="B172" t="s">
        <v>377</v>
      </c>
      <c r="C172" t="s">
        <v>309</v>
      </c>
      <c r="D172" s="80"/>
      <c r="E172" s="178">
        <v>5811561.1019512787</v>
      </c>
      <c r="F172" s="90"/>
      <c r="G172" s="90">
        <v>15030609.013940318</v>
      </c>
      <c r="H172" s="90">
        <v>4829456.2888404755</v>
      </c>
      <c r="I172" s="90">
        <v>3890131.2910762532</v>
      </c>
      <c r="J172" s="90">
        <v>2679221.3522114907</v>
      </c>
      <c r="K172" s="90">
        <v>1932695.2625626321</v>
      </c>
      <c r="L172" s="90">
        <v>1167778.0251058394</v>
      </c>
      <c r="M172" s="90">
        <v>326819.98184832808</v>
      </c>
      <c r="P172" s="28">
        <f>E172/INDEX('Top Down inputs'!$C$98:$Q$137,MATCH('Re-scaled copper costs'!$B172,_xlfn.ANCHORARRAY('Top Down inputs'!$S$98),0),MATCH(P$139,'Top Down inputs'!$C$96:$Q$96,0))</f>
        <v>56.655936751780786</v>
      </c>
      <c r="Q172" s="28">
        <f t="shared" si="3"/>
        <v>153.98123054186129</v>
      </c>
      <c r="R172" s="28">
        <f>G172/INDEX('Top Down inputs'!$C$98:$Q$137,MATCH('Re-scaled copper costs'!$B172,_xlfn.ANCHORARRAY('Top Down inputs'!$S$98),0),MATCH(R$139,'Top Down inputs'!$C$96:$Q$96,0))</f>
        <v>251.3065243319418</v>
      </c>
      <c r="V172" s="26">
        <f>P172*INDEX('Top Down inputs'!$U$98:$AI$137,MATCH($B172,_xlfn.ANCHORARRAY('Top Down inputs'!$S$98),0),MATCH('Re-scaled copper costs'!V$139,'Top Down inputs'!$U$96:$AI$96,0))</f>
        <v>2802252.5999390627</v>
      </c>
      <c r="W172" s="26">
        <f>Q172*INDEX('Top Down inputs'!$U$98:$AI$137,MATCH($B172,_xlfn.ANCHORARRAY('Top Down inputs'!$S$98),0),MATCH('Re-scaled copper costs'!W$139,'Top Down inputs'!$U$96:$AI$96,0))</f>
        <v>5873310.4195630681</v>
      </c>
      <c r="X172" s="26">
        <f>R172*INDEX('Top Down inputs'!$U$98:$AI$137,MATCH($B172,_xlfn.ANCHORARRAY('Top Down inputs'!$S$98),0),MATCH('Re-scaled copper costs'!X$139,'Top Down inputs'!$U$96:$AI$96,0))</f>
        <v>7247547.1648813579</v>
      </c>
    </row>
    <row r="173" spans="2:24" ht="14.65" thickBot="1" x14ac:dyDescent="0.5">
      <c r="B173" t="s">
        <v>378</v>
      </c>
      <c r="C173" t="s">
        <v>310</v>
      </c>
      <c r="D173" s="80"/>
      <c r="E173" s="178">
        <v>85552580.804881677</v>
      </c>
      <c r="F173" s="90"/>
      <c r="G173" s="90">
        <v>128077834.78391422</v>
      </c>
      <c r="H173" s="90">
        <v>54038603.386613451</v>
      </c>
      <c r="I173" s="90">
        <v>44696624.805400059</v>
      </c>
      <c r="J173" s="90">
        <v>30876114.810364522</v>
      </c>
      <c r="K173" s="90">
        <v>22382588.770174362</v>
      </c>
      <c r="L173" s="90">
        <v>13589598.521858389</v>
      </c>
      <c r="M173" s="90">
        <v>3817281.7315105014</v>
      </c>
      <c r="P173" s="28">
        <f>E173/INDEX('Top Down inputs'!$C$98:$Q$137,MATCH('Re-scaled copper costs'!$B173,_xlfn.ANCHORARRAY('Top Down inputs'!$S$98),0),MATCH(P$139,'Top Down inputs'!$C$96:$Q$96,0))</f>
        <v>60.654430823540707</v>
      </c>
      <c r="Q173" s="28">
        <f t="shared" si="3"/>
        <v>97.842445276062691</v>
      </c>
      <c r="R173" s="28">
        <f>G173/INDEX('Top Down inputs'!$C$98:$Q$137,MATCH('Re-scaled copper costs'!$B173,_xlfn.ANCHORARRAY('Top Down inputs'!$S$98),0),MATCH(R$139,'Top Down inputs'!$C$96:$Q$96,0))</f>
        <v>135.03045972858467</v>
      </c>
      <c r="V173" s="26">
        <f>P173*INDEX('Top Down inputs'!$U$98:$AI$137,MATCH($B173,_xlfn.ANCHORARRAY('Top Down inputs'!$S$98),0),MATCH('Re-scaled copper costs'!V$139,'Top Down inputs'!$U$96:$AI$96,0))</f>
        <v>41252244.928042106</v>
      </c>
      <c r="W173" s="26">
        <f>Q173*INDEX('Top Down inputs'!$U$98:$AI$137,MATCH($B173,_xlfn.ANCHORARRAY('Top Down inputs'!$S$98),0),MATCH('Re-scaled copper costs'!W$139,'Top Down inputs'!$U$96:$AI$96,0))</f>
        <v>57242868.661920473</v>
      </c>
      <c r="X173" s="26">
        <f>R173*INDEX('Top Down inputs'!$U$98:$AI$137,MATCH($B173,_xlfn.ANCHORARRAY('Top Down inputs'!$S$98),0),MATCH('Re-scaled copper costs'!X$139,'Top Down inputs'!$U$96:$AI$96,0))</f>
        <v>61757321.177830093</v>
      </c>
    </row>
    <row r="174" spans="2:24" ht="14.65" thickBot="1" x14ac:dyDescent="0.5">
      <c r="B174" t="s">
        <v>379</v>
      </c>
      <c r="C174" t="s">
        <v>311</v>
      </c>
      <c r="D174" s="80"/>
      <c r="E174" s="178">
        <v>11894657.786227703</v>
      </c>
      <c r="F174" s="90"/>
      <c r="G174" s="90">
        <v>20112259.272816669</v>
      </c>
      <c r="H174" s="90">
        <v>7941692.4434405658</v>
      </c>
      <c r="I174" s="90">
        <v>6478669.4834648464</v>
      </c>
      <c r="J174" s="90">
        <v>4466340.4778038673</v>
      </c>
      <c r="K174" s="90">
        <v>3270159.3961388599</v>
      </c>
      <c r="L174" s="90">
        <v>1980546.8215541006</v>
      </c>
      <c r="M174" s="90">
        <v>559290.34646462277</v>
      </c>
      <c r="P174" s="28">
        <f>E174/INDEX('Top Down inputs'!$C$98:$Q$137,MATCH('Re-scaled copper costs'!$B174,_xlfn.ANCHORARRAY('Top Down inputs'!$S$98),0),MATCH(P$139,'Top Down inputs'!$C$96:$Q$96,0))</f>
        <v>74.834902322639863</v>
      </c>
      <c r="Q174" s="28">
        <f t="shared" si="3"/>
        <v>122.45340778914472</v>
      </c>
      <c r="R174" s="28">
        <f>G174/INDEX('Top Down inputs'!$C$98:$Q$137,MATCH('Re-scaled copper costs'!$B174,_xlfn.ANCHORARRAY('Top Down inputs'!$S$98),0),MATCH(R$139,'Top Down inputs'!$C$96:$Q$96,0))</f>
        <v>170.07191325564958</v>
      </c>
      <c r="V174" s="26">
        <f>P174*INDEX('Top Down inputs'!$U$98:$AI$137,MATCH($B174,_xlfn.ANCHORARRAY('Top Down inputs'!$S$98),0),MATCH('Re-scaled copper costs'!V$139,'Top Down inputs'!$U$96:$AI$96,0))</f>
        <v>5735435.8187252935</v>
      </c>
      <c r="W174" s="26">
        <f>Q174*INDEX('Top Down inputs'!$U$98:$AI$137,MATCH($B174,_xlfn.ANCHORARRAY('Top Down inputs'!$S$98),0),MATCH('Re-scaled copper costs'!W$139,'Top Down inputs'!$U$96:$AI$96,0))</f>
        <v>8791253.6330076698</v>
      </c>
      <c r="X174" s="26">
        <f>R174*INDEX('Top Down inputs'!$U$98:$AI$137,MATCH($B174,_xlfn.ANCHORARRAY('Top Down inputs'!$S$98),0),MATCH('Re-scaled copper costs'!X$139,'Top Down inputs'!$U$96:$AI$96,0))</f>
        <v>9697847.0757153071</v>
      </c>
    </row>
    <row r="175" spans="2:24" ht="14.65" thickBot="1" x14ac:dyDescent="0.5">
      <c r="B175" t="s">
        <v>380</v>
      </c>
      <c r="C175" t="s">
        <v>312</v>
      </c>
      <c r="D175" s="80"/>
      <c r="E175" s="178">
        <v>36698167.613360316</v>
      </c>
      <c r="F175" s="90"/>
      <c r="G175" s="90">
        <v>46403210.849286169</v>
      </c>
      <c r="H175" s="90">
        <v>14188228.127103237</v>
      </c>
      <c r="I175" s="90">
        <v>11751856.227014318</v>
      </c>
      <c r="J175" s="90">
        <v>8025316.8731595054</v>
      </c>
      <c r="K175" s="90">
        <v>5955519.7510029478</v>
      </c>
      <c r="L175" s="90">
        <v>3512185.3653191472</v>
      </c>
      <c r="M175" s="90">
        <v>992924.19194637774</v>
      </c>
      <c r="P175" s="28">
        <f>E175/INDEX('Top Down inputs'!$C$98:$Q$137,MATCH('Re-scaled copper costs'!$B175,_xlfn.ANCHORARRAY('Top Down inputs'!$S$98),0),MATCH(P$139,'Top Down inputs'!$C$96:$Q$96,0))</f>
        <v>69.892683281511864</v>
      </c>
      <c r="Q175" s="28">
        <f t="shared" si="3"/>
        <v>139.2729587564437</v>
      </c>
      <c r="R175" s="28">
        <f>G175/INDEX('Top Down inputs'!$C$98:$Q$137,MATCH('Re-scaled copper costs'!$B175,_xlfn.ANCHORARRAY('Top Down inputs'!$S$98),0),MATCH(R$139,'Top Down inputs'!$C$96:$Q$96,0))</f>
        <v>208.65323423137556</v>
      </c>
      <c r="V175" s="26">
        <f>P175*INDEX('Top Down inputs'!$U$98:$AI$137,MATCH($B175,_xlfn.ANCHORARRAY('Top Down inputs'!$S$98),0),MATCH('Re-scaled copper costs'!V$139,'Top Down inputs'!$U$96:$AI$96,0))</f>
        <v>17695337.587177724</v>
      </c>
      <c r="W175" s="26">
        <f>Q175*INDEX('Top Down inputs'!$U$98:$AI$137,MATCH($B175,_xlfn.ANCHORARRAY('Top Down inputs'!$S$98),0),MATCH('Re-scaled copper costs'!W$139,'Top Down inputs'!$U$96:$AI$96,0))</f>
        <v>19089253.532778595</v>
      </c>
      <c r="X175" s="26">
        <f>R175*INDEX('Top Down inputs'!$U$98:$AI$137,MATCH($B175,_xlfn.ANCHORARRAY('Top Down inputs'!$S$98),0),MATCH('Re-scaled copper costs'!X$139,'Top Down inputs'!$U$96:$AI$96,0))</f>
        <v>22374972.226356335</v>
      </c>
    </row>
    <row r="176" spans="2:24" ht="14.65" thickBot="1" x14ac:dyDescent="0.5">
      <c r="B176" t="s">
        <v>340</v>
      </c>
      <c r="C176" t="s">
        <v>313</v>
      </c>
      <c r="D176" s="80"/>
      <c r="E176" s="178">
        <v>27894.875001888548</v>
      </c>
      <c r="F176" s="90"/>
      <c r="G176" s="90">
        <v>10697.636177213986</v>
      </c>
      <c r="H176" s="90">
        <v>3865.4917439965366</v>
      </c>
      <c r="I176" s="90">
        <v>2271.3613339082203</v>
      </c>
      <c r="J176" s="90">
        <v>1337.3791231538439</v>
      </c>
      <c r="K176" s="90">
        <v>849.45565305145578</v>
      </c>
      <c r="L176" s="90">
        <v>426.51393253794424</v>
      </c>
      <c r="M176" s="90">
        <v>283.37706922605128</v>
      </c>
      <c r="P176" s="28">
        <f>E176/INDEX('Top Down inputs'!$C$98:$Q$137,MATCH('Re-scaled copper costs'!$B176,_xlfn.ANCHORARRAY('Top Down inputs'!$S$98),0),MATCH(P$139,'Top Down inputs'!$C$96:$Q$96,0))</f>
        <v>18.580383467086982</v>
      </c>
      <c r="Q176" s="28">
        <f t="shared" si="3"/>
        <v>32.280236542092638</v>
      </c>
      <c r="R176" s="28">
        <f>G176/INDEX('Top Down inputs'!$C$98:$Q$137,MATCH('Re-scaled copper costs'!$B176,_xlfn.ANCHORARRAY('Top Down inputs'!$S$98),0),MATCH(R$139,'Top Down inputs'!$C$96:$Q$96,0))</f>
        <v>45.980089617098294</v>
      </c>
      <c r="V176" s="26">
        <f>P176*INDEX('Top Down inputs'!$U$98:$AI$137,MATCH($B176,_xlfn.ANCHORARRAY('Top Down inputs'!$S$98),0),MATCH('Re-scaled copper costs'!V$139,'Top Down inputs'!$U$96:$AI$96,0))</f>
        <v>13450.514350227108</v>
      </c>
      <c r="W176" s="26">
        <f>Q176*INDEX('Top Down inputs'!$U$98:$AI$137,MATCH($B176,_xlfn.ANCHORARRAY('Top Down inputs'!$S$98),0),MATCH('Re-scaled copper costs'!W$139,'Top Down inputs'!$U$96:$AI$96,0))</f>
        <v>9742.8563732409293</v>
      </c>
      <c r="X176" s="26">
        <f>R176*INDEX('Top Down inputs'!$U$98:$AI$137,MATCH($B176,_xlfn.ANCHORARRAY('Top Down inputs'!$S$98),0),MATCH('Re-scaled copper costs'!X$139,'Top Down inputs'!$U$96:$AI$96,0))</f>
        <v>5158.2489222620216</v>
      </c>
    </row>
    <row r="177" spans="2:24" ht="14.65" thickBot="1" x14ac:dyDescent="0.5">
      <c r="B177" t="s">
        <v>341</v>
      </c>
      <c r="C177" t="s">
        <v>314</v>
      </c>
      <c r="D177" s="80"/>
      <c r="E177" s="178">
        <v>498995.10478032118</v>
      </c>
      <c r="F177" s="90"/>
      <c r="G177" s="90">
        <v>126111.21038350895</v>
      </c>
      <c r="H177" s="90">
        <v>36108.737975085191</v>
      </c>
      <c r="I177" s="90">
        <v>21233.736610277512</v>
      </c>
      <c r="J177" s="90">
        <v>12514.047863540529</v>
      </c>
      <c r="K177" s="90">
        <v>7948.8857047783222</v>
      </c>
      <c r="L177" s="90">
        <v>3994.6674666490194</v>
      </c>
      <c r="M177" s="90">
        <v>2740.4633800364027</v>
      </c>
      <c r="P177" s="28">
        <f>E177/INDEX('Top Down inputs'!$C$98:$Q$137,MATCH('Re-scaled copper costs'!$B177,_xlfn.ANCHORARRAY('Top Down inputs'!$S$98),0),MATCH(P$139,'Top Down inputs'!$C$96:$Q$96,0))</f>
        <v>19.316939696483711</v>
      </c>
      <c r="Q177" s="28">
        <f t="shared" si="3"/>
        <v>31.82412721402887</v>
      </c>
      <c r="R177" s="28">
        <f>G177/INDEX('Top Down inputs'!$C$98:$Q$137,MATCH('Re-scaled copper costs'!$B177,_xlfn.ANCHORARRAY('Top Down inputs'!$S$98),0),MATCH(R$139,'Top Down inputs'!$C$96:$Q$96,0))</f>
        <v>44.331314731574025</v>
      </c>
      <c r="V177" s="26">
        <f>P177*INDEX('Top Down inputs'!$U$98:$AI$137,MATCH($B177,_xlfn.ANCHORARRAY('Top Down inputs'!$S$98),0),MATCH('Re-scaled copper costs'!V$139,'Top Down inputs'!$U$96:$AI$96,0))</f>
        <v>240608.3847691158</v>
      </c>
      <c r="W177" s="26">
        <f>Q177*INDEX('Top Down inputs'!$U$98:$AI$137,MATCH($B177,_xlfn.ANCHORARRAY('Top Down inputs'!$S$98),0),MATCH('Re-scaled copper costs'!W$139,'Top Down inputs'!$U$96:$AI$96,0))</f>
        <v>134016.24863073262</v>
      </c>
      <c r="X177" s="26">
        <f>R177*INDEX('Top Down inputs'!$U$98:$AI$137,MATCH($B177,_xlfn.ANCHORARRAY('Top Down inputs'!$S$98),0),MATCH('Re-scaled copper costs'!X$139,'Top Down inputs'!$U$96:$AI$96,0))</f>
        <v>60809.042695945274</v>
      </c>
    </row>
    <row r="178" spans="2:24" ht="14.65" thickBot="1" x14ac:dyDescent="0.5">
      <c r="B178" t="s">
        <v>342</v>
      </c>
      <c r="C178" t="s">
        <v>315</v>
      </c>
      <c r="D178" s="80"/>
      <c r="E178" s="178">
        <v>238941.28442621944</v>
      </c>
      <c r="F178" s="90"/>
      <c r="G178" s="90">
        <v>6542.9355403909722</v>
      </c>
      <c r="H178" s="90">
        <v>2626.0287270634881</v>
      </c>
      <c r="I178" s="90">
        <v>1544.142732610391</v>
      </c>
      <c r="J178" s="90">
        <v>909.91934912829845</v>
      </c>
      <c r="K178" s="90">
        <v>577.94293220449811</v>
      </c>
      <c r="L178" s="90">
        <v>290.37455044453475</v>
      </c>
      <c r="M178" s="90">
        <v>197.23042617223032</v>
      </c>
      <c r="P178" s="28">
        <f>E178/INDEX('Top Down inputs'!$C$98:$Q$137,MATCH('Re-scaled copper costs'!$B178,_xlfn.ANCHORARRAY('Top Down inputs'!$S$98),0),MATCH(P$139,'Top Down inputs'!$C$96:$Q$96,0))</f>
        <v>29.218349467209876</v>
      </c>
      <c r="Q178" s="28">
        <f t="shared" si="3"/>
        <v>18.817893821254884</v>
      </c>
      <c r="R178" s="28">
        <f>G178/INDEX('Top Down inputs'!$C$98:$Q$137,MATCH('Re-scaled copper costs'!$B178,_xlfn.ANCHORARRAY('Top Down inputs'!$S$98),0),MATCH(R$139,'Top Down inputs'!$C$96:$Q$96,0))</f>
        <v>8.417438175299889</v>
      </c>
      <c r="V178" s="26">
        <f>P178*INDEX('Top Down inputs'!$U$98:$AI$137,MATCH($B178,_xlfn.ANCHORARRAY('Top Down inputs'!$S$98),0),MATCH('Re-scaled copper costs'!V$139,'Top Down inputs'!$U$96:$AI$96,0))</f>
        <v>115214.1092160827</v>
      </c>
      <c r="W178" s="26">
        <f>Q178*INDEX('Top Down inputs'!$U$98:$AI$137,MATCH($B178,_xlfn.ANCHORARRAY('Top Down inputs'!$S$98),0),MATCH('Re-scaled copper costs'!W$139,'Top Down inputs'!$U$96:$AI$96,0))</f>
        <v>17129.065567882124</v>
      </c>
      <c r="X178" s="26">
        <f>R178*INDEX('Top Down inputs'!$U$98:$AI$137,MATCH($B178,_xlfn.ANCHORARRAY('Top Down inputs'!$S$98),0),MATCH('Re-scaled copper costs'!X$139,'Top Down inputs'!$U$96:$AI$96,0))</f>
        <v>3154.9110140368634</v>
      </c>
    </row>
    <row r="179" spans="2:24" x14ac:dyDescent="0.45">
      <c r="B179" t="s">
        <v>343</v>
      </c>
      <c r="C179" t="s">
        <v>316</v>
      </c>
      <c r="D179" s="80"/>
      <c r="E179" s="178">
        <v>99525.537874684014</v>
      </c>
      <c r="F179" s="90"/>
      <c r="G179" s="90">
        <v>11910.390225957834</v>
      </c>
      <c r="H179" s="90">
        <v>3807.8913716002148</v>
      </c>
      <c r="I179" s="90">
        <v>2239.2989503626486</v>
      </c>
      <c r="J179" s="90">
        <v>1320.3603286647597</v>
      </c>
      <c r="K179" s="90">
        <v>838.8502478662374</v>
      </c>
      <c r="L179" s="90">
        <v>421.64982143105607</v>
      </c>
      <c r="M179" s="90">
        <v>291.80351215847497</v>
      </c>
      <c r="P179" s="28">
        <f>E179/INDEX('Top Down inputs'!$C$98:$Q$137,MATCH('Re-scaled copper costs'!$B179,_xlfn.ANCHORARRAY('Top Down inputs'!$S$98),0),MATCH(P$139,'Top Down inputs'!$C$96:$Q$96,0))</f>
        <v>39.28491323640695</v>
      </c>
      <c r="Q179" s="28">
        <f t="shared" si="3"/>
        <v>32.92123870407471</v>
      </c>
      <c r="R179" s="28">
        <f>G179/INDEX('Top Down inputs'!$C$98:$Q$137,MATCH('Re-scaled copper costs'!$B179,_xlfn.ANCHORARRAY('Top Down inputs'!$S$98),0),MATCH(R$139,'Top Down inputs'!$C$96:$Q$96,0))</f>
        <v>26.557564171742474</v>
      </c>
      <c r="V179" s="26">
        <f>P179*INDEX('Top Down inputs'!$U$98:$AI$137,MATCH($B179,_xlfn.ANCHORARRAY('Top Down inputs'!$S$98),0),MATCH('Re-scaled copper costs'!V$139,'Top Down inputs'!$U$96:$AI$96,0))</f>
        <v>47989.80727846524</v>
      </c>
      <c r="W179" s="26">
        <f>Q179*INDEX('Top Down inputs'!$U$98:$AI$137,MATCH($B179,_xlfn.ANCHORARRAY('Top Down inputs'!$S$98),0),MATCH('Re-scaled copper costs'!W$139,'Top Down inputs'!$U$96:$AI$96,0))</f>
        <v>15192.051726471916</v>
      </c>
      <c r="X179" s="26">
        <f>R179*INDEX('Top Down inputs'!$U$98:$AI$137,MATCH($B179,_xlfn.ANCHORARRAY('Top Down inputs'!$S$98),0),MATCH('Re-scaled copper costs'!X$139,'Top Down inputs'!$U$96:$AI$96,0))</f>
        <v>5743.0217787390893</v>
      </c>
    </row>
  </sheetData>
  <mergeCells count="8">
    <mergeCell ref="G136:M136"/>
    <mergeCell ref="G137:M137"/>
    <mergeCell ref="D2:M2"/>
    <mergeCell ref="G45:M45"/>
    <mergeCell ref="G46:M46"/>
    <mergeCell ref="G91:M91"/>
    <mergeCell ref="G92:M92"/>
    <mergeCell ref="H93:M9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77081-29E5-4A21-990F-96E36DC62B7A}">
  <sheetPr>
    <tabColor rgb="FFFFC000"/>
  </sheetPr>
  <dimension ref="A1"/>
  <sheetViews>
    <sheetView topLeftCell="A14" workbookViewId="0">
      <selection activeCell="P31" sqref="P31:Q70"/>
    </sheetView>
  </sheetViews>
  <sheetFormatPr defaultRowHeight="14.25" x14ac:dyDescent="0.45"/>
  <sheetData/>
  <pageMargins left="0.7" right="0.7" top="0.75" bottom="0.75" header="0.3" footer="0.3"/>
  <pageSetup paperSize="9" orientation="portrait" r:id="rId1"/>
  <headerFooter>
    <oddHeader>&amp;L&amp;"Calibri"&amp;12&amp;K000000 Classification: CONFIDENTIAL&amp;1#_x000D_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C3E36-DE32-4F55-9C10-DB6DAC4A329F}">
  <dimension ref="A1:Q57"/>
  <sheetViews>
    <sheetView tabSelected="1" workbookViewId="0"/>
  </sheetViews>
  <sheetFormatPr defaultRowHeight="14.25" x14ac:dyDescent="0.45"/>
  <cols>
    <col min="1" max="1" width="11.86328125" customWidth="1"/>
    <col min="2" max="2" width="68.86328125" customWidth="1"/>
    <col min="3" max="3" width="18" customWidth="1"/>
    <col min="4" max="4" width="13.265625" bestFit="1" customWidth="1"/>
    <col min="5" max="6" width="15.265625" bestFit="1" customWidth="1"/>
    <col min="7" max="9" width="13.265625" bestFit="1" customWidth="1"/>
    <col min="10" max="10" width="21.265625" bestFit="1" customWidth="1"/>
    <col min="11" max="11" width="13.265625" bestFit="1" customWidth="1"/>
    <col min="12" max="13" width="11.59765625" bestFit="1" customWidth="1"/>
    <col min="14" max="14" width="12" customWidth="1"/>
    <col min="15" max="15" width="9.86328125" bestFit="1" customWidth="1"/>
  </cols>
  <sheetData>
    <row r="1" spans="1:16" x14ac:dyDescent="0.45">
      <c r="B1" s="105"/>
      <c r="C1" s="126"/>
    </row>
    <row r="2" spans="1:16" ht="15.75" x14ac:dyDescent="0.5">
      <c r="B2" s="154" t="s">
        <v>421</v>
      </c>
      <c r="J2" s="154" t="s">
        <v>422</v>
      </c>
    </row>
    <row r="3" spans="1:16" ht="14.65" thickBot="1" x14ac:dyDescent="0.5">
      <c r="A3" s="232" t="s">
        <v>423</v>
      </c>
      <c r="B3" s="105" t="s">
        <v>424</v>
      </c>
      <c r="C3" s="106" t="s">
        <v>5</v>
      </c>
      <c r="D3" s="106" t="s">
        <v>6</v>
      </c>
      <c r="E3" s="106" t="s">
        <v>7</v>
      </c>
      <c r="F3" s="106" t="s">
        <v>8</v>
      </c>
      <c r="J3" s="105" t="s">
        <v>424</v>
      </c>
      <c r="K3" s="106" t="s">
        <v>5</v>
      </c>
      <c r="L3" s="106" t="s">
        <v>6</v>
      </c>
      <c r="M3" s="106" t="s">
        <v>7</v>
      </c>
      <c r="N3" s="106" t="s">
        <v>8</v>
      </c>
    </row>
    <row r="4" spans="1:16" ht="14.65" thickBot="1" x14ac:dyDescent="0.5">
      <c r="A4" s="232"/>
      <c r="B4" s="107" t="s">
        <v>2</v>
      </c>
      <c r="C4" s="179">
        <v>8194428.9099999992</v>
      </c>
      <c r="D4" s="179">
        <v>9363680.6899999995</v>
      </c>
      <c r="E4" s="179">
        <v>12172854.32</v>
      </c>
      <c r="F4" s="179">
        <v>15008105.649999999</v>
      </c>
      <c r="J4" s="107"/>
    </row>
    <row r="5" spans="1:16" ht="14.65" thickBot="1" x14ac:dyDescent="0.5">
      <c r="A5" s="232"/>
      <c r="B5" s="107" t="s">
        <v>425</v>
      </c>
      <c r="C5" s="179">
        <v>57063.592810935945</v>
      </c>
      <c r="D5" s="179">
        <v>117780.95373611906</v>
      </c>
      <c r="E5" s="179">
        <v>154696.81200716671</v>
      </c>
      <c r="F5" s="179">
        <v>179656.18045416518</v>
      </c>
      <c r="J5" s="107" t="s">
        <v>425</v>
      </c>
      <c r="K5" s="26">
        <f>L5*(1+P5)</f>
        <v>56097.449591625234</v>
      </c>
      <c r="L5" s="26">
        <f>AVERAGE(C5:D5)</f>
        <v>87422.273273527506</v>
      </c>
      <c r="M5" s="26">
        <f t="shared" ref="M5:N5" si="0">AVERAGE(D5:E5)</f>
        <v>136238.88287164288</v>
      </c>
      <c r="N5" s="26">
        <f t="shared" si="0"/>
        <v>167176.49623066594</v>
      </c>
      <c r="P5" s="164">
        <f>(L5-M5)/M5</f>
        <v>-0.35831627923804854</v>
      </c>
    </row>
    <row r="6" spans="1:16" ht="14.65" thickBot="1" x14ac:dyDescent="0.5">
      <c r="A6" s="232"/>
      <c r="B6" s="107" t="s">
        <v>426</v>
      </c>
      <c r="C6" s="179">
        <v>159265.47088306272</v>
      </c>
      <c r="D6" s="179">
        <v>156821.64970338202</v>
      </c>
      <c r="E6" s="179">
        <v>134418.13886019468</v>
      </c>
      <c r="F6" s="179">
        <v>96515.909650754053</v>
      </c>
      <c r="H6" s="94"/>
      <c r="I6" s="94"/>
      <c r="J6" s="107" t="s">
        <v>426</v>
      </c>
      <c r="K6" s="26">
        <f t="shared" ref="K6:K12" si="1">L6*(1+P6)</f>
        <v>171527.16030560399</v>
      </c>
      <c r="L6" s="26">
        <f t="shared" ref="L6:L12" si="2">AVERAGE(C6:D6)</f>
        <v>158043.56029322237</v>
      </c>
      <c r="M6" s="26">
        <f t="shared" ref="M6:M12" si="3">AVERAGE(D6:E6)</f>
        <v>145619.89428178835</v>
      </c>
      <c r="N6" s="26">
        <f t="shared" ref="N6:N12" si="4">AVERAGE(E6:F6)</f>
        <v>115467.02425547436</v>
      </c>
      <c r="O6" s="94"/>
      <c r="P6" s="164">
        <f t="shared" ref="P6:P12" si="5">(L6-M6)/M6</f>
        <v>8.5315719206560087E-2</v>
      </c>
    </row>
    <row r="7" spans="1:16" ht="14.65" thickBot="1" x14ac:dyDescent="0.5">
      <c r="A7" s="232"/>
      <c r="B7" s="107" t="s">
        <v>427</v>
      </c>
      <c r="C7" s="179">
        <v>432503.53218737111</v>
      </c>
      <c r="D7" s="179">
        <v>654148.65396909951</v>
      </c>
      <c r="E7" s="179">
        <v>1053563.7034338305</v>
      </c>
      <c r="F7" s="179">
        <v>1054764.2346448847</v>
      </c>
      <c r="J7" s="107" t="s">
        <v>427</v>
      </c>
      <c r="K7" s="26">
        <f t="shared" si="1"/>
        <v>345729.46918133332</v>
      </c>
      <c r="L7" s="26">
        <f t="shared" si="2"/>
        <v>543326.09307823528</v>
      </c>
      <c r="M7" s="26">
        <f t="shared" si="3"/>
        <v>853856.17870146502</v>
      </c>
      <c r="N7" s="26">
        <f t="shared" si="4"/>
        <v>1054163.9690393577</v>
      </c>
      <c r="P7" s="164">
        <f t="shared" si="5"/>
        <v>-0.36367961416579597</v>
      </c>
    </row>
    <row r="8" spans="1:16" ht="14.65" thickBot="1" x14ac:dyDescent="0.5">
      <c r="A8" s="232"/>
      <c r="B8" s="107" t="s">
        <v>428</v>
      </c>
      <c r="C8" s="179">
        <v>482866.88341820991</v>
      </c>
      <c r="D8" s="179">
        <v>951212.67525655881</v>
      </c>
      <c r="E8" s="179">
        <v>1389986.3450360734</v>
      </c>
      <c r="F8" s="179">
        <v>2461821.7509531383</v>
      </c>
      <c r="J8" s="107" t="s">
        <v>428</v>
      </c>
      <c r="K8" s="26">
        <f t="shared" si="1"/>
        <v>439216.009143845</v>
      </c>
      <c r="L8" s="26">
        <f t="shared" si="2"/>
        <v>717039.77933738439</v>
      </c>
      <c r="M8" s="26">
        <f t="shared" si="3"/>
        <v>1170599.5101463161</v>
      </c>
      <c r="N8" s="26">
        <f t="shared" si="4"/>
        <v>1925904.0479946057</v>
      </c>
      <c r="P8" s="164">
        <f t="shared" si="5"/>
        <v>-0.38745935469615922</v>
      </c>
    </row>
    <row r="9" spans="1:16" ht="14.65" thickBot="1" x14ac:dyDescent="0.5">
      <c r="A9" s="232"/>
      <c r="B9" s="107" t="s">
        <v>429</v>
      </c>
      <c r="C9" s="179">
        <v>3708.1398992626055</v>
      </c>
      <c r="D9" s="179">
        <v>11611.826400084536</v>
      </c>
      <c r="E9" s="179">
        <v>39726.353024913646</v>
      </c>
      <c r="F9" s="179">
        <v>43267.393283332072</v>
      </c>
      <c r="J9" s="107" t="s">
        <v>429</v>
      </c>
      <c r="K9" s="26">
        <f t="shared" si="1"/>
        <v>2285.8364870146588</v>
      </c>
      <c r="L9" s="26">
        <f t="shared" si="2"/>
        <v>7659.9831496735706</v>
      </c>
      <c r="M9" s="26">
        <f t="shared" si="3"/>
        <v>25669.089712499092</v>
      </c>
      <c r="N9" s="26">
        <f t="shared" si="4"/>
        <v>41496.873154122863</v>
      </c>
      <c r="P9" s="164">
        <f t="shared" si="5"/>
        <v>-0.70158726953438932</v>
      </c>
    </row>
    <row r="10" spans="1:16" ht="14.65" thickBot="1" x14ac:dyDescent="0.5">
      <c r="A10" s="232"/>
      <c r="B10" s="107" t="s">
        <v>430</v>
      </c>
      <c r="C10" s="179">
        <v>77277.867610062633</v>
      </c>
      <c r="D10" s="179">
        <v>93832.389400498912</v>
      </c>
      <c r="E10" s="179">
        <v>95512.857925332821</v>
      </c>
      <c r="F10" s="179">
        <v>201307.55426045603</v>
      </c>
      <c r="J10" s="107" t="s">
        <v>430</v>
      </c>
      <c r="K10" s="26">
        <f t="shared" si="1"/>
        <v>77315.698354542285</v>
      </c>
      <c r="L10" s="26">
        <f t="shared" si="2"/>
        <v>85555.128505280765</v>
      </c>
      <c r="M10" s="26">
        <f t="shared" si="3"/>
        <v>94672.623662915867</v>
      </c>
      <c r="N10" s="26">
        <f t="shared" si="4"/>
        <v>148410.20609289443</v>
      </c>
      <c r="P10" s="164">
        <f t="shared" si="5"/>
        <v>-9.6305508444533658E-2</v>
      </c>
    </row>
    <row r="11" spans="1:16" ht="14.65" thickBot="1" x14ac:dyDescent="0.5">
      <c r="A11" s="232"/>
      <c r="B11" s="107" t="s">
        <v>431</v>
      </c>
      <c r="C11" s="179">
        <v>70618.814345195831</v>
      </c>
      <c r="D11" s="179">
        <v>280055.16108818108</v>
      </c>
      <c r="E11" s="179">
        <v>606892.75537024927</v>
      </c>
      <c r="F11" s="179">
        <v>860216.25214841031</v>
      </c>
      <c r="J11" s="107" t="s">
        <v>431</v>
      </c>
      <c r="K11" s="26">
        <f t="shared" si="1"/>
        <v>69323.257185875656</v>
      </c>
      <c r="L11" s="26">
        <f t="shared" si="2"/>
        <v>175336.98771668845</v>
      </c>
      <c r="M11" s="26">
        <f t="shared" si="3"/>
        <v>443473.95822921518</v>
      </c>
      <c r="N11" s="26">
        <f t="shared" si="4"/>
        <v>733554.50375932979</v>
      </c>
      <c r="P11" s="164">
        <f t="shared" si="5"/>
        <v>-0.60462844669209792</v>
      </c>
    </row>
    <row r="12" spans="1:16" x14ac:dyDescent="0.45">
      <c r="A12" s="232"/>
      <c r="B12" s="107" t="s">
        <v>432</v>
      </c>
      <c r="C12" s="179">
        <v>84241.966668153123</v>
      </c>
      <c r="D12" s="179">
        <v>190842.04046120457</v>
      </c>
      <c r="E12" s="179">
        <v>321121.94304831937</v>
      </c>
      <c r="F12" s="179">
        <v>847586.51869785448</v>
      </c>
      <c r="I12" s="153"/>
      <c r="J12" s="107" t="s">
        <v>432</v>
      </c>
      <c r="K12" s="26">
        <f t="shared" si="1"/>
        <v>73902.865646540944</v>
      </c>
      <c r="L12" s="26">
        <f t="shared" si="2"/>
        <v>137542.00356467883</v>
      </c>
      <c r="M12" s="26">
        <f t="shared" si="3"/>
        <v>255981.99175476196</v>
      </c>
      <c r="N12" s="26">
        <f t="shared" si="4"/>
        <v>584354.23087308696</v>
      </c>
      <c r="P12" s="164">
        <f t="shared" si="5"/>
        <v>-0.46268875157261846</v>
      </c>
    </row>
    <row r="14" spans="1:16" x14ac:dyDescent="0.45">
      <c r="A14" s="158"/>
      <c r="B14" s="107"/>
      <c r="C14" s="162"/>
      <c r="D14" s="162"/>
      <c r="E14" s="162"/>
      <c r="F14" s="162"/>
    </row>
    <row r="15" spans="1:16" ht="15.75" x14ac:dyDescent="0.5">
      <c r="B15" s="154" t="s">
        <v>433</v>
      </c>
      <c r="C15" s="105"/>
      <c r="D15" s="105"/>
      <c r="E15" s="105"/>
      <c r="F15" s="105"/>
      <c r="G15" s="127"/>
      <c r="H15" s="127"/>
      <c r="I15" s="127"/>
      <c r="J15" s="154" t="s">
        <v>422</v>
      </c>
    </row>
    <row r="16" spans="1:16" ht="14.65" thickBot="1" x14ac:dyDescent="0.5">
      <c r="B16" s="105" t="s">
        <v>424</v>
      </c>
      <c r="C16" s="106" t="s">
        <v>9</v>
      </c>
      <c r="D16" s="106" t="s">
        <v>10</v>
      </c>
      <c r="E16" s="106" t="s">
        <v>11</v>
      </c>
      <c r="F16" s="106" t="s">
        <v>12</v>
      </c>
      <c r="G16" s="106" t="s">
        <v>13</v>
      </c>
      <c r="H16" s="159"/>
      <c r="I16" s="159"/>
      <c r="J16" s="105" t="s">
        <v>424</v>
      </c>
      <c r="K16" s="106" t="s">
        <v>9</v>
      </c>
      <c r="L16" s="106" t="s">
        <v>10</v>
      </c>
      <c r="M16" s="106" t="s">
        <v>11</v>
      </c>
      <c r="N16" s="106" t="s">
        <v>12</v>
      </c>
      <c r="O16" s="106" t="s">
        <v>13</v>
      </c>
    </row>
    <row r="17" spans="1:17" ht="14.65" thickBot="1" x14ac:dyDescent="0.5">
      <c r="A17" s="232" t="s">
        <v>423</v>
      </c>
      <c r="B17" s="107" t="s">
        <v>434</v>
      </c>
      <c r="C17" s="180">
        <v>3937.6022587355055</v>
      </c>
      <c r="D17" s="180">
        <v>5960.1407983613763</v>
      </c>
      <c r="E17" s="180">
        <v>5912.9564426631641</v>
      </c>
      <c r="F17" s="180">
        <v>5854.3565657965992</v>
      </c>
      <c r="G17" s="180">
        <v>5665.7269859350063</v>
      </c>
      <c r="H17" s="160"/>
      <c r="I17" s="160"/>
      <c r="J17" s="107"/>
    </row>
    <row r="18" spans="1:17" ht="14.65" thickBot="1" x14ac:dyDescent="0.5">
      <c r="A18" s="232"/>
      <c r="B18" s="107" t="s">
        <v>435</v>
      </c>
      <c r="C18" s="180">
        <v>3368.7405124640263</v>
      </c>
      <c r="D18" s="180">
        <v>5659.5117398065449</v>
      </c>
      <c r="E18" s="180">
        <v>5280.057100975705</v>
      </c>
      <c r="F18" s="180">
        <v>6812.8892856965767</v>
      </c>
      <c r="G18" s="180">
        <v>6565.9018572496752</v>
      </c>
      <c r="H18" s="160"/>
      <c r="I18" s="160"/>
    </row>
    <row r="19" spans="1:17" ht="14.65" thickBot="1" x14ac:dyDescent="0.5">
      <c r="A19" s="232"/>
      <c r="B19" s="107" t="s">
        <v>436</v>
      </c>
      <c r="C19" s="180">
        <v>165.73819543414641</v>
      </c>
      <c r="D19" s="180">
        <v>146.87059294952198</v>
      </c>
      <c r="E19" s="180">
        <v>102.07243511990161</v>
      </c>
      <c r="F19" s="180">
        <v>61.39457428683184</v>
      </c>
      <c r="G19" s="180">
        <v>48.822946780416011</v>
      </c>
      <c r="H19" s="160"/>
      <c r="I19" s="160"/>
      <c r="J19" s="107" t="s">
        <v>436</v>
      </c>
      <c r="K19" s="26">
        <f>L19*(1+Q19)</f>
        <v>196278.35198391756</v>
      </c>
      <c r="L19" s="26">
        <f>AVERAGE(C19:D19)*1000</f>
        <v>156304.3941918342</v>
      </c>
      <c r="M19" s="26">
        <f t="shared" ref="M19:O19" si="6">AVERAGE(D19:E19)*1000</f>
        <v>124471.51403471178</v>
      </c>
      <c r="N19" s="26">
        <f t="shared" si="6"/>
        <v>81733.504703366722</v>
      </c>
      <c r="O19" s="26">
        <f t="shared" si="6"/>
        <v>55108.760533623921</v>
      </c>
      <c r="Q19" s="164">
        <f t="shared" ref="Q19:Q26" si="7">(L19-M19)/M19</f>
        <v>0.25574429944063409</v>
      </c>
    </row>
    <row r="20" spans="1:17" ht="14.65" thickBot="1" x14ac:dyDescent="0.5">
      <c r="A20" s="232"/>
      <c r="B20" s="107" t="s">
        <v>437</v>
      </c>
      <c r="C20" s="180">
        <v>1085.706717724669</v>
      </c>
      <c r="D20" s="180">
        <v>1051.0248061533991</v>
      </c>
      <c r="E20" s="180">
        <v>1315.9649191786036</v>
      </c>
      <c r="F20" s="180">
        <v>912.36600977934006</v>
      </c>
      <c r="G20" s="180">
        <v>954.33642983745824</v>
      </c>
      <c r="H20" s="160"/>
      <c r="I20" s="160"/>
      <c r="J20" s="107" t="s">
        <v>437</v>
      </c>
      <c r="K20" s="26">
        <f>L20*(1+Q20)</f>
        <v>964436.29566112731</v>
      </c>
      <c r="L20" s="26">
        <f t="shared" ref="L20:L26" si="8">AVERAGE(C20:D20)*1000</f>
        <v>1068365.7619390341</v>
      </c>
      <c r="M20" s="26">
        <f t="shared" ref="M20:M26" si="9">AVERAGE(D20:E20)*1000</f>
        <v>1183494.8626660013</v>
      </c>
      <c r="N20" s="26">
        <f t="shared" ref="N20:N26" si="10">AVERAGE(E20:F20)*1000</f>
        <v>1114165.4644789719</v>
      </c>
      <c r="O20" s="26">
        <f t="shared" ref="O20:O26" si="11">AVERAGE(F20:G20)*1000</f>
        <v>933351.2198083991</v>
      </c>
      <c r="Q20" s="164">
        <f t="shared" si="7"/>
        <v>-9.7278918868833525E-2</v>
      </c>
    </row>
    <row r="21" spans="1:17" ht="14.65" thickBot="1" x14ac:dyDescent="0.5">
      <c r="A21" s="232"/>
      <c r="B21" s="107" t="s">
        <v>438</v>
      </c>
      <c r="C21" s="180">
        <v>564.87992554796915</v>
      </c>
      <c r="D21" s="180">
        <v>693.53425083802472</v>
      </c>
      <c r="E21" s="180">
        <v>639.83253774571722</v>
      </c>
      <c r="F21" s="180">
        <v>522.11586762436355</v>
      </c>
      <c r="G21" s="180">
        <v>512.5186306256785</v>
      </c>
      <c r="H21" s="160"/>
      <c r="I21" s="160"/>
      <c r="J21" s="107" t="s">
        <v>438</v>
      </c>
      <c r="K21" s="26">
        <f>L21*(1+Q21)</f>
        <v>593837.43951328401</v>
      </c>
      <c r="L21" s="26">
        <f t="shared" si="8"/>
        <v>629207.08819299692</v>
      </c>
      <c r="M21" s="26">
        <f t="shared" si="9"/>
        <v>666683.39429187099</v>
      </c>
      <c r="N21" s="26">
        <f t="shared" si="10"/>
        <v>580974.20268504042</v>
      </c>
      <c r="O21" s="26">
        <f t="shared" si="11"/>
        <v>517317.24912502104</v>
      </c>
      <c r="Q21" s="164">
        <f t="shared" si="7"/>
        <v>-5.6213048682096194E-2</v>
      </c>
    </row>
    <row r="22" spans="1:17" ht="14.65" thickBot="1" x14ac:dyDescent="0.5">
      <c r="A22" s="232"/>
      <c r="B22" s="107" t="s">
        <v>439</v>
      </c>
      <c r="C22" s="180">
        <v>3253.5591512594792</v>
      </c>
      <c r="D22" s="180">
        <v>3181.2527364049806</v>
      </c>
      <c r="E22" s="180">
        <v>3916.6528718511181</v>
      </c>
      <c r="F22" s="180">
        <v>3456.7294306323506</v>
      </c>
      <c r="G22" s="180">
        <v>5154.8018705589748</v>
      </c>
      <c r="H22" s="160"/>
      <c r="I22" s="161"/>
      <c r="J22" s="107" t="s">
        <v>439</v>
      </c>
      <c r="K22" s="26">
        <f>L22*(1+Q22)</f>
        <v>2916832.5358866807</v>
      </c>
      <c r="L22" s="26">
        <f t="shared" si="8"/>
        <v>3217405.9438322303</v>
      </c>
      <c r="M22" s="26">
        <f t="shared" si="9"/>
        <v>3548952.8041280489</v>
      </c>
      <c r="N22" s="26">
        <f t="shared" si="10"/>
        <v>3686691.1512417346</v>
      </c>
      <c r="O22" s="26">
        <f t="shared" si="11"/>
        <v>4305765.6505956631</v>
      </c>
      <c r="Q22" s="164">
        <f t="shared" si="7"/>
        <v>-9.3421039555716845E-2</v>
      </c>
    </row>
    <row r="23" spans="1:17" ht="14.65" thickBot="1" x14ac:dyDescent="0.5">
      <c r="A23" s="232"/>
      <c r="B23" s="107" t="s">
        <v>440</v>
      </c>
      <c r="C23" s="180">
        <v>36.125912915328676</v>
      </c>
      <c r="D23" s="180">
        <v>33.205368419982804</v>
      </c>
      <c r="E23" s="180">
        <v>26.785701088019682</v>
      </c>
      <c r="F23" s="180">
        <v>23.322119945464021</v>
      </c>
      <c r="G23" s="180">
        <v>26.851041923493078</v>
      </c>
      <c r="H23" s="160"/>
      <c r="I23" s="160"/>
      <c r="J23" s="107" t="s">
        <v>440</v>
      </c>
      <c r="K23" s="26">
        <f t="shared" ref="K23:K26" si="12">L23*(1+Q23)</f>
        <v>40062.851112821925</v>
      </c>
      <c r="L23" s="26">
        <f t="shared" si="8"/>
        <v>34665.640667655738</v>
      </c>
      <c r="M23" s="26">
        <f t="shared" si="9"/>
        <v>29995.534754001241</v>
      </c>
      <c r="N23" s="26">
        <f t="shared" si="10"/>
        <v>25053.910516741853</v>
      </c>
      <c r="O23" s="26">
        <f t="shared" si="11"/>
        <v>25086.580934478548</v>
      </c>
      <c r="Q23" s="164">
        <f t="shared" si="7"/>
        <v>0.15569337076184417</v>
      </c>
    </row>
    <row r="24" spans="1:17" ht="14.65" thickBot="1" x14ac:dyDescent="0.5">
      <c r="A24" s="232"/>
      <c r="B24" s="107" t="s">
        <v>441</v>
      </c>
      <c r="C24" s="180">
        <v>780.09986727661851</v>
      </c>
      <c r="D24" s="180">
        <v>799.80225951857312</v>
      </c>
      <c r="E24" s="180">
        <v>947.9729160008194</v>
      </c>
      <c r="F24" s="180">
        <v>986.8501740081748</v>
      </c>
      <c r="G24" s="180">
        <v>1032.9118485617378</v>
      </c>
      <c r="H24" s="160"/>
      <c r="I24" s="160"/>
      <c r="J24" s="107" t="s">
        <v>441</v>
      </c>
      <c r="K24" s="26">
        <f t="shared" si="12"/>
        <v>714076.60585126374</v>
      </c>
      <c r="L24" s="26">
        <f t="shared" si="8"/>
        <v>789951.06339759578</v>
      </c>
      <c r="M24" s="26">
        <f t="shared" si="9"/>
        <v>873887.5877596963</v>
      </c>
      <c r="N24" s="26">
        <f t="shared" si="10"/>
        <v>967411.54500449717</v>
      </c>
      <c r="O24" s="26">
        <f t="shared" si="11"/>
        <v>1009881.0112849562</v>
      </c>
      <c r="Q24" s="164">
        <f t="shared" si="7"/>
        <v>-9.6049566944051382E-2</v>
      </c>
    </row>
    <row r="25" spans="1:17" ht="14.65" thickBot="1" x14ac:dyDescent="0.5">
      <c r="A25" s="232"/>
      <c r="B25" s="107" t="s">
        <v>442</v>
      </c>
      <c r="C25" s="180">
        <v>1667.4350845543424</v>
      </c>
      <c r="D25" s="180">
        <v>2415.3277453906167</v>
      </c>
      <c r="E25" s="180">
        <v>3221.0983079258085</v>
      </c>
      <c r="F25" s="180">
        <v>2790.929589050575</v>
      </c>
      <c r="G25" s="180">
        <v>2324.5133382587928</v>
      </c>
      <c r="H25" s="160"/>
      <c r="I25" s="160"/>
      <c r="J25" s="107" t="s">
        <v>442</v>
      </c>
      <c r="K25" s="26">
        <f t="shared" si="12"/>
        <v>1478681.0088435647</v>
      </c>
      <c r="L25" s="26">
        <f t="shared" si="8"/>
        <v>2041381.4149724795</v>
      </c>
      <c r="M25" s="26">
        <f t="shared" si="9"/>
        <v>2818213.0266582128</v>
      </c>
      <c r="N25" s="26">
        <f t="shared" si="10"/>
        <v>3006013.9484881922</v>
      </c>
      <c r="O25" s="26">
        <f t="shared" si="11"/>
        <v>2557721.4636546844</v>
      </c>
      <c r="Q25" s="164">
        <f t="shared" si="7"/>
        <v>-0.27564687422046535</v>
      </c>
    </row>
    <row r="26" spans="1:17" ht="14.65" thickBot="1" x14ac:dyDescent="0.5">
      <c r="A26" s="232"/>
      <c r="B26" s="107" t="s">
        <v>443</v>
      </c>
      <c r="C26" s="180">
        <v>1448.0796332605132</v>
      </c>
      <c r="D26" s="180">
        <v>1815.5987354621234</v>
      </c>
      <c r="E26" s="180">
        <v>2107.3949923620066</v>
      </c>
      <c r="F26" s="180">
        <v>2446.3625106319182</v>
      </c>
      <c r="G26" s="180">
        <v>1983.9000058232916</v>
      </c>
      <c r="H26" s="160"/>
      <c r="I26" s="160"/>
      <c r="J26" s="107" t="s">
        <v>443</v>
      </c>
      <c r="K26" s="26">
        <f t="shared" si="12"/>
        <v>1357585.2057729275</v>
      </c>
      <c r="L26" s="26">
        <f t="shared" si="8"/>
        <v>1631839.1843613184</v>
      </c>
      <c r="M26" s="26">
        <f t="shared" si="9"/>
        <v>1961496.863912065</v>
      </c>
      <c r="N26" s="26">
        <f t="shared" si="10"/>
        <v>2276878.7514969627</v>
      </c>
      <c r="O26" s="26">
        <f t="shared" si="11"/>
        <v>2215131.2582276049</v>
      </c>
      <c r="Q26" s="164">
        <f t="shared" si="7"/>
        <v>-0.16806434188901431</v>
      </c>
    </row>
    <row r="27" spans="1:17" ht="14.65" thickBot="1" x14ac:dyDescent="0.5">
      <c r="A27" s="158"/>
      <c r="B27" s="107" t="s">
        <v>444</v>
      </c>
      <c r="C27" s="180">
        <v>7.7569342516932211</v>
      </c>
      <c r="D27" s="180">
        <v>0</v>
      </c>
      <c r="E27" s="180">
        <v>0</v>
      </c>
      <c r="F27" s="180">
        <v>0</v>
      </c>
      <c r="G27" s="180">
        <v>0</v>
      </c>
      <c r="H27" s="160"/>
      <c r="I27" s="160"/>
      <c r="J27" s="107" t="s">
        <v>444</v>
      </c>
      <c r="K27" s="26">
        <f>C27*1000</f>
        <v>7756.9342516932211</v>
      </c>
      <c r="L27" s="26">
        <f t="shared" ref="L27:L28" si="13">AVERAGE(C27:D27)*1000</f>
        <v>3878.4671258466105</v>
      </c>
      <c r="M27" s="26">
        <f t="shared" ref="M27:M28" si="14">AVERAGE(D27:E27)*1000</f>
        <v>0</v>
      </c>
      <c r="N27" s="26">
        <f t="shared" ref="N27:N28" si="15">AVERAGE(E27:F27)*1000</f>
        <v>0</v>
      </c>
      <c r="O27" s="26">
        <f t="shared" ref="O27:O28" si="16">AVERAGE(F27:G27)*1000</f>
        <v>0</v>
      </c>
      <c r="Q27" s="164" t="e">
        <f t="shared" ref="Q27:Q28" si="17">(L27-M27)/M27</f>
        <v>#DIV/0!</v>
      </c>
    </row>
    <row r="28" spans="1:17" ht="14.65" thickBot="1" x14ac:dyDescent="0.5">
      <c r="A28" s="158"/>
      <c r="B28" s="107" t="s">
        <v>445</v>
      </c>
      <c r="C28" s="180">
        <v>15.155242777457358</v>
      </c>
      <c r="D28" s="180">
        <v>33.711966622029699</v>
      </c>
      <c r="E28" s="180">
        <v>82.795503983299469</v>
      </c>
      <c r="F28" s="180">
        <v>83.193559300633268</v>
      </c>
      <c r="G28" s="180">
        <v>73.748024918054114</v>
      </c>
      <c r="H28" s="160"/>
      <c r="I28" s="160"/>
      <c r="J28" s="107" t="s">
        <v>445</v>
      </c>
      <c r="K28" s="26">
        <f t="shared" ref="K28" si="18">L28*(1+Q28)</f>
        <v>10248.287693854058</v>
      </c>
      <c r="L28" s="26">
        <f t="shared" si="13"/>
        <v>24433.60469974353</v>
      </c>
      <c r="M28" s="26">
        <f t="shared" si="14"/>
        <v>58253.73530266458</v>
      </c>
      <c r="N28" s="26">
        <f t="shared" si="15"/>
        <v>82994.531641966372</v>
      </c>
      <c r="O28" s="26">
        <f t="shared" si="16"/>
        <v>78470.792109343689</v>
      </c>
      <c r="Q28" s="164">
        <f t="shared" si="17"/>
        <v>-0.58056587147938798</v>
      </c>
    </row>
    <row r="29" spans="1:17" x14ac:dyDescent="0.45">
      <c r="B29" s="127"/>
      <c r="C29" s="127"/>
      <c r="D29" s="127"/>
      <c r="E29" s="127"/>
      <c r="F29" s="127"/>
      <c r="G29" s="127"/>
      <c r="H29" s="127"/>
      <c r="I29" s="127"/>
      <c r="J29" s="127"/>
    </row>
    <row r="30" spans="1:17" x14ac:dyDescent="0.45">
      <c r="B30" s="127"/>
      <c r="C30" s="105"/>
      <c r="D30" s="105"/>
      <c r="E30" s="105"/>
      <c r="F30" s="105"/>
      <c r="G30" s="127"/>
      <c r="H30" s="127"/>
      <c r="I30" s="127"/>
      <c r="J30" s="127"/>
    </row>
    <row r="32" spans="1:17" x14ac:dyDescent="0.45">
      <c r="B32" s="107"/>
      <c r="C32" s="28"/>
      <c r="D32" s="26"/>
      <c r="E32" s="26"/>
      <c r="F32" s="6"/>
      <c r="J32" s="107"/>
      <c r="K32" s="97"/>
      <c r="L32" s="108"/>
      <c r="M32" s="108"/>
      <c r="N32" s="6"/>
    </row>
    <row r="33" spans="2:13" ht="15.75" x14ac:dyDescent="0.5">
      <c r="B33" s="154" t="s">
        <v>446</v>
      </c>
    </row>
    <row r="35" spans="2:13" x14ac:dyDescent="0.45">
      <c r="B35" s="105" t="s">
        <v>424</v>
      </c>
      <c r="M35" s="61">
        <v>1.2500000000000001E-2</v>
      </c>
    </row>
    <row r="36" spans="2:13" x14ac:dyDescent="0.45">
      <c r="B36" s="107" t="s">
        <v>436</v>
      </c>
      <c r="C36" s="109">
        <v>17.21</v>
      </c>
      <c r="H36" s="111">
        <f>$C36*(1+'Top Down inputs'!H$140)</f>
        <v>17.585578424893122</v>
      </c>
      <c r="I36" s="111">
        <f>$C36*(1+'Top Down inputs'!I$140)</f>
        <v>17.553094790808551</v>
      </c>
      <c r="J36" s="111">
        <f>$C36*(1+'Top Down inputs'!J$140)</f>
        <v>17.57067685090496</v>
      </c>
      <c r="K36" s="111">
        <f>$C36*(1+'Top Down inputs'!K$140)</f>
        <v>17.555832198001035</v>
      </c>
    </row>
    <row r="37" spans="2:13" x14ac:dyDescent="0.45">
      <c r="B37" s="107" t="s">
        <v>437</v>
      </c>
      <c r="C37" s="109">
        <v>16.579999999999998</v>
      </c>
      <c r="H37" s="111">
        <f>$C37*(1+'Top Down inputs'!H$140)</f>
        <v>16.941829766689594</v>
      </c>
      <c r="I37" s="111">
        <f>$C37*(1+'Top Down inputs'!I$140)</f>
        <v>16.910535248785923</v>
      </c>
      <c r="J37" s="111">
        <f>$C37*(1+'Top Down inputs'!J$140)</f>
        <v>16.927473689018253</v>
      </c>
      <c r="K37" s="111">
        <f>$C37*(1+'Top Down inputs'!K$140)</f>
        <v>16.913172448742422</v>
      </c>
    </row>
    <row r="38" spans="2:13" x14ac:dyDescent="0.45">
      <c r="B38" s="107" t="s">
        <v>438</v>
      </c>
      <c r="C38" s="109">
        <v>16.89</v>
      </c>
      <c r="H38" s="111">
        <f>$C38*(1+'Top Down inputs'!H$140)</f>
        <v>17.258594979456408</v>
      </c>
      <c r="I38" s="111">
        <f>$C38*(1+'Top Down inputs'!I$140)</f>
        <v>17.226715340892294</v>
      </c>
      <c r="J38" s="111">
        <f>$C38*(1+'Top Down inputs'!J$140)</f>
        <v>17.243970482962506</v>
      </c>
      <c r="K38" s="111">
        <f>$C38*(1+'Top Down inputs'!K$140)</f>
        <v>17.229401849171264</v>
      </c>
    </row>
    <row r="39" spans="2:13" x14ac:dyDescent="0.45">
      <c r="B39" s="107" t="s">
        <v>439</v>
      </c>
      <c r="C39" s="109">
        <v>17.32</v>
      </c>
      <c r="H39" s="111">
        <f>$C39*(1+'Top Down inputs'!H$140)</f>
        <v>17.69797898426199</v>
      </c>
      <c r="I39" s="111">
        <f>$C39*(1+'Top Down inputs'!I$140)</f>
        <v>17.66528772671726</v>
      </c>
      <c r="J39" s="111">
        <f>$C39*(1+'Top Down inputs'!J$140)</f>
        <v>17.682982164885175</v>
      </c>
      <c r="K39" s="111">
        <f>$C39*(1+'Top Down inputs'!K$140)</f>
        <v>17.668042630411264</v>
      </c>
    </row>
    <row r="40" spans="2:13" x14ac:dyDescent="0.45">
      <c r="B40" s="107" t="s">
        <v>440</v>
      </c>
      <c r="C40" s="109">
        <v>18.309999999999999</v>
      </c>
      <c r="H40" s="111">
        <f>$C40*(1+'Top Down inputs'!H$140)</f>
        <v>18.709584018581815</v>
      </c>
      <c r="I40" s="111">
        <f>$C40*(1+'Top Down inputs'!I$140)</f>
        <v>18.67502414989567</v>
      </c>
      <c r="J40" s="111">
        <f>$C40*(1+'Top Down inputs'!J$140)</f>
        <v>18.693729990707133</v>
      </c>
      <c r="K40" s="111">
        <f>$C40*(1+'Top Down inputs'!K$140)</f>
        <v>18.677936522103362</v>
      </c>
    </row>
    <row r="41" spans="2:13" x14ac:dyDescent="0.45">
      <c r="B41" s="107" t="s">
        <v>441</v>
      </c>
      <c r="C41" s="109">
        <v>18.850000000000001</v>
      </c>
      <c r="H41" s="111">
        <f>$C41*(1+'Top Down inputs'!H$140)</f>
        <v>19.261368582756266</v>
      </c>
      <c r="I41" s="111">
        <f>$C41*(1+'Top Down inputs'!I$140)</f>
        <v>19.225789471629351</v>
      </c>
      <c r="J41" s="111">
        <f>$C41*(1+'Top Down inputs'!J$140)</f>
        <v>19.245046986610021</v>
      </c>
      <c r="K41" s="111">
        <f>$C41*(1+'Top Down inputs'!K$140)</f>
        <v>19.228787735753603</v>
      </c>
      <c r="M41" s="95"/>
    </row>
    <row r="42" spans="2:13" x14ac:dyDescent="0.45">
      <c r="B42" s="107" t="s">
        <v>442</v>
      </c>
      <c r="C42" s="109">
        <v>19.13</v>
      </c>
      <c r="H42" s="111">
        <f>$C42*(1+'Top Down inputs'!H$140+$M$35)</f>
        <v>19.786604097513386</v>
      </c>
      <c r="I42" s="111">
        <f>$C42*(1+'Top Down inputs'!I$140+$M$35)</f>
        <v>19.750496490306073</v>
      </c>
      <c r="J42" s="111">
        <f>$C42*(1+'Top Down inputs'!J$140+$M$35)</f>
        <v>19.770040058559662</v>
      </c>
      <c r="K42" s="111">
        <f>$C42*(1+'Top Down inputs'!K$140+$M$35)</f>
        <v>19.753539290979646</v>
      </c>
      <c r="M42" s="111"/>
    </row>
    <row r="43" spans="2:13" x14ac:dyDescent="0.45">
      <c r="B43" s="107" t="s">
        <v>443</v>
      </c>
      <c r="C43" s="109">
        <v>20.18</v>
      </c>
      <c r="H43" s="111">
        <f>$C43*(1+'Top Down inputs'!H$140+$M$35)</f>
        <v>20.872643527852595</v>
      </c>
      <c r="I43" s="111">
        <f>$C43*(1+'Top Down inputs'!I$140+$M$35)</f>
        <v>20.83455406034378</v>
      </c>
      <c r="J43" s="111">
        <f>$C43*(1+'Top Down inputs'!J$140+$M$35)</f>
        <v>20.855170328370832</v>
      </c>
      <c r="K43" s="111">
        <f>$C43*(1+'Top Down inputs'!K$140+$M$35)</f>
        <v>20.837763873077328</v>
      </c>
    </row>
    <row r="44" spans="2:13" x14ac:dyDescent="0.45">
      <c r="B44" s="107" t="s">
        <v>444</v>
      </c>
      <c r="C44" s="109">
        <v>20.18</v>
      </c>
      <c r="H44" s="111">
        <f>$C44*(1+'Top Down inputs'!H$140+$M$35)</f>
        <v>20.872643527852595</v>
      </c>
      <c r="I44" s="111">
        <f>$C44*(1+'Top Down inputs'!I$140+$M$35)</f>
        <v>20.83455406034378</v>
      </c>
      <c r="J44" s="111">
        <f>$C44*(1+'Top Down inputs'!J$140+$M$35)</f>
        <v>20.855170328370832</v>
      </c>
      <c r="K44" s="111">
        <f>$C44*(1+'Top Down inputs'!K$140+$M$35)</f>
        <v>20.837763873077328</v>
      </c>
    </row>
    <row r="45" spans="2:13" x14ac:dyDescent="0.45">
      <c r="B45" s="107" t="s">
        <v>445</v>
      </c>
      <c r="C45" s="109">
        <v>20.7</v>
      </c>
      <c r="H45" s="111">
        <f>$C45*(1+'Top Down inputs'!H$140+$M$35)</f>
        <v>21.41049162668725</v>
      </c>
      <c r="I45" s="111">
        <f>$C45*(1+'Top Down inputs'!I$140+$M$35)</f>
        <v>21.371420666457695</v>
      </c>
      <c r="J45" s="111">
        <f>$C45*(1+'Top Down inputs'!J$140+$M$35)</f>
        <v>21.392568176277315</v>
      </c>
      <c r="K45" s="111">
        <f>$C45*(1+'Top Down inputs'!K$140+$M$35)</f>
        <v>21.374713189925703</v>
      </c>
    </row>
    <row r="47" spans="2:13" ht="15.75" x14ac:dyDescent="0.5">
      <c r="B47" s="154" t="s">
        <v>447</v>
      </c>
    </row>
    <row r="49" spans="2:11" x14ac:dyDescent="0.45">
      <c r="B49" s="105"/>
      <c r="C49" s="106" t="s">
        <v>5</v>
      </c>
      <c r="D49" s="106" t="s">
        <v>6</v>
      </c>
      <c r="E49" s="106" t="s">
        <v>7</v>
      </c>
      <c r="F49" s="106" t="s">
        <v>448</v>
      </c>
      <c r="G49" s="106" t="s">
        <v>9</v>
      </c>
      <c r="H49" s="106" t="s">
        <v>10</v>
      </c>
      <c r="I49" s="106" t="s">
        <v>11</v>
      </c>
      <c r="J49" s="106" t="s">
        <v>12</v>
      </c>
      <c r="K49" s="106" t="s">
        <v>13</v>
      </c>
    </row>
    <row r="50" spans="2:11" x14ac:dyDescent="0.45">
      <c r="B50" s="110" t="s">
        <v>449</v>
      </c>
      <c r="C50" s="165">
        <f>SUMPRODUCT($C$36:$C$43,K5:K12)/SUM(K5:K12)</f>
        <v>17.462163767591711</v>
      </c>
      <c r="D50" s="165">
        <f>SUMPRODUCT($C$36:$C$43,L5:L12)/SUM(L5:L12)</f>
        <v>17.575770334241838</v>
      </c>
      <c r="E50" s="165">
        <f>SUMPRODUCT($C$36:$C$43,M5:M12)/SUM(M5:M12)</f>
        <v>17.708711174719006</v>
      </c>
      <c r="F50" s="165">
        <f>SUMPRODUCT($C$36:$C$43,N5:N12)/SUM(N5:N12)</f>
        <v>17.888073622265214</v>
      </c>
      <c r="G50" s="166">
        <f>SUMPRODUCT($C$36:$C$45,K19:K28)/SUM(K19:K28)</f>
        <v>18.136144094188559</v>
      </c>
      <c r="H50" s="166">
        <f>SUMPRODUCT(H$36:H$45,L19:L28)/SUM(L19:L28)</f>
        <v>18.71027455066536</v>
      </c>
      <c r="I50" s="166">
        <f>SUMPRODUCT(I$36:I$45,M19:M28)/SUM(M19:M28)</f>
        <v>18.775172957324866</v>
      </c>
      <c r="J50" s="166">
        <f>SUMPRODUCT(J$36:J$45,N19:N28)/SUM(N19:N28)</f>
        <v>18.887082651598021</v>
      </c>
      <c r="K50" s="166">
        <f>SUMPRODUCT(K$36:K$45,O19:O28)/SUM(O19:O28)</f>
        <v>18.805875153193149</v>
      </c>
    </row>
    <row r="51" spans="2:11" x14ac:dyDescent="0.45">
      <c r="B51" s="107"/>
    </row>
    <row r="52" spans="2:11" x14ac:dyDescent="0.45">
      <c r="B52" s="5" t="s">
        <v>450</v>
      </c>
      <c r="C52" s="109">
        <f>'Copper Weighted Price'!Y7/months_in_year</f>
        <v>10.131707791696163</v>
      </c>
      <c r="D52" s="109">
        <f>'Copper Weighted Price'!Z7/months_in_year</f>
        <v>11.714458114124932</v>
      </c>
      <c r="E52" s="109">
        <f>'Copper Weighted Price'!AA7/months_in_year</f>
        <v>12.8716324079613</v>
      </c>
      <c r="F52" s="109">
        <f>'Copper Weighted Price'!AB7/months_in_year</f>
        <v>13.341642961880668</v>
      </c>
      <c r="G52" s="109">
        <f>'Copper Weighted Price'!AC7/months_in_year</f>
        <v>14.363821748467425</v>
      </c>
      <c r="H52" s="109">
        <f>'Copper Weighted Price'!AD7/months_in_year</f>
        <v>15.10521864915941</v>
      </c>
      <c r="I52" s="109">
        <f>'Copper Weighted Price'!AE7/months_in_year</f>
        <v>16.057896202353589</v>
      </c>
      <c r="J52" s="109">
        <f>'Copper Weighted Price'!AF7/months_in_year</f>
        <v>16.662778388278745</v>
      </c>
      <c r="K52" s="109">
        <f>'Copper Weighted Price'!AG7/months_in_year</f>
        <v>17.233511263501502</v>
      </c>
    </row>
    <row r="53" spans="2:11" x14ac:dyDescent="0.45">
      <c r="B53" s="5" t="s">
        <v>451</v>
      </c>
      <c r="C53" s="155">
        <f t="shared" ref="C53:J53" si="19">C50-C52</f>
        <v>7.3304559758955481</v>
      </c>
      <c r="D53" s="155">
        <f t="shared" si="19"/>
        <v>5.8613122201169059</v>
      </c>
      <c r="E53" s="155">
        <f t="shared" si="19"/>
        <v>4.8370787667577062</v>
      </c>
      <c r="F53" s="155">
        <f t="shared" si="19"/>
        <v>4.5464306603845461</v>
      </c>
      <c r="G53" s="155">
        <f t="shared" si="19"/>
        <v>3.7723223457211343</v>
      </c>
      <c r="H53" s="155">
        <f t="shared" si="19"/>
        <v>3.6050559015059509</v>
      </c>
      <c r="I53" s="155">
        <f t="shared" si="19"/>
        <v>2.7172767549712766</v>
      </c>
      <c r="J53" s="155">
        <f t="shared" si="19"/>
        <v>2.2243042633192758</v>
      </c>
      <c r="K53" s="174">
        <f>K50-K52</f>
        <v>1.5723638896916476</v>
      </c>
    </row>
    <row r="54" spans="2:11" x14ac:dyDescent="0.45">
      <c r="B54" s="107"/>
    </row>
    <row r="55" spans="2:11" x14ac:dyDescent="0.45">
      <c r="B55" s="107"/>
    </row>
    <row r="56" spans="2:11" x14ac:dyDescent="0.45">
      <c r="B56" s="107"/>
    </row>
    <row r="57" spans="2:11" x14ac:dyDescent="0.45">
      <c r="B57" s="107"/>
    </row>
  </sheetData>
  <mergeCells count="2">
    <mergeCell ref="A3:A12"/>
    <mergeCell ref="A17:A26"/>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41876-FA23-4779-89AF-E0BC74C7F45A}">
  <dimension ref="A1:K46"/>
  <sheetViews>
    <sheetView workbookViewId="0">
      <selection activeCell="D2" sqref="D2"/>
    </sheetView>
  </sheetViews>
  <sheetFormatPr defaultColWidth="12.53125" defaultRowHeight="14.25" x14ac:dyDescent="0.45"/>
  <cols>
    <col min="1" max="1" width="2.53125" style="194" customWidth="1"/>
    <col min="2" max="2" width="42.73046875" style="194" customWidth="1"/>
    <col min="3" max="6" width="12.53125" style="194"/>
    <col min="7" max="7" width="7" style="194" customWidth="1"/>
    <col min="8" max="16384" width="12.53125" style="194"/>
  </cols>
  <sheetData>
    <row r="1" spans="1:8" ht="27.75" x14ac:dyDescent="0.75">
      <c r="C1" s="195"/>
    </row>
    <row r="2" spans="1:8" ht="30.75" x14ac:dyDescent="0.9">
      <c r="H2" s="196" t="s">
        <v>459</v>
      </c>
    </row>
    <row r="4" spans="1:8" ht="18" x14ac:dyDescent="0.45">
      <c r="A4" s="198" t="s">
        <v>460</v>
      </c>
    </row>
    <row r="6" spans="1:8" ht="15" x14ac:dyDescent="0.45">
      <c r="A6" s="199"/>
    </row>
    <row r="7" spans="1:8" x14ac:dyDescent="0.45">
      <c r="B7" s="200" t="s">
        <v>461</v>
      </c>
      <c r="C7" s="201">
        <v>100</v>
      </c>
      <c r="E7" s="194" t="s">
        <v>462</v>
      </c>
    </row>
    <row r="8" spans="1:8" x14ac:dyDescent="0.45">
      <c r="B8" s="200"/>
      <c r="C8" s="202"/>
    </row>
    <row r="9" spans="1:8" x14ac:dyDescent="0.45">
      <c r="B9" s="200" t="s">
        <v>463</v>
      </c>
      <c r="C9" s="203">
        <v>100</v>
      </c>
      <c r="E9" s="194" t="s">
        <v>464</v>
      </c>
    </row>
    <row r="10" spans="1:8" x14ac:dyDescent="0.45">
      <c r="B10" s="200"/>
      <c r="C10" s="202"/>
    </row>
    <row r="11" spans="1:8" x14ac:dyDescent="0.45">
      <c r="B11" s="200" t="s">
        <v>465</v>
      </c>
      <c r="C11" s="204">
        <v>100</v>
      </c>
      <c r="E11" s="194" t="s">
        <v>466</v>
      </c>
    </row>
    <row r="12" spans="1:8" x14ac:dyDescent="0.45">
      <c r="B12" s="200"/>
      <c r="C12" s="202"/>
    </row>
    <row r="13" spans="1:8" x14ac:dyDescent="0.45">
      <c r="B13" s="200" t="s">
        <v>467</v>
      </c>
      <c r="C13" s="205">
        <v>100</v>
      </c>
      <c r="E13" s="194" t="s">
        <v>468</v>
      </c>
    </row>
    <row r="14" spans="1:8" ht="14.65" thickBot="1" x14ac:dyDescent="0.5">
      <c r="B14" s="200"/>
      <c r="C14" s="202"/>
    </row>
    <row r="15" spans="1:8" ht="14.65" thickBot="1" x14ac:dyDescent="0.5">
      <c r="B15" s="200" t="s">
        <v>469</v>
      </c>
      <c r="C15" s="206">
        <v>100</v>
      </c>
      <c r="E15" s="194" t="s">
        <v>470</v>
      </c>
    </row>
    <row r="16" spans="1:8" ht="14.65" thickBot="1" x14ac:dyDescent="0.5">
      <c r="B16" s="200"/>
      <c r="C16" s="202"/>
    </row>
    <row r="17" spans="2:11" ht="14.65" thickBot="1" x14ac:dyDescent="0.5">
      <c r="B17" s="200" t="s">
        <v>471</v>
      </c>
      <c r="C17" s="207">
        <v>100</v>
      </c>
      <c r="E17" s="194" t="s">
        <v>472</v>
      </c>
    </row>
    <row r="18" spans="2:11" x14ac:dyDescent="0.45">
      <c r="B18" s="200"/>
      <c r="C18" s="202"/>
    </row>
    <row r="19" spans="2:11" x14ac:dyDescent="0.45">
      <c r="B19" s="194" t="s">
        <v>473</v>
      </c>
      <c r="C19" s="208">
        <v>100</v>
      </c>
      <c r="E19" s="194" t="s">
        <v>474</v>
      </c>
    </row>
    <row r="21" spans="2:11" x14ac:dyDescent="0.45">
      <c r="B21" s="194" t="s">
        <v>475</v>
      </c>
      <c r="C21" s="209"/>
      <c r="E21" s="194" t="s">
        <v>476</v>
      </c>
    </row>
    <row r="23" spans="2:11" x14ac:dyDescent="0.45">
      <c r="B23" s="194" t="s">
        <v>477</v>
      </c>
      <c r="C23" s="210">
        <v>100</v>
      </c>
      <c r="E23" s="194" t="s">
        <v>478</v>
      </c>
    </row>
    <row r="24" spans="2:11" x14ac:dyDescent="0.45">
      <c r="B24" s="200"/>
      <c r="C24" s="202"/>
    </row>
    <row r="25" spans="2:11" x14ac:dyDescent="0.45">
      <c r="B25" s="194" t="s">
        <v>479</v>
      </c>
      <c r="C25" s="211">
        <v>100</v>
      </c>
      <c r="E25" s="194" t="s">
        <v>480</v>
      </c>
    </row>
    <row r="27" spans="2:11" x14ac:dyDescent="0.45">
      <c r="B27" s="194" t="s">
        <v>481</v>
      </c>
      <c r="C27" s="212">
        <v>100</v>
      </c>
      <c r="E27" s="194" t="s">
        <v>482</v>
      </c>
    </row>
    <row r="29" spans="2:11" x14ac:dyDescent="0.45">
      <c r="B29" s="194" t="s">
        <v>483</v>
      </c>
      <c r="C29" s="213" t="b">
        <v>1</v>
      </c>
      <c r="E29" s="194" t="s">
        <v>484</v>
      </c>
      <c r="F29" s="214"/>
      <c r="G29" s="214"/>
      <c r="H29" s="214"/>
      <c r="I29" s="214"/>
      <c r="J29" s="214"/>
      <c r="K29" s="214"/>
    </row>
    <row r="30" spans="2:11" x14ac:dyDescent="0.45">
      <c r="B30" s="194" t="s">
        <v>485</v>
      </c>
      <c r="C30" s="215" t="b">
        <v>0</v>
      </c>
      <c r="F30" s="214"/>
      <c r="G30" s="214"/>
      <c r="H30" s="214"/>
      <c r="I30" s="214"/>
      <c r="J30" s="214"/>
      <c r="K30" s="214"/>
    </row>
    <row r="32" spans="2:11" x14ac:dyDescent="0.45">
      <c r="B32" s="194" t="s">
        <v>486</v>
      </c>
      <c r="C32" s="197" t="s">
        <v>487</v>
      </c>
      <c r="E32" s="194" t="s">
        <v>488</v>
      </c>
    </row>
    <row r="34" spans="2:5" x14ac:dyDescent="0.45">
      <c r="B34" s="194" t="s">
        <v>489</v>
      </c>
      <c r="C34" s="216"/>
      <c r="E34" s="194" t="s">
        <v>490</v>
      </c>
    </row>
    <row r="35" spans="2:5" x14ac:dyDescent="0.45">
      <c r="C35" s="217"/>
    </row>
    <row r="36" spans="2:5" x14ac:dyDescent="0.45">
      <c r="B36" s="194" t="s">
        <v>491</v>
      </c>
      <c r="C36" s="218" t="s">
        <v>492</v>
      </c>
      <c r="E36" s="194" t="s">
        <v>493</v>
      </c>
    </row>
    <row r="38" spans="2:5" x14ac:dyDescent="0.45">
      <c r="B38" s="219" t="s">
        <v>494</v>
      </c>
      <c r="C38" s="202"/>
      <c r="E38" s="194" t="s">
        <v>495</v>
      </c>
    </row>
    <row r="39" spans="2:5" x14ac:dyDescent="0.45">
      <c r="B39" s="200"/>
      <c r="C39" s="202"/>
    </row>
    <row r="40" spans="2:5" ht="30.75" x14ac:dyDescent="0.45">
      <c r="B40" s="220" t="s">
        <v>496</v>
      </c>
      <c r="C40" s="220" t="s">
        <v>497</v>
      </c>
      <c r="E40" s="194" t="s">
        <v>498</v>
      </c>
    </row>
    <row r="42" spans="2:5" ht="21" x14ac:dyDescent="0.45">
      <c r="B42" s="221" t="s">
        <v>499</v>
      </c>
      <c r="C42" s="221" t="s">
        <v>497</v>
      </c>
      <c r="E42" s="194" t="s">
        <v>500</v>
      </c>
    </row>
    <row r="44" spans="2:5" ht="18" x14ac:dyDescent="0.45">
      <c r="B44" s="198" t="s">
        <v>501</v>
      </c>
      <c r="C44" s="198" t="s">
        <v>497</v>
      </c>
      <c r="E44" s="194" t="s">
        <v>502</v>
      </c>
    </row>
    <row r="46" spans="2:5" x14ac:dyDescent="0.45">
      <c r="B46" s="222" t="s">
        <v>503</v>
      </c>
      <c r="C46" s="222" t="s">
        <v>497</v>
      </c>
      <c r="E46" s="194" t="s">
        <v>504</v>
      </c>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1B1D1-FE38-438E-B9BE-7C14EEDE1879}">
  <sheetPr>
    <tabColor rgb="FF660066"/>
  </sheetPr>
  <dimension ref="A1"/>
  <sheetViews>
    <sheetView workbookViewId="0"/>
  </sheetViews>
  <sheetFormatPr defaultRowHeight="14.25" x14ac:dyDescent="0.45"/>
  <sheetData/>
  <pageMargins left="0.7" right="0.7" top="0.75" bottom="0.75" header="0.3" footer="0.3"/>
  <pageSetup paperSize="9" orientation="portrait" r:id="rId1"/>
  <headerFooter>
    <oddHeader>&amp;L&amp;"Calibri"&amp;12&amp;K000000 Classification: CONFIDENTIAL&amp;1#_x000D_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58D76-C3F4-4FAE-A05F-E2122828D428}">
  <dimension ref="A1:W171"/>
  <sheetViews>
    <sheetView topLeftCell="A7" zoomScale="106" zoomScaleNormal="106" workbookViewId="0">
      <selection activeCell="I27" sqref="I27"/>
    </sheetView>
  </sheetViews>
  <sheetFormatPr defaultRowHeight="14.25" x14ac:dyDescent="0.45"/>
  <cols>
    <col min="1" max="1" width="23.59765625" customWidth="1"/>
    <col min="2" max="2" width="32" bestFit="1" customWidth="1"/>
    <col min="3" max="3" width="27" customWidth="1"/>
    <col min="4" max="4" width="16" bestFit="1" customWidth="1"/>
    <col min="5" max="5" width="17" bestFit="1" customWidth="1"/>
    <col min="6" max="7" width="15.86328125" bestFit="1" customWidth="1"/>
    <col min="8" max="8" width="16.265625" bestFit="1" customWidth="1"/>
    <col min="9" max="23" width="15.86328125" bestFit="1" customWidth="1"/>
  </cols>
  <sheetData>
    <row r="1" spans="1:23" ht="25.5" x14ac:dyDescent="0.75">
      <c r="A1" s="7" t="s">
        <v>39</v>
      </c>
    </row>
    <row r="2" spans="1:23" x14ac:dyDescent="0.45">
      <c r="A2" s="1" t="s">
        <v>40</v>
      </c>
    </row>
    <row r="3" spans="1:23" x14ac:dyDescent="0.45">
      <c r="A3" s="1" t="s">
        <v>41</v>
      </c>
      <c r="L3" s="53"/>
      <c r="P3" s="44"/>
      <c r="T3" s="12"/>
    </row>
    <row r="4" spans="1:23" x14ac:dyDescent="0.45">
      <c r="P4" s="44"/>
      <c r="T4" s="12"/>
    </row>
    <row r="5" spans="1:23" ht="21" x14ac:dyDescent="0.65">
      <c r="A5" s="40" t="s">
        <v>42</v>
      </c>
      <c r="B5" s="44"/>
      <c r="C5" s="44"/>
      <c r="K5" s="28"/>
      <c r="P5" s="44"/>
      <c r="T5" s="12"/>
    </row>
    <row r="6" spans="1:23" ht="16.5" customHeight="1" x14ac:dyDescent="0.65">
      <c r="A6" s="40"/>
      <c r="B6" s="44"/>
      <c r="C6" s="44"/>
      <c r="K6" s="28"/>
      <c r="P6" s="44"/>
      <c r="T6" s="12"/>
    </row>
    <row r="7" spans="1:23" ht="15.75" x14ac:dyDescent="0.5">
      <c r="A7" s="57"/>
      <c r="F7" s="12"/>
      <c r="G7" s="94"/>
      <c r="K7" s="28"/>
      <c r="P7" s="44"/>
    </row>
    <row r="8" spans="1:23" x14ac:dyDescent="0.45">
      <c r="E8" s="5"/>
      <c r="F8" s="12"/>
      <c r="H8" s="5"/>
      <c r="I8" s="74"/>
      <c r="K8" s="28"/>
      <c r="P8" s="44"/>
      <c r="T8" s="12"/>
      <c r="V8" s="81"/>
      <c r="W8" s="81"/>
    </row>
    <row r="9" spans="1:23" ht="15.75" x14ac:dyDescent="0.45">
      <c r="B9" s="83" t="s">
        <v>37</v>
      </c>
      <c r="C9" s="83"/>
      <c r="E9" s="5"/>
      <c r="F9" s="12"/>
      <c r="K9" s="28"/>
      <c r="P9" s="44"/>
      <c r="T9" s="12"/>
      <c r="V9" s="81"/>
      <c r="W9" s="81"/>
    </row>
    <row r="10" spans="1:23" ht="18" x14ac:dyDescent="0.55000000000000004">
      <c r="A10" s="56"/>
      <c r="B10" s="84" t="s">
        <v>38</v>
      </c>
      <c r="C10" s="139"/>
      <c r="K10" s="28"/>
      <c r="P10" s="44"/>
      <c r="T10" s="12"/>
    </row>
    <row r="11" spans="1:23" ht="18" x14ac:dyDescent="0.55000000000000004">
      <c r="A11" s="56"/>
      <c r="D11" s="224" t="s">
        <v>16</v>
      </c>
      <c r="E11" s="224"/>
      <c r="F11" s="224"/>
      <c r="G11" s="224"/>
      <c r="K11" s="28"/>
      <c r="P11" s="44"/>
      <c r="T11" s="12"/>
    </row>
    <row r="12" spans="1:23" x14ac:dyDescent="0.45">
      <c r="B12" s="42" t="s">
        <v>17</v>
      </c>
      <c r="C12" s="42"/>
      <c r="D12" s="55" t="s">
        <v>18</v>
      </c>
      <c r="E12" s="53" t="s">
        <v>19</v>
      </c>
      <c r="F12" s="53" t="s">
        <v>20</v>
      </c>
      <c r="G12" s="53" t="s">
        <v>21</v>
      </c>
      <c r="H12" s="53" t="s">
        <v>22</v>
      </c>
      <c r="U12" s="12"/>
    </row>
    <row r="13" spans="1:23" x14ac:dyDescent="0.45">
      <c r="B13" s="44" t="s">
        <v>23</v>
      </c>
      <c r="C13" s="44"/>
      <c r="D13" s="141">
        <f>SUM(D64:H64)/million</f>
        <v>3109.9823552786688</v>
      </c>
      <c r="E13" s="91">
        <f>SUM(I125:M125)/million</f>
        <v>1650.5213765903318</v>
      </c>
      <c r="F13" s="91">
        <f>SUM(N125:R125)/million</f>
        <v>901.21979608265804</v>
      </c>
      <c r="G13" s="91">
        <f>SUM(S125:W125)/million</f>
        <v>642.32905575935592</v>
      </c>
      <c r="H13" s="91">
        <f>SUM(D13:G13)</f>
        <v>6304.0525837110144</v>
      </c>
      <c r="K13" s="41"/>
      <c r="U13" s="12"/>
    </row>
    <row r="14" spans="1:23" x14ac:dyDescent="0.45">
      <c r="B14" s="44" t="s">
        <v>24</v>
      </c>
      <c r="C14" s="44"/>
      <c r="D14" s="141">
        <f>SUM(D65:H65)/million</f>
        <v>3442.6699930989816</v>
      </c>
      <c r="E14" s="91">
        <f t="shared" ref="E14:E15" si="0">SUM(I126:M126)/million</f>
        <v>1774.0590089232865</v>
      </c>
      <c r="F14" s="91">
        <f t="shared" ref="F14:F15" si="1">SUM(N126:R126)/million</f>
        <v>968.6739723197669</v>
      </c>
      <c r="G14" s="91">
        <f t="shared" ref="G14:G15" si="2">SUM(S126:W126)/million</f>
        <v>690.40587066925991</v>
      </c>
      <c r="H14" s="91">
        <f>SUM(D14:G14)</f>
        <v>6875.8088450112955</v>
      </c>
      <c r="K14" s="41"/>
      <c r="U14" s="12"/>
    </row>
    <row r="15" spans="1:23" x14ac:dyDescent="0.45">
      <c r="B15" s="44" t="s">
        <v>25</v>
      </c>
      <c r="C15" s="44"/>
      <c r="D15" s="141">
        <f>SUM(D66:H66)/million</f>
        <v>2856.4842328269797</v>
      </c>
      <c r="E15" s="91">
        <f t="shared" si="0"/>
        <v>1543.5930304765093</v>
      </c>
      <c r="F15" s="91">
        <f t="shared" si="1"/>
        <v>842.83464358058689</v>
      </c>
      <c r="G15" s="91">
        <f t="shared" si="2"/>
        <v>600.7160330094855</v>
      </c>
      <c r="H15" s="91">
        <f>SUM(D15:G15)</f>
        <v>5843.6279398935612</v>
      </c>
      <c r="K15" s="41"/>
    </row>
    <row r="16" spans="1:23" x14ac:dyDescent="0.45">
      <c r="B16" s="44"/>
      <c r="C16" s="44"/>
      <c r="K16" s="41"/>
    </row>
    <row r="17" spans="1:21" ht="18" x14ac:dyDescent="0.55000000000000004">
      <c r="A17" s="56"/>
      <c r="D17" s="224" t="s">
        <v>26</v>
      </c>
      <c r="E17" s="224"/>
      <c r="F17" s="224"/>
      <c r="G17" s="224"/>
      <c r="K17" s="28"/>
      <c r="P17" s="44"/>
      <c r="T17" s="12"/>
    </row>
    <row r="18" spans="1:21" x14ac:dyDescent="0.45">
      <c r="B18" s="42" t="s">
        <v>27</v>
      </c>
      <c r="C18" s="42"/>
      <c r="D18" s="55" t="s">
        <v>18</v>
      </c>
      <c r="E18" s="53" t="s">
        <v>19</v>
      </c>
      <c r="F18" s="53" t="s">
        <v>20</v>
      </c>
      <c r="G18" s="53" t="s">
        <v>21</v>
      </c>
      <c r="H18" s="53" t="s">
        <v>28</v>
      </c>
      <c r="S18" s="92"/>
      <c r="T18" s="12"/>
      <c r="U18" s="12"/>
    </row>
    <row r="19" spans="1:21" x14ac:dyDescent="0.45">
      <c r="B19" s="44" t="s">
        <v>29</v>
      </c>
      <c r="C19" s="44"/>
      <c r="D19" s="141">
        <f>SUM(D82:H82)/million</f>
        <v>2668.686735953595</v>
      </c>
      <c r="E19" s="91">
        <f>SUM(I143:M143)/million</f>
        <v>2075.6848477083809</v>
      </c>
      <c r="F19" s="91">
        <f>SUM(N143:R143)/million</f>
        <v>1238.7159150007697</v>
      </c>
      <c r="G19" s="91">
        <f>SUM(S143:W143)/million</f>
        <v>871.71535465607576</v>
      </c>
      <c r="H19" s="91">
        <f>SUM(D19:G19)</f>
        <v>6854.8028533188217</v>
      </c>
      <c r="K19" s="41"/>
      <c r="U19" s="12"/>
    </row>
    <row r="20" spans="1:21" x14ac:dyDescent="0.45">
      <c r="B20" s="44" t="s">
        <v>30</v>
      </c>
      <c r="C20" s="44"/>
      <c r="D20" s="141">
        <f>SUM(D83:H83)/million</f>
        <v>2684.7282195566613</v>
      </c>
      <c r="E20" s="91">
        <f>SUM(I144:M144)/million</f>
        <v>2130.5146638983451</v>
      </c>
      <c r="F20" s="91">
        <f>SUM(N144:R144)/million</f>
        <v>1284.9087089042191</v>
      </c>
      <c r="G20" s="91">
        <f>SUM(S144:W144)/million</f>
        <v>907.07147042244526</v>
      </c>
      <c r="H20" s="91">
        <f>SUM(D20:G20)</f>
        <v>7007.2230627816707</v>
      </c>
      <c r="I20" s="177"/>
      <c r="K20" s="41"/>
      <c r="P20" s="26"/>
      <c r="Q20" s="26"/>
    </row>
    <row r="21" spans="1:21" x14ac:dyDescent="0.45">
      <c r="B21" s="44" t="s">
        <v>31</v>
      </c>
      <c r="C21" s="44"/>
      <c r="D21" s="141">
        <f>SUM(D84:H84)/million</f>
        <v>2652.6452523505295</v>
      </c>
      <c r="E21" s="91">
        <f>SUM(I145:M145)/million</f>
        <v>2020.8550315184161</v>
      </c>
      <c r="F21" s="91">
        <f>SUM(N145:R145)/million</f>
        <v>1192.5231210973204</v>
      </c>
      <c r="G21" s="91">
        <f>SUM(S145:W145)/million</f>
        <v>836.35923888970615</v>
      </c>
      <c r="H21" s="91">
        <f>SUM(D21:G21)</f>
        <v>6702.3826438559718</v>
      </c>
      <c r="I21" s="177"/>
      <c r="K21" s="41"/>
      <c r="P21" s="26"/>
      <c r="Q21" s="26"/>
      <c r="U21" s="12"/>
    </row>
    <row r="22" spans="1:21" x14ac:dyDescent="0.45">
      <c r="F22" s="85"/>
      <c r="G22" s="85"/>
      <c r="P22" s="26"/>
      <c r="Q22" s="26"/>
      <c r="U22" s="12"/>
    </row>
    <row r="23" spans="1:21" ht="32.25" customHeight="1" x14ac:dyDescent="0.45">
      <c r="B23" s="42" t="s">
        <v>32</v>
      </c>
      <c r="C23" s="42"/>
      <c r="H23" s="53" t="s">
        <v>33</v>
      </c>
      <c r="P23" s="26"/>
      <c r="Q23" s="26"/>
      <c r="U23" s="12"/>
    </row>
    <row r="24" spans="1:21" x14ac:dyDescent="0.45">
      <c r="B24" s="44" t="s">
        <v>34</v>
      </c>
      <c r="C24" s="44"/>
      <c r="H24" s="91">
        <f>H19-H13</f>
        <v>550.75026960780724</v>
      </c>
      <c r="P24" s="26"/>
      <c r="Q24" s="26"/>
      <c r="U24" s="12"/>
    </row>
    <row r="25" spans="1:21" x14ac:dyDescent="0.45">
      <c r="B25" s="44" t="s">
        <v>35</v>
      </c>
      <c r="C25" s="44"/>
      <c r="H25" s="91">
        <f>H21-H14</f>
        <v>-173.42620115532372</v>
      </c>
      <c r="Q25" s="26"/>
      <c r="U25" s="12"/>
    </row>
    <row r="26" spans="1:21" x14ac:dyDescent="0.45">
      <c r="B26" s="44" t="s">
        <v>36</v>
      </c>
      <c r="C26" s="44"/>
      <c r="H26" s="91">
        <f>H20-H15</f>
        <v>1163.5951228881095</v>
      </c>
      <c r="I26" s="157"/>
      <c r="P26" s="26"/>
      <c r="Q26" s="26"/>
      <c r="U26" s="12"/>
    </row>
    <row r="28" spans="1:21" x14ac:dyDescent="0.45">
      <c r="C28" s="6"/>
      <c r="D28" s="6"/>
      <c r="P28" s="26"/>
    </row>
    <row r="29" spans="1:21" ht="18" x14ac:dyDescent="0.55000000000000004">
      <c r="A29" s="129" t="s">
        <v>43</v>
      </c>
    </row>
    <row r="30" spans="1:21" ht="18" x14ac:dyDescent="0.55000000000000004">
      <c r="A30" s="129"/>
    </row>
    <row r="31" spans="1:21" ht="15.75" x14ac:dyDescent="0.5">
      <c r="A31" s="57" t="s">
        <v>44</v>
      </c>
    </row>
    <row r="32" spans="1:21" x14ac:dyDescent="0.45">
      <c r="B32" s="44" t="s">
        <v>45</v>
      </c>
      <c r="C32" s="44"/>
      <c r="D32" s="12">
        <f>'Total costs and revenues 2021'!C221</f>
        <v>7304645602.0525322</v>
      </c>
      <c r="E32" s="140" t="b">
        <f>D32=C64</f>
        <v>1</v>
      </c>
    </row>
    <row r="33" spans="2:23" x14ac:dyDescent="0.45">
      <c r="B33" s="44" t="s">
        <v>46</v>
      </c>
      <c r="C33" s="44"/>
      <c r="D33" s="12">
        <f>'Total costs and revenues 2021'!C222</f>
        <v>8086053665.7788754</v>
      </c>
      <c r="E33" s="140" t="b">
        <f>D33=C65</f>
        <v>1</v>
      </c>
    </row>
    <row r="34" spans="2:23" x14ac:dyDescent="0.45">
      <c r="B34" s="44" t="s">
        <v>47</v>
      </c>
      <c r="C34" s="44"/>
      <c r="D34" s="12">
        <f>'Total costs and revenues 2021'!C223</f>
        <v>6709235810.6907473</v>
      </c>
      <c r="E34" s="140" t="b">
        <f>D34=C66</f>
        <v>1</v>
      </c>
    </row>
    <row r="36" spans="2:23" x14ac:dyDescent="0.45">
      <c r="D36" s="47">
        <v>1</v>
      </c>
      <c r="E36" s="47">
        <v>2</v>
      </c>
      <c r="F36" s="47">
        <v>3</v>
      </c>
      <c r="G36" s="47">
        <v>4</v>
      </c>
      <c r="H36" s="47">
        <v>5</v>
      </c>
      <c r="I36" s="47">
        <v>6</v>
      </c>
      <c r="J36" s="47">
        <v>7</v>
      </c>
      <c r="K36" s="47">
        <v>8</v>
      </c>
      <c r="L36" s="47">
        <v>9</v>
      </c>
      <c r="M36" s="47">
        <v>10</v>
      </c>
      <c r="N36" s="47">
        <v>11</v>
      </c>
      <c r="O36" s="47">
        <v>12</v>
      </c>
      <c r="P36" s="47">
        <v>13</v>
      </c>
      <c r="Q36" s="47">
        <v>14</v>
      </c>
      <c r="R36" s="47">
        <v>15</v>
      </c>
      <c r="S36" s="47">
        <v>16</v>
      </c>
      <c r="T36" s="47">
        <v>17</v>
      </c>
      <c r="U36" s="47">
        <v>18</v>
      </c>
      <c r="V36" s="47">
        <v>19</v>
      </c>
      <c r="W36" s="47">
        <v>20</v>
      </c>
    </row>
    <row r="37" spans="2:23" x14ac:dyDescent="0.45">
      <c r="C37" t="s">
        <v>48</v>
      </c>
      <c r="D37" s="17" t="s">
        <v>5</v>
      </c>
      <c r="E37" s="17" t="s">
        <v>6</v>
      </c>
      <c r="F37" s="58" t="s">
        <v>7</v>
      </c>
      <c r="G37" s="58" t="s">
        <v>8</v>
      </c>
      <c r="H37" s="17" t="s">
        <v>9</v>
      </c>
      <c r="I37" s="17" t="s">
        <v>10</v>
      </c>
      <c r="J37" s="17" t="s">
        <v>11</v>
      </c>
      <c r="K37" s="17" t="s">
        <v>12</v>
      </c>
      <c r="L37" s="17" t="s">
        <v>13</v>
      </c>
      <c r="M37" s="17" t="s">
        <v>14</v>
      </c>
      <c r="N37" s="17" t="s">
        <v>49</v>
      </c>
      <c r="O37" s="17" t="s">
        <v>50</v>
      </c>
      <c r="P37" s="17" t="s">
        <v>51</v>
      </c>
      <c r="Q37" s="17" t="s">
        <v>52</v>
      </c>
      <c r="R37" s="17" t="s">
        <v>53</v>
      </c>
      <c r="S37" s="17" t="s">
        <v>54</v>
      </c>
      <c r="T37" s="17" t="s">
        <v>55</v>
      </c>
      <c r="U37" s="17" t="s">
        <v>56</v>
      </c>
      <c r="V37" s="17" t="s">
        <v>57</v>
      </c>
      <c r="W37" s="17" t="s">
        <v>58</v>
      </c>
    </row>
    <row r="39" spans="2:23" x14ac:dyDescent="0.45">
      <c r="B39" s="44" t="s">
        <v>59</v>
      </c>
      <c r="C39" s="44"/>
      <c r="D39" s="74">
        <f>'Total costs and revenues 2021'!C128</f>
        <v>1</v>
      </c>
      <c r="E39" s="74">
        <f>'Total costs and revenues 2021'!D128</f>
        <v>0.92764378478664189</v>
      </c>
      <c r="F39" s="74">
        <f>'Total costs and revenues 2021'!E128</f>
        <v>0.86052299145328559</v>
      </c>
      <c r="G39" s="74">
        <f>'Total costs and revenues 2021'!F128</f>
        <v>0.79825880468764887</v>
      </c>
      <c r="H39" s="74">
        <f>'Total costs and revenues 2021'!G128</f>
        <v>0.74049981881971139</v>
      </c>
      <c r="I39" s="74">
        <f>'Total costs and revenues 2021'!H128</f>
        <v>0.68692005456373961</v>
      </c>
      <c r="J39" s="74">
        <f>'Total costs and revenues 2021'!I128</f>
        <v>0.63721711926135394</v>
      </c>
      <c r="K39" s="74">
        <f>'Total costs and revenues 2021'!J128</f>
        <v>0.59111050024244338</v>
      </c>
      <c r="L39" s="74">
        <f>'Total costs and revenues 2021'!K128</f>
        <v>0.54833998167202536</v>
      </c>
      <c r="M39" s="74">
        <f>'Total costs and revenues 2021'!L128</f>
        <v>0.50866417594807545</v>
      </c>
      <c r="N39" s="74">
        <f>'Total costs and revenues 2021'!M128</f>
        <v>0.47185916136185102</v>
      </c>
      <c r="O39" s="74">
        <f>'Total costs and revenues 2021'!N128</f>
        <v>0.43771721833195826</v>
      </c>
      <c r="P39" s="74">
        <f>'Total costs and revenues 2021'!O128</f>
        <v>0.40604565707973861</v>
      </c>
      <c r="Q39" s="74">
        <f>'Total costs and revenues 2021'!P128</f>
        <v>0.37666573012962762</v>
      </c>
      <c r="R39" s="74">
        <f>'Total costs and revenues 2021'!Q128</f>
        <v>0.3494116234968716</v>
      </c>
      <c r="S39" s="74">
        <f>'Total costs and revenues 2021'!R128</f>
        <v>0.32412952086908314</v>
      </c>
      <c r="T39" s="74">
        <f>'Total costs and revenues 2021'!S128</f>
        <v>0.30067673550007712</v>
      </c>
      <c r="U39" s="74">
        <f>'Total costs and revenues 2021'!T128</f>
        <v>0.27892090491658356</v>
      </c>
      <c r="V39" s="74">
        <f>'Total costs and revenues 2021'!U128</f>
        <v>0.25873924389293468</v>
      </c>
      <c r="W39" s="74">
        <f>'Total costs and revenues 2021'!V128</f>
        <v>0.2400178514776759</v>
      </c>
    </row>
    <row r="40" spans="2:23" x14ac:dyDescent="0.45">
      <c r="B40" s="44" t="s">
        <v>60</v>
      </c>
      <c r="C40" s="44"/>
      <c r="D40" s="74">
        <f>'Total costs and revenues 2021'!C129</f>
        <v>1</v>
      </c>
      <c r="E40" s="74">
        <f>'Total costs and revenues 2021'!D129</f>
        <v>0.93457943925233644</v>
      </c>
      <c r="F40" s="74">
        <f>'Total costs and revenues 2021'!E129</f>
        <v>0.87343872827321156</v>
      </c>
      <c r="G40" s="74">
        <f>'Total costs and revenues 2021'!F129</f>
        <v>0.81629787689085187</v>
      </c>
      <c r="H40" s="74">
        <f>'Total costs and revenues 2021'!G129</f>
        <v>0.7628952120475252</v>
      </c>
      <c r="I40" s="74">
        <f>'Total costs and revenues 2021'!H129</f>
        <v>0.71298617948366838</v>
      </c>
      <c r="J40" s="74">
        <f>'Total costs and revenues 2021'!I129</f>
        <v>0.66634222381651254</v>
      </c>
      <c r="K40" s="74">
        <f>'Total costs and revenues 2021'!J129</f>
        <v>0.62274974188459109</v>
      </c>
      <c r="L40" s="74">
        <f>'Total costs and revenues 2021'!K129</f>
        <v>0.5820091045650384</v>
      </c>
      <c r="M40" s="74">
        <f>'Total costs and revenues 2021'!L129</f>
        <v>0.54393374258414806</v>
      </c>
      <c r="N40" s="74">
        <f>'Total costs and revenues 2021'!M129</f>
        <v>0.5083492921347178</v>
      </c>
      <c r="O40" s="74">
        <f>'Total costs and revenues 2021'!N129</f>
        <v>0.47509279638758667</v>
      </c>
      <c r="P40" s="74">
        <f>'Total costs and revenues 2021'!O129</f>
        <v>0.44401195924073528</v>
      </c>
      <c r="Q40" s="74">
        <f>'Total costs and revenues 2021'!P129</f>
        <v>0.41496444788853759</v>
      </c>
      <c r="R40" s="74">
        <f>'Total costs and revenues 2021'!Q129</f>
        <v>0.3878172410173249</v>
      </c>
      <c r="S40" s="74">
        <f>'Total costs and revenues 2021'!R129</f>
        <v>0.36244601964235967</v>
      </c>
      <c r="T40" s="74">
        <f>'Total costs and revenues 2021'!S129</f>
        <v>0.33873459779659787</v>
      </c>
      <c r="U40" s="74">
        <f>'Total costs and revenues 2021'!T129</f>
        <v>0.31657439046411018</v>
      </c>
      <c r="V40" s="74">
        <f>'Total costs and revenues 2021'!U129</f>
        <v>0.29586391632159825</v>
      </c>
      <c r="W40" s="74">
        <f>'Total costs and revenues 2021'!V129</f>
        <v>0.27650833301083949</v>
      </c>
    </row>
    <row r="41" spans="2:23" x14ac:dyDescent="0.45">
      <c r="B41" s="44"/>
      <c r="C41" s="44"/>
      <c r="D41" s="74"/>
      <c r="E41" s="74"/>
      <c r="F41" s="74"/>
      <c r="G41" s="74"/>
      <c r="H41" s="74"/>
      <c r="I41" s="74"/>
      <c r="J41" s="74"/>
      <c r="K41" s="74"/>
      <c r="L41" s="74"/>
      <c r="M41" s="74"/>
      <c r="N41" s="74"/>
      <c r="O41" s="74"/>
      <c r="P41" s="74"/>
      <c r="Q41" s="74"/>
      <c r="R41" s="74"/>
      <c r="S41" s="74"/>
      <c r="T41" s="74"/>
      <c r="U41" s="74"/>
      <c r="V41" s="74"/>
      <c r="W41" s="74"/>
    </row>
    <row r="42" spans="2:23" x14ac:dyDescent="0.45">
      <c r="B42" s="44" t="s">
        <v>61</v>
      </c>
      <c r="C42" s="44"/>
      <c r="D42" s="74">
        <f>D39*(1-D48)+D40*D48</f>
        <v>1</v>
      </c>
      <c r="E42" s="74">
        <f t="shared" ref="E42:W42" si="3">E39*(1-E48)+E40*E48</f>
        <v>0.93430516421827581</v>
      </c>
      <c r="F42" s="74">
        <f t="shared" si="3"/>
        <v>0.87252716954088683</v>
      </c>
      <c r="G42" s="74">
        <f t="shared" si="3"/>
        <v>0.8143468600364282</v>
      </c>
      <c r="H42" s="74">
        <f t="shared" si="3"/>
        <v>0.75927372630776424</v>
      </c>
      <c r="I42" s="74">
        <f t="shared" si="3"/>
        <v>0.70691880631669624</v>
      </c>
      <c r="J42" s="74">
        <f t="shared" si="3"/>
        <v>0.65719134467191109</v>
      </c>
      <c r="K42" s="74">
        <f t="shared" si="3"/>
        <v>0.61020187708108731</v>
      </c>
      <c r="L42" s="74">
        <f t="shared" si="3"/>
        <v>0.56578754918814944</v>
      </c>
      <c r="M42" s="74">
        <f t="shared" si="3"/>
        <v>0.52391517226211337</v>
      </c>
      <c r="N42" s="74">
        <f t="shared" si="3"/>
        <v>0.48418671587645146</v>
      </c>
      <c r="O42" s="74">
        <f t="shared" si="3"/>
        <v>0.44703461168009606</v>
      </c>
      <c r="P42" s="74">
        <f t="shared" si="3"/>
        <v>0.41192548867939949</v>
      </c>
      <c r="Q42" s="74">
        <f t="shared" si="3"/>
        <v>0.37898941856593027</v>
      </c>
      <c r="R42" s="74">
        <f t="shared" si="3"/>
        <v>0.35111426876964613</v>
      </c>
      <c r="S42" s="74">
        <f t="shared" si="3"/>
        <v>0.32412952086908314</v>
      </c>
      <c r="T42" s="74">
        <f t="shared" si="3"/>
        <v>0.30067673550007712</v>
      </c>
      <c r="U42" s="74">
        <f t="shared" si="3"/>
        <v>0.27892090491658356</v>
      </c>
      <c r="V42" s="74">
        <f t="shared" si="3"/>
        <v>0.25873924389293468</v>
      </c>
      <c r="W42" s="74">
        <f t="shared" si="3"/>
        <v>0.2400178514776759</v>
      </c>
    </row>
    <row r="43" spans="2:23" x14ac:dyDescent="0.45">
      <c r="B43" s="44"/>
      <c r="C43" s="44"/>
      <c r="D43" s="74"/>
      <c r="E43" s="74"/>
      <c r="F43" s="74"/>
      <c r="G43" s="74"/>
      <c r="H43" s="74"/>
      <c r="I43" s="74"/>
      <c r="J43" s="74"/>
      <c r="K43" s="74"/>
      <c r="L43" s="74"/>
      <c r="M43" s="74"/>
      <c r="N43" s="74"/>
      <c r="O43" s="74"/>
      <c r="P43" s="74"/>
      <c r="Q43" s="74"/>
      <c r="R43" s="74"/>
      <c r="S43" s="74"/>
      <c r="T43" s="74"/>
      <c r="U43" s="74"/>
      <c r="V43" s="74"/>
      <c r="W43" s="74"/>
    </row>
    <row r="44" spans="2:23" x14ac:dyDescent="0.45">
      <c r="B44" s="44"/>
      <c r="C44" s="44"/>
    </row>
    <row r="45" spans="2:23" x14ac:dyDescent="0.45">
      <c r="B45" s="44" t="s">
        <v>62</v>
      </c>
      <c r="C45" s="44"/>
      <c r="D45" s="12">
        <f>'Total costs and revenues 2021'!C112</f>
        <v>59001</v>
      </c>
      <c r="E45" s="12">
        <f>'Total costs and revenues 2021'!D112</f>
        <v>155509</v>
      </c>
      <c r="F45" s="12">
        <f>'Total costs and revenues 2021'!E112</f>
        <v>272678</v>
      </c>
      <c r="G45" s="12">
        <f>'Total costs and revenues 2021'!F112</f>
        <v>408439</v>
      </c>
      <c r="H45" s="12">
        <f>'Total costs and revenues 2021'!G112</f>
        <v>599275</v>
      </c>
      <c r="I45" s="12">
        <f>'Total costs and revenues 2021'!H112</f>
        <v>861215</v>
      </c>
      <c r="J45" s="12">
        <f>'Total costs and revenues 2021'!I112</f>
        <v>1173624</v>
      </c>
      <c r="K45" s="12">
        <f>'Total costs and revenues 2021'!J112</f>
        <v>1488501</v>
      </c>
      <c r="L45" s="12">
        <f>'Total costs and revenues 2021'!K112</f>
        <v>1813824</v>
      </c>
      <c r="M45" s="12">
        <f>'Total costs and revenues 2021'!L112</f>
        <v>2129334</v>
      </c>
      <c r="N45" s="12">
        <f>'Total costs and revenues 2021'!M112</f>
        <v>2389028</v>
      </c>
      <c r="O45" s="12">
        <f>'Total costs and revenues 2021'!N112</f>
        <v>2625884</v>
      </c>
      <c r="P45" s="12">
        <f>'Total costs and revenues 2021'!O112</f>
        <v>2823784</v>
      </c>
      <c r="Q45" s="12">
        <f>'Total costs and revenues 2021'!P112</f>
        <v>2966655</v>
      </c>
      <c r="R45" s="12">
        <f>'Total costs and revenues 2021'!Q112</f>
        <v>3056775</v>
      </c>
      <c r="S45" s="12">
        <f>'Total costs and revenues 2021'!R112</f>
        <v>3119287</v>
      </c>
      <c r="T45" s="12">
        <f>'Total costs and revenues 2021'!S112</f>
        <v>3148022</v>
      </c>
      <c r="U45" s="12">
        <f>'Total costs and revenues 2021'!T112</f>
        <v>3148022</v>
      </c>
      <c r="V45" s="12">
        <f>'Total costs and revenues 2021'!U112</f>
        <v>3148022</v>
      </c>
      <c r="W45" s="12">
        <f>'Total costs and revenues 2021'!V112</f>
        <v>3148022</v>
      </c>
    </row>
    <row r="46" spans="2:23" x14ac:dyDescent="0.45">
      <c r="B46" s="44" t="s">
        <v>63</v>
      </c>
      <c r="C46" s="44"/>
      <c r="D46" s="12">
        <f>'Total costs and revenues 2021'!C113*'Total costs and revenues 2021'!$H$8</f>
        <v>3962015.2296974575</v>
      </c>
      <c r="E46" s="12">
        <f>'Total costs and revenues 2021'!D113*'Total costs and revenues 2021'!$H$8</f>
        <v>3776882.0541099934</v>
      </c>
      <c r="F46" s="12">
        <f>'Total costs and revenues 2021'!E113*'Total costs and revenues 2021'!$H$8</f>
        <v>3590855.044768271</v>
      </c>
      <c r="G46" s="12">
        <f>'Total costs and revenues 2021'!F113*'Total costs and revenues 2021'!$H$8</f>
        <v>3367981.7904706672</v>
      </c>
      <c r="H46" s="12">
        <f>'Total costs and revenues 2021'!G113*'Total costs and revenues 2021'!$H$8</f>
        <v>3106662.3530721162</v>
      </c>
      <c r="I46" s="12">
        <f>'Total costs and revenues 2021'!H113*'Total costs and revenues 2021'!$H$8</f>
        <v>2838662.5508180796</v>
      </c>
      <c r="J46" s="12">
        <f>'Total costs and revenues 2021'!I113*'Total costs and revenues 2021'!$H$8</f>
        <v>2561746.2489458537</v>
      </c>
      <c r="K46" s="12">
        <f>'Total costs and revenues 2021'!J113*'Total costs and revenues 2021'!$H$8</f>
        <v>2264730.6104033617</v>
      </c>
      <c r="L46" s="12">
        <f>'Total costs and revenues 2021'!K113*'Total costs and revenues 2021'!$H$8</f>
        <v>1950911.3625105359</v>
      </c>
      <c r="M46" s="12">
        <f>'Total costs and revenues 2021'!L113*'Total costs and revenues 2021'!$H$8</f>
        <v>1622216.9946677112</v>
      </c>
      <c r="N46" s="12">
        <f>'Total costs and revenues 2021'!M113*'Total costs and revenues 2021'!$H$8</f>
        <v>1218863.112613301</v>
      </c>
      <c r="O46" s="12">
        <f>'Total costs and revenues 2021'!N113*'Total costs and revenues 2021'!$H$8</f>
        <v>871987.77717254509</v>
      </c>
      <c r="P46" s="12">
        <f>'Total costs and revenues 2021'!O113*'Total costs and revenues 2021'!$H$8</f>
        <v>517457.17442116555</v>
      </c>
      <c r="Q46" s="12">
        <f>'Total costs and revenues 2021'!P113*'Total costs and revenues 2021'!$H$8</f>
        <v>191621.30088014479</v>
      </c>
      <c r="R46" s="12">
        <f>'Total costs and revenues 2021'!Q113*'Total costs and revenues 2021'!$H$8</f>
        <v>141803.32504309856</v>
      </c>
      <c r="S46" s="12">
        <f>'Total costs and revenues 2021'!R113*'Total costs and revenues 2021'!$H$8</f>
        <v>0</v>
      </c>
      <c r="T46" s="12">
        <f>'Total costs and revenues 2021'!S113*'Total costs and revenues 2021'!$H$8</f>
        <v>0</v>
      </c>
      <c r="U46" s="12">
        <f>'Total costs and revenues 2021'!T113*'Total costs and revenues 2021'!$H$8</f>
        <v>0</v>
      </c>
      <c r="V46" s="12">
        <f>'Total costs and revenues 2021'!U113*'Total costs and revenues 2021'!$H$8</f>
        <v>0</v>
      </c>
      <c r="W46" s="12">
        <f>'Total costs and revenues 2021'!V113*'Total costs and revenues 2021'!$H$8</f>
        <v>0</v>
      </c>
    </row>
    <row r="47" spans="2:23" x14ac:dyDescent="0.45">
      <c r="B47" s="44" t="s">
        <v>64</v>
      </c>
      <c r="C47" s="147">
        <f>SUM(D47:W47)</f>
        <v>70519297.929594293</v>
      </c>
      <c r="D47" s="12">
        <f>SUM(D45:D46)</f>
        <v>4021016.2296974575</v>
      </c>
      <c r="E47" s="12">
        <f t="shared" ref="E47:W47" si="4">SUM(E45:E46)</f>
        <v>3932391.0541099934</v>
      </c>
      <c r="F47" s="12">
        <f t="shared" si="4"/>
        <v>3863533.044768271</v>
      </c>
      <c r="G47" s="12">
        <f t="shared" si="4"/>
        <v>3776420.7904706672</v>
      </c>
      <c r="H47" s="12">
        <f t="shared" si="4"/>
        <v>3705937.3530721162</v>
      </c>
      <c r="I47" s="12">
        <f t="shared" si="4"/>
        <v>3699877.5508180796</v>
      </c>
      <c r="J47" s="12">
        <f t="shared" si="4"/>
        <v>3735370.2489458537</v>
      </c>
      <c r="K47" s="12">
        <f t="shared" si="4"/>
        <v>3753231.6104033617</v>
      </c>
      <c r="L47" s="12">
        <f t="shared" si="4"/>
        <v>3764735.3625105359</v>
      </c>
      <c r="M47" s="12">
        <f t="shared" si="4"/>
        <v>3751550.9946677112</v>
      </c>
      <c r="N47" s="12">
        <f t="shared" si="4"/>
        <v>3607891.1126133008</v>
      </c>
      <c r="O47" s="12">
        <f t="shared" si="4"/>
        <v>3497871.777172545</v>
      </c>
      <c r="P47" s="12">
        <f t="shared" si="4"/>
        <v>3341241.1744211656</v>
      </c>
      <c r="Q47" s="12">
        <f t="shared" si="4"/>
        <v>3158276.3008801448</v>
      </c>
      <c r="R47" s="12">
        <f t="shared" si="4"/>
        <v>3198578.3250430985</v>
      </c>
      <c r="S47" s="12">
        <f t="shared" si="4"/>
        <v>3119287</v>
      </c>
      <c r="T47" s="12">
        <f t="shared" si="4"/>
        <v>3148022</v>
      </c>
      <c r="U47" s="12">
        <f t="shared" si="4"/>
        <v>3148022</v>
      </c>
      <c r="V47" s="12">
        <f t="shared" si="4"/>
        <v>3148022</v>
      </c>
      <c r="W47" s="12">
        <f t="shared" si="4"/>
        <v>3148022</v>
      </c>
    </row>
    <row r="48" spans="2:23" x14ac:dyDescent="0.45">
      <c r="B48" s="44" t="s">
        <v>65</v>
      </c>
      <c r="C48" s="44"/>
      <c r="D48" s="6">
        <f>D46/D47</f>
        <v>0.98532684360628919</v>
      </c>
      <c r="E48" s="6">
        <f t="shared" ref="E48:W48" si="5">E46/E47</f>
        <v>0.96045433990155493</v>
      </c>
      <c r="F48" s="6">
        <f t="shared" si="5"/>
        <v>0.92942263031262495</v>
      </c>
      <c r="G48" s="6">
        <f t="shared" si="5"/>
        <v>0.89184494454891106</v>
      </c>
      <c r="H48" s="6">
        <f t="shared" si="5"/>
        <v>0.83829327295475786</v>
      </c>
      <c r="I48" s="6">
        <f t="shared" si="5"/>
        <v>0.76723148586104506</v>
      </c>
      <c r="J48" s="6">
        <f t="shared" si="5"/>
        <v>0.68580785255994248</v>
      </c>
      <c r="K48" s="6">
        <f t="shared" si="5"/>
        <v>0.60340816807731457</v>
      </c>
      <c r="L48" s="6">
        <f t="shared" si="5"/>
        <v>0.51820677276225846</v>
      </c>
      <c r="M48" s="6">
        <f t="shared" si="5"/>
        <v>0.43241235344353807</v>
      </c>
      <c r="N48" s="6">
        <f t="shared" si="5"/>
        <v>0.33783256605281609</v>
      </c>
      <c r="O48" s="6">
        <f t="shared" si="5"/>
        <v>0.24929094967494894</v>
      </c>
      <c r="P48" s="6">
        <f t="shared" si="5"/>
        <v>0.15486974672243151</v>
      </c>
      <c r="Q48" s="6">
        <f t="shared" si="5"/>
        <v>6.0672747608163345E-2</v>
      </c>
      <c r="R48" s="6">
        <f t="shared" si="5"/>
        <v>4.4333235154148637E-2</v>
      </c>
      <c r="S48" s="6">
        <f t="shared" si="5"/>
        <v>0</v>
      </c>
      <c r="T48" s="6">
        <f t="shared" si="5"/>
        <v>0</v>
      </c>
      <c r="U48" s="6">
        <f t="shared" si="5"/>
        <v>0</v>
      </c>
      <c r="V48" s="6">
        <f t="shared" si="5"/>
        <v>0</v>
      </c>
      <c r="W48" s="6">
        <f t="shared" si="5"/>
        <v>0</v>
      </c>
    </row>
    <row r="49" spans="2:23" x14ac:dyDescent="0.45">
      <c r="B49" s="44"/>
      <c r="C49" s="44"/>
      <c r="D49" s="92"/>
      <c r="E49" s="92"/>
      <c r="F49" s="92"/>
      <c r="G49" s="92"/>
      <c r="H49" s="92"/>
      <c r="I49" s="92"/>
      <c r="J49" s="92"/>
      <c r="K49" s="92"/>
      <c r="L49" s="92"/>
      <c r="M49" s="92"/>
      <c r="N49" s="92"/>
      <c r="O49" s="92"/>
      <c r="P49" s="92"/>
      <c r="Q49" s="92"/>
      <c r="R49" s="92"/>
      <c r="S49" s="92"/>
      <c r="T49" s="92"/>
      <c r="U49" s="92"/>
      <c r="V49" s="92"/>
      <c r="W49" s="92"/>
    </row>
    <row r="50" spans="2:23" x14ac:dyDescent="0.45">
      <c r="D50" s="92"/>
      <c r="E50" s="92"/>
      <c r="F50" s="92"/>
      <c r="G50" s="92"/>
      <c r="H50" s="92"/>
      <c r="I50" s="92"/>
      <c r="J50" s="92"/>
      <c r="K50" s="92"/>
      <c r="L50" s="92"/>
      <c r="M50" s="92"/>
      <c r="N50" s="92"/>
      <c r="O50" s="92"/>
      <c r="P50" s="92"/>
      <c r="Q50" s="92"/>
      <c r="R50" s="92"/>
      <c r="S50" s="92"/>
      <c r="T50" s="92"/>
      <c r="U50" s="92"/>
      <c r="V50" s="92"/>
      <c r="W50" s="92"/>
    </row>
    <row r="51" spans="2:23" x14ac:dyDescent="0.45">
      <c r="B51" s="44" t="s">
        <v>66</v>
      </c>
      <c r="C51" s="147">
        <f>SUM(D51:W51)</f>
        <v>15519234.613957528</v>
      </c>
      <c r="D51" s="12">
        <f>D45*D39</f>
        <v>59001</v>
      </c>
      <c r="E51" s="12">
        <f t="shared" ref="E51:W51" si="6">E45*E39</f>
        <v>144256.95732838591</v>
      </c>
      <c r="F51" s="12">
        <f t="shared" si="6"/>
        <v>234645.688263499</v>
      </c>
      <c r="G51" s="12">
        <f t="shared" si="6"/>
        <v>326040.02792781859</v>
      </c>
      <c r="H51" s="12">
        <f t="shared" si="6"/>
        <v>443763.02892318252</v>
      </c>
      <c r="I51" s="12">
        <f t="shared" si="6"/>
        <v>591585.85479111096</v>
      </c>
      <c r="J51" s="12">
        <f t="shared" si="6"/>
        <v>747853.30437598727</v>
      </c>
      <c r="K51" s="12">
        <f t="shared" si="6"/>
        <v>879868.57072137727</v>
      </c>
      <c r="L51" s="12">
        <f t="shared" si="6"/>
        <v>994592.21891627973</v>
      </c>
      <c r="M51" s="12">
        <f t="shared" si="6"/>
        <v>1083115.9244282192</v>
      </c>
      <c r="N51" s="12">
        <f t="shared" si="6"/>
        <v>1127284.7485499801</v>
      </c>
      <c r="O51" s="12">
        <f t="shared" si="6"/>
        <v>1149394.6401423959</v>
      </c>
      <c r="P51" s="12">
        <f t="shared" si="6"/>
        <v>1146585.2297312526</v>
      </c>
      <c r="Q51" s="12">
        <f t="shared" si="6"/>
        <v>1117437.2716177104</v>
      </c>
      <c r="R51" s="12">
        <f t="shared" si="6"/>
        <v>1068072.7154146498</v>
      </c>
      <c r="S51" s="12">
        <f t="shared" si="6"/>
        <v>1011053.0007631597</v>
      </c>
      <c r="T51" s="12">
        <f t="shared" si="6"/>
        <v>946536.97824242373</v>
      </c>
      <c r="U51" s="12">
        <f t="shared" si="6"/>
        <v>878049.14493731316</v>
      </c>
      <c r="V51" s="12">
        <f t="shared" si="6"/>
        <v>814516.83203832398</v>
      </c>
      <c r="W51" s="12">
        <f t="shared" si="6"/>
        <v>755581.47684445628</v>
      </c>
    </row>
    <row r="52" spans="2:23" x14ac:dyDescent="0.45">
      <c r="B52" s="44" t="s">
        <v>67</v>
      </c>
      <c r="C52" s="147">
        <f>SUM(D52:W52)</f>
        <v>24304801.911434215</v>
      </c>
      <c r="D52" s="12">
        <f>D46*D40</f>
        <v>3962015.2296974575</v>
      </c>
      <c r="E52" s="12">
        <f t="shared" ref="E52:W52" si="7">E46*E40</f>
        <v>3529796.3122523301</v>
      </c>
      <c r="F52" s="12">
        <f t="shared" si="7"/>
        <v>3136391.8637158447</v>
      </c>
      <c r="G52" s="12">
        <f t="shared" si="7"/>
        <v>2749276.3849682556</v>
      </c>
      <c r="H52" s="12">
        <f t="shared" si="7"/>
        <v>2370057.8346070158</v>
      </c>
      <c r="I52" s="12">
        <f t="shared" si="7"/>
        <v>2023927.1669511471</v>
      </c>
      <c r="J52" s="12">
        <f t="shared" si="7"/>
        <v>1706999.6923761894</v>
      </c>
      <c r="K52" s="12">
        <f t="shared" si="7"/>
        <v>1410360.4030668261</v>
      </c>
      <c r="L52" s="12">
        <f t="shared" si="7"/>
        <v>1135448.175180516</v>
      </c>
      <c r="M52" s="12">
        <f t="shared" si="7"/>
        <v>882378.56119321706</v>
      </c>
      <c r="N52" s="12">
        <f t="shared" si="7"/>
        <v>619608.20050609042</v>
      </c>
      <c r="O52" s="12">
        <f t="shared" si="7"/>
        <v>414275.11147270026</v>
      </c>
      <c r="P52" s="12">
        <f t="shared" si="7"/>
        <v>229757.17383791661</v>
      </c>
      <c r="Q52" s="12">
        <f t="shared" si="7"/>
        <v>79516.027323412622</v>
      </c>
      <c r="R52" s="12">
        <f t="shared" si="7"/>
        <v>54993.774285297419</v>
      </c>
      <c r="S52" s="12">
        <f t="shared" si="7"/>
        <v>0</v>
      </c>
      <c r="T52" s="12">
        <f t="shared" si="7"/>
        <v>0</v>
      </c>
      <c r="U52" s="12">
        <f t="shared" si="7"/>
        <v>0</v>
      </c>
      <c r="V52" s="12">
        <f t="shared" si="7"/>
        <v>0</v>
      </c>
      <c r="W52" s="12">
        <f t="shared" si="7"/>
        <v>0</v>
      </c>
    </row>
    <row r="53" spans="2:23" x14ac:dyDescent="0.45">
      <c r="D53" s="12"/>
      <c r="E53" s="12"/>
      <c r="F53" s="12"/>
      <c r="G53" s="12"/>
      <c r="H53" s="12"/>
      <c r="I53" s="12"/>
      <c r="J53" s="12"/>
      <c r="K53" s="12"/>
      <c r="L53" s="12"/>
      <c r="M53" s="12"/>
      <c r="N53" s="12"/>
      <c r="O53" s="12"/>
      <c r="P53" s="12"/>
      <c r="Q53" s="12"/>
      <c r="R53" s="12"/>
      <c r="S53" s="12"/>
      <c r="T53" s="12"/>
      <c r="U53" s="12"/>
      <c r="V53" s="12"/>
      <c r="W53" s="12"/>
    </row>
    <row r="54" spans="2:23" x14ac:dyDescent="0.45">
      <c r="B54" s="44" t="s">
        <v>68</v>
      </c>
      <c r="C54" s="130">
        <f>SUM(C51:C52)</f>
        <v>39824036.525391743</v>
      </c>
      <c r="D54" s="12">
        <f>SUM(D51:D52)</f>
        <v>4021016.2296974575</v>
      </c>
      <c r="E54" s="12">
        <f t="shared" ref="E54:W54" si="8">SUM(E51:E52)</f>
        <v>3674053.2695807163</v>
      </c>
      <c r="F54" s="12">
        <f t="shared" si="8"/>
        <v>3371037.5519793439</v>
      </c>
      <c r="G54" s="12">
        <f t="shared" si="8"/>
        <v>3075316.4128960744</v>
      </c>
      <c r="H54" s="12">
        <f t="shared" si="8"/>
        <v>2813820.8635301981</v>
      </c>
      <c r="I54" s="12">
        <f t="shared" si="8"/>
        <v>2615513.0217422582</v>
      </c>
      <c r="J54" s="12">
        <f t="shared" si="8"/>
        <v>2454852.9967521764</v>
      </c>
      <c r="K54" s="12">
        <f t="shared" si="8"/>
        <v>2290228.9737882032</v>
      </c>
      <c r="L54" s="12">
        <f t="shared" si="8"/>
        <v>2130040.3940967955</v>
      </c>
      <c r="M54" s="12">
        <f t="shared" si="8"/>
        <v>1965494.4856214363</v>
      </c>
      <c r="N54" s="12">
        <f t="shared" si="8"/>
        <v>1746892.9490560705</v>
      </c>
      <c r="O54" s="12">
        <f t="shared" si="8"/>
        <v>1563669.7516150961</v>
      </c>
      <c r="P54" s="12">
        <f t="shared" si="8"/>
        <v>1376342.4035691693</v>
      </c>
      <c r="Q54" s="12">
        <f t="shared" si="8"/>
        <v>1196953.2989411231</v>
      </c>
      <c r="R54" s="12">
        <f t="shared" si="8"/>
        <v>1123066.4896999472</v>
      </c>
      <c r="S54" s="12">
        <f t="shared" si="8"/>
        <v>1011053.0007631597</v>
      </c>
      <c r="T54" s="12">
        <f t="shared" si="8"/>
        <v>946536.97824242373</v>
      </c>
      <c r="U54" s="12">
        <f t="shared" si="8"/>
        <v>878049.14493731316</v>
      </c>
      <c r="V54" s="12">
        <f t="shared" si="8"/>
        <v>814516.83203832398</v>
      </c>
      <c r="W54" s="12">
        <f t="shared" si="8"/>
        <v>755581.47684445628</v>
      </c>
    </row>
    <row r="56" spans="2:23" x14ac:dyDescent="0.45">
      <c r="B56" s="44" t="s">
        <v>69</v>
      </c>
      <c r="C56" s="135">
        <f>D32/C54</f>
        <v>183.42303391056558</v>
      </c>
      <c r="D56" s="135">
        <f>C56/12</f>
        <v>15.285252825880464</v>
      </c>
    </row>
    <row r="57" spans="2:23" x14ac:dyDescent="0.45">
      <c r="B57" s="44" t="s">
        <v>70</v>
      </c>
      <c r="C57" s="135">
        <f>D33/C54</f>
        <v>203.04455226740313</v>
      </c>
      <c r="D57" s="135">
        <f>C57/12</f>
        <v>16.920379355616927</v>
      </c>
    </row>
    <row r="58" spans="2:23" x14ac:dyDescent="0.45">
      <c r="B58" s="44" t="s">
        <v>71</v>
      </c>
      <c r="C58" s="135">
        <f>D34/C54</f>
        <v>168.47201831017176</v>
      </c>
      <c r="D58" s="135">
        <f>C58/12</f>
        <v>14.039334859180981</v>
      </c>
    </row>
    <row r="60" spans="2:23" x14ac:dyDescent="0.45">
      <c r="B60" s="44" t="s">
        <v>72</v>
      </c>
      <c r="C60" s="136">
        <f>SUM(D60:W60)</f>
        <v>12934863575.489256</v>
      </c>
      <c r="D60" s="12">
        <f>$C56*D$47</f>
        <v>737546996.2547313</v>
      </c>
      <c r="E60" s="12">
        <f t="shared" ref="E60:W60" si="9">$C56*E$47</f>
        <v>721291097.66762209</v>
      </c>
      <c r="F60" s="12">
        <f t="shared" si="9"/>
        <v>708660952.6851213</v>
      </c>
      <c r="G60" s="12">
        <f t="shared" si="9"/>
        <v>692682558.71106601</v>
      </c>
      <c r="H60" s="12">
        <f t="shared" si="9"/>
        <v>679754272.78297842</v>
      </c>
      <c r="I60" s="12">
        <f t="shared" si="9"/>
        <v>678642765.46864498</v>
      </c>
      <c r="J60" s="12">
        <f t="shared" si="9"/>
        <v>685152943.84091306</v>
      </c>
      <c r="K60" s="12">
        <f t="shared" si="9"/>
        <v>688429128.94922245</v>
      </c>
      <c r="L60" s="12">
        <f t="shared" si="9"/>
        <v>690539182.06207538</v>
      </c>
      <c r="M60" s="12">
        <f t="shared" si="9"/>
        <v>688120865.31215167</v>
      </c>
      <c r="N60" s="12">
        <f t="shared" si="9"/>
        <v>661770333.89449763</v>
      </c>
      <c r="O60" s="12">
        <f t="shared" si="9"/>
        <v>641590253.59913003</v>
      </c>
      <c r="P60" s="12">
        <f t="shared" si="9"/>
        <v>612860593.23923147</v>
      </c>
      <c r="Q60" s="12">
        <f t="shared" si="9"/>
        <v>579300621.03527439</v>
      </c>
      <c r="R60" s="12">
        <f t="shared" si="9"/>
        <v>586692940.57998025</v>
      </c>
      <c r="S60" s="12">
        <f t="shared" si="9"/>
        <v>572149085.17778635</v>
      </c>
      <c r="T60" s="12">
        <f t="shared" si="9"/>
        <v>577419746.05720651</v>
      </c>
      <c r="U60" s="12">
        <f t="shared" si="9"/>
        <v>577419746.05720651</v>
      </c>
      <c r="V60" s="12">
        <f t="shared" si="9"/>
        <v>577419746.05720651</v>
      </c>
      <c r="W60" s="12">
        <f t="shared" si="9"/>
        <v>577419746.05720651</v>
      </c>
    </row>
    <row r="61" spans="2:23" x14ac:dyDescent="0.45">
      <c r="B61" s="44" t="s">
        <v>73</v>
      </c>
      <c r="C61" s="136">
        <f>SUM(D61:W61)</f>
        <v>14318559274.326084</v>
      </c>
      <c r="D61" s="12">
        <f t="shared" ref="D61:W61" si="10">$C57*D$47</f>
        <v>816445440.01888168</v>
      </c>
      <c r="E61" s="12">
        <f t="shared" si="10"/>
        <v>798450580.92210507</v>
      </c>
      <c r="F61" s="12">
        <f t="shared" si="10"/>
        <v>784469337.2452904</v>
      </c>
      <c r="G61" s="12">
        <f t="shared" si="10"/>
        <v>766781668.57442927</v>
      </c>
      <c r="H61" s="12">
        <f t="shared" si="10"/>
        <v>752470390.58557296</v>
      </c>
      <c r="I61" s="12">
        <f t="shared" si="10"/>
        <v>751239980.75007308</v>
      </c>
      <c r="J61" s="12">
        <f t="shared" si="10"/>
        <v>758446579.75018907</v>
      </c>
      <c r="K61" s="12">
        <f t="shared" si="10"/>
        <v>762073231.89021504</v>
      </c>
      <c r="L61" s="12">
        <f t="shared" si="10"/>
        <v>764409006.08621144</v>
      </c>
      <c r="M61" s="12">
        <f t="shared" si="10"/>
        <v>761731992.02063632</v>
      </c>
      <c r="N61" s="12">
        <f t="shared" si="10"/>
        <v>732562635.59011054</v>
      </c>
      <c r="O61" s="12">
        <f t="shared" si="10"/>
        <v>710223808.88478506</v>
      </c>
      <c r="P61" s="12">
        <f t="shared" si="10"/>
        <v>678420818.27775776</v>
      </c>
      <c r="Q61" s="12">
        <f t="shared" si="10"/>
        <v>641270797.44895923</v>
      </c>
      <c r="R61" s="12">
        <f t="shared" si="10"/>
        <v>649453903.90059614</v>
      </c>
      <c r="S61" s="12">
        <f t="shared" si="10"/>
        <v>633354232.30853117</v>
      </c>
      <c r="T61" s="12">
        <f t="shared" si="10"/>
        <v>639188717.51793492</v>
      </c>
      <c r="U61" s="12">
        <f t="shared" si="10"/>
        <v>639188717.51793492</v>
      </c>
      <c r="V61" s="12">
        <f t="shared" si="10"/>
        <v>639188717.51793492</v>
      </c>
      <c r="W61" s="12">
        <f t="shared" si="10"/>
        <v>639188717.51793492</v>
      </c>
    </row>
    <row r="62" spans="2:23" x14ac:dyDescent="0.45">
      <c r="B62" s="44" t="s">
        <v>74</v>
      </c>
      <c r="C62" s="136">
        <f>SUM(D62:W62)</f>
        <v>11880528452.01507</v>
      </c>
      <c r="D62" s="12">
        <f t="shared" ref="D62:W62" si="11">$C58*D$47</f>
        <v>677428719.87508786</v>
      </c>
      <c r="E62" s="12">
        <f t="shared" si="11"/>
        <v>662497857.67077446</v>
      </c>
      <c r="F62" s="12">
        <f t="shared" si="11"/>
        <v>650897209.86015379</v>
      </c>
      <c r="G62" s="12">
        <f t="shared" si="11"/>
        <v>636221232.55908751</v>
      </c>
      <c r="H62" s="12">
        <f t="shared" si="11"/>
        <v>624346745.60311508</v>
      </c>
      <c r="I62" s="12">
        <f t="shared" si="11"/>
        <v>623325838.486817</v>
      </c>
      <c r="J62" s="12">
        <f t="shared" si="11"/>
        <v>629305364.97567666</v>
      </c>
      <c r="K62" s="12">
        <f t="shared" si="11"/>
        <v>632314504.59019065</v>
      </c>
      <c r="L62" s="12">
        <f t="shared" si="11"/>
        <v>634252564.92582607</v>
      </c>
      <c r="M62" s="12">
        <f t="shared" si="11"/>
        <v>632031367.86520171</v>
      </c>
      <c r="N62" s="12">
        <f t="shared" si="11"/>
        <v>607828697.58529401</v>
      </c>
      <c r="O62" s="12">
        <f t="shared" si="11"/>
        <v>589293518.090446</v>
      </c>
      <c r="P62" s="12">
        <f t="shared" si="11"/>
        <v>562905644.31578243</v>
      </c>
      <c r="Q62" s="12">
        <f t="shared" si="11"/>
        <v>532081182.7904613</v>
      </c>
      <c r="R62" s="12">
        <f t="shared" si="11"/>
        <v>538870946.14317942</v>
      </c>
      <c r="S62" s="12">
        <f t="shared" si="11"/>
        <v>525512576.57868075</v>
      </c>
      <c r="T62" s="12">
        <f t="shared" si="11"/>
        <v>530353620.02482355</v>
      </c>
      <c r="U62" s="12">
        <f t="shared" si="11"/>
        <v>530353620.02482355</v>
      </c>
      <c r="V62" s="12">
        <f t="shared" si="11"/>
        <v>530353620.02482355</v>
      </c>
      <c r="W62" s="12">
        <f t="shared" si="11"/>
        <v>530353620.02482355</v>
      </c>
    </row>
    <row r="63" spans="2:23" x14ac:dyDescent="0.45">
      <c r="D63" s="12"/>
      <c r="E63" s="12"/>
      <c r="F63" s="12"/>
      <c r="G63" s="12"/>
      <c r="H63" s="12"/>
      <c r="I63" s="12"/>
      <c r="J63" s="12"/>
      <c r="K63" s="12"/>
      <c r="L63" s="12"/>
      <c r="M63" s="12"/>
      <c r="N63" s="12"/>
      <c r="O63" s="12"/>
      <c r="P63" s="12"/>
      <c r="Q63" s="12"/>
      <c r="R63" s="12"/>
      <c r="S63" s="12"/>
      <c r="T63" s="12"/>
      <c r="U63" s="12"/>
      <c r="V63" s="12"/>
      <c r="W63" s="12"/>
    </row>
    <row r="64" spans="2:23" x14ac:dyDescent="0.45">
      <c r="B64" s="5" t="s">
        <v>75</v>
      </c>
      <c r="C64" s="136">
        <f>SUM(D64:W64)</f>
        <v>7304645602.0525322</v>
      </c>
      <c r="D64" s="12">
        <f>D60*D$42</f>
        <v>737546996.2547313</v>
      </c>
      <c r="E64" s="12">
        <f t="shared" ref="E64:W64" si="12">E60*E$42</f>
        <v>673905997.45552802</v>
      </c>
      <c r="F64" s="12">
        <f t="shared" si="12"/>
        <v>618325935.21049726</v>
      </c>
      <c r="G64" s="12">
        <f t="shared" si="12"/>
        <v>564083866.68835545</v>
      </c>
      <c r="H64" s="12">
        <f t="shared" si="12"/>
        <v>516119559.66955644</v>
      </c>
      <c r="I64" s="12">
        <f t="shared" si="12"/>
        <v>479745333.68055612</v>
      </c>
      <c r="J64" s="12">
        <f t="shared" si="12"/>
        <v>450276584.46872807</v>
      </c>
      <c r="K64" s="12">
        <f t="shared" si="12"/>
        <v>420080746.72211343</v>
      </c>
      <c r="L64" s="12">
        <f t="shared" si="12"/>
        <v>390698471.43729097</v>
      </c>
      <c r="M64" s="12">
        <f t="shared" si="12"/>
        <v>360516961.68717045</v>
      </c>
      <c r="N64" s="12">
        <f t="shared" si="12"/>
        <v>320420404.63283956</v>
      </c>
      <c r="O64" s="12">
        <f t="shared" si="12"/>
        <v>286813049.87542146</v>
      </c>
      <c r="P64" s="12">
        <f t="shared" si="12"/>
        <v>252452899.3624171</v>
      </c>
      <c r="Q64" s="12">
        <f t="shared" si="12"/>
        <v>219548805.54104096</v>
      </c>
      <c r="R64" s="12">
        <f t="shared" si="12"/>
        <v>205996262.82405323</v>
      </c>
      <c r="S64" s="12">
        <f t="shared" si="12"/>
        <v>185450408.84436014</v>
      </c>
      <c r="T64" s="12">
        <f t="shared" si="12"/>
        <v>173616684.25776437</v>
      </c>
      <c r="U64" s="12">
        <f t="shared" si="12"/>
        <v>161054438.08697993</v>
      </c>
      <c r="V64" s="12">
        <f t="shared" si="12"/>
        <v>149401148.50369197</v>
      </c>
      <c r="W64" s="12">
        <f t="shared" si="12"/>
        <v>138591046.84943593</v>
      </c>
    </row>
    <row r="65" spans="1:23" x14ac:dyDescent="0.45">
      <c r="B65" s="5" t="s">
        <v>76</v>
      </c>
      <c r="C65" s="136">
        <f t="shared" ref="C65:C66" si="13">SUM(D65:W65)</f>
        <v>8086053665.7788763</v>
      </c>
      <c r="D65" s="12">
        <f t="shared" ref="D65:W65" si="14">D61*D$42</f>
        <v>816445440.01888168</v>
      </c>
      <c r="E65" s="12">
        <f t="shared" si="14"/>
        <v>745996501.12860513</v>
      </c>
      <c r="F65" s="12">
        <f t="shared" si="14"/>
        <v>684470810.41824865</v>
      </c>
      <c r="G65" s="12">
        <f t="shared" si="14"/>
        <v>624426244.1370796</v>
      </c>
      <c r="H65" s="12">
        <f t="shared" si="14"/>
        <v>571330997.3961668</v>
      </c>
      <c r="I65" s="12">
        <f t="shared" si="14"/>
        <v>531065670.44921952</v>
      </c>
      <c r="J65" s="12">
        <f t="shared" si="14"/>
        <v>498444527.60783863</v>
      </c>
      <c r="K65" s="12">
        <f t="shared" si="14"/>
        <v>465018516.57265997</v>
      </c>
      <c r="L65" s="12">
        <f t="shared" si="14"/>
        <v>432493098.13086677</v>
      </c>
      <c r="M65" s="12">
        <f t="shared" si="14"/>
        <v>399082947.81705445</v>
      </c>
      <c r="N65" s="12">
        <f t="shared" si="14"/>
        <v>354697096.70017332</v>
      </c>
      <c r="O65" s="12">
        <f t="shared" si="14"/>
        <v>317494624.61076868</v>
      </c>
      <c r="P65" s="12">
        <f t="shared" si="14"/>
        <v>279458827.09934342</v>
      </c>
      <c r="Q65" s="12">
        <f t="shared" si="14"/>
        <v>243034846.66849151</v>
      </c>
      <c r="R65" s="12">
        <f t="shared" si="14"/>
        <v>228032532.56764984</v>
      </c>
      <c r="S65" s="12">
        <f t="shared" si="14"/>
        <v>205288803.85857019</v>
      </c>
      <c r="T65" s="12">
        <f t="shared" si="14"/>
        <v>192189176.95177361</v>
      </c>
      <c r="U65" s="12">
        <f t="shared" si="14"/>
        <v>178283095.50257292</v>
      </c>
      <c r="V65" s="12">
        <f t="shared" si="14"/>
        <v>165383205.47548509</v>
      </c>
      <c r="W65" s="12">
        <f t="shared" si="14"/>
        <v>153416702.66742584</v>
      </c>
    </row>
    <row r="66" spans="1:23" x14ac:dyDescent="0.45">
      <c r="B66" s="5" t="s">
        <v>77</v>
      </c>
      <c r="C66" s="136">
        <f t="shared" si="13"/>
        <v>6709235810.6907473</v>
      </c>
      <c r="D66" s="12">
        <f t="shared" ref="D66:W66" si="15">D62*D$42</f>
        <v>677428719.87508786</v>
      </c>
      <c r="E66" s="12">
        <f t="shared" si="15"/>
        <v>618975169.70534885</v>
      </c>
      <c r="F66" s="12">
        <f t="shared" si="15"/>
        <v>567925500.18134058</v>
      </c>
      <c r="G66" s="12">
        <f t="shared" si="15"/>
        <v>518104763.02299905</v>
      </c>
      <c r="H66" s="12">
        <f t="shared" si="15"/>
        <v>474050080.04220289</v>
      </c>
      <c r="I66" s="12">
        <f t="shared" si="15"/>
        <v>440640757.6894545</v>
      </c>
      <c r="J66" s="12">
        <f t="shared" si="15"/>
        <v>413574039.0176127</v>
      </c>
      <c r="K66" s="12">
        <f t="shared" si="15"/>
        <v>385839497.60653216</v>
      </c>
      <c r="L66" s="12">
        <f t="shared" si="15"/>
        <v>358852204.27568078</v>
      </c>
      <c r="M66" s="12">
        <f t="shared" si="15"/>
        <v>331130822.97015631</v>
      </c>
      <c r="N66" s="12">
        <f t="shared" si="15"/>
        <v>294302580.8992843</v>
      </c>
      <c r="O66" s="12">
        <f t="shared" si="15"/>
        <v>263434599.02516019</v>
      </c>
      <c r="P66" s="12">
        <f t="shared" si="15"/>
        <v>231875182.6151709</v>
      </c>
      <c r="Q66" s="12">
        <f t="shared" si="15"/>
        <v>201653138.09562939</v>
      </c>
      <c r="R66" s="12">
        <f t="shared" si="15"/>
        <v>189205278.21626979</v>
      </c>
      <c r="S66" s="12">
        <f t="shared" si="15"/>
        <v>170334139.65712515</v>
      </c>
      <c r="T66" s="12">
        <f t="shared" si="15"/>
        <v>159464995.12971228</v>
      </c>
      <c r="U66" s="12">
        <f t="shared" si="15"/>
        <v>147926711.6231097</v>
      </c>
      <c r="V66" s="12">
        <f t="shared" si="15"/>
        <v>137223294.64110363</v>
      </c>
      <c r="W66" s="12">
        <f t="shared" si="15"/>
        <v>127294336.40176585</v>
      </c>
    </row>
    <row r="68" spans="1:23" ht="15.75" x14ac:dyDescent="0.5">
      <c r="A68" s="57" t="s">
        <v>78</v>
      </c>
    </row>
    <row r="69" spans="1:23" x14ac:dyDescent="0.45">
      <c r="B69" s="44" t="s">
        <v>79</v>
      </c>
      <c r="C69" s="133">
        <f>SUM(D69:W69)</f>
        <v>3285672300.3545365</v>
      </c>
      <c r="D69" s="12">
        <f>'Total costs and revenues 2021'!C247</f>
        <v>12345482.434879921</v>
      </c>
      <c r="E69" s="12">
        <f>'Total costs and revenues 2021'!D247</f>
        <v>29281760.544523653</v>
      </c>
      <c r="F69" s="12">
        <f>'Total costs and revenues 2021'!E247</f>
        <v>47186177.709040493</v>
      </c>
      <c r="G69" s="12">
        <f>'Total costs and revenues 2021'!F247</f>
        <v>65889319.478628054</v>
      </c>
      <c r="H69" s="12">
        <f>'Total costs and revenues 2021'!G247</f>
        <v>91012400.278583869</v>
      </c>
      <c r="I69" s="12">
        <f>'Total costs and revenues 2021'!H247</f>
        <v>123097067.21033835</v>
      </c>
      <c r="J69" s="12">
        <f>'Total costs and revenues 2021'!I247</f>
        <v>157246017.74092683</v>
      </c>
      <c r="K69" s="12">
        <f>'Total costs and revenues 2021'!J247</f>
        <v>186438936.90734002</v>
      </c>
      <c r="L69" s="12">
        <f>'Total costs and revenues 2021'!K247</f>
        <v>212762490.27460665</v>
      </c>
      <c r="M69" s="12">
        <f>'Total costs and revenues 2021'!L247</f>
        <v>233434465.45552543</v>
      </c>
      <c r="N69" s="12">
        <f>'Total costs and revenues 2021'!M247</f>
        <v>241686966.23126855</v>
      </c>
      <c r="O69" s="12">
        <f>'Total costs and revenues 2021'!N247</f>
        <v>245790422.34147549</v>
      </c>
      <c r="P69" s="12">
        <f>'Total costs and revenues 2021'!O247</f>
        <v>244506510.49797723</v>
      </c>
      <c r="Q69" s="12">
        <f>'Total costs and revenues 2021'!P247</f>
        <v>237571874.10471815</v>
      </c>
      <c r="R69" s="12">
        <f>'Total costs and revenues 2021'!Q247</f>
        <v>226485475.12181169</v>
      </c>
      <c r="S69" s="12">
        <f>'Total costs and revenues 2021'!R247</f>
        <v>214088408.33557096</v>
      </c>
      <c r="T69" s="12">
        <f>'Total costs and revenues 2021'!S247</f>
        <v>200104641.98150232</v>
      </c>
      <c r="U69" s="12">
        <f>'Total costs and revenues 2021'!T247</f>
        <v>185370260.02570701</v>
      </c>
      <c r="V69" s="12">
        <f>'Total costs and revenues 2021'!U247</f>
        <v>171922416.24849856</v>
      </c>
      <c r="W69" s="12">
        <f>'Total costs and revenues 2021'!V247</f>
        <v>159451207.43161282</v>
      </c>
    </row>
    <row r="70" spans="1:23" x14ac:dyDescent="0.45">
      <c r="B70" s="44"/>
      <c r="C70" s="133"/>
      <c r="D70" s="12"/>
      <c r="E70" s="12"/>
      <c r="F70" s="12"/>
      <c r="G70" s="12"/>
      <c r="H70" s="12"/>
      <c r="I70" s="12"/>
      <c r="J70" s="12"/>
      <c r="K70" s="12"/>
      <c r="L70" s="12"/>
      <c r="M70" s="12"/>
      <c r="N70" s="12"/>
      <c r="O70" s="12"/>
      <c r="P70" s="12"/>
      <c r="Q70" s="12"/>
      <c r="R70" s="12"/>
      <c r="S70" s="12"/>
      <c r="T70" s="12"/>
      <c r="U70" s="12"/>
      <c r="V70" s="12"/>
      <c r="W70" s="12"/>
    </row>
    <row r="71" spans="1:23" x14ac:dyDescent="0.45">
      <c r="B71" s="44" t="s">
        <v>80</v>
      </c>
      <c r="C71" s="133">
        <f>SUM(D71:W71)</f>
        <v>3488239120.9500608</v>
      </c>
      <c r="D71" s="12">
        <f>'Total costs and revenues 2021'!C287</f>
        <v>13159696.23487992</v>
      </c>
      <c r="E71" s="12">
        <f>'Total costs and revenues 2021'!D287</f>
        <v>31249048.089636028</v>
      </c>
      <c r="F71" s="12">
        <f>'Total costs and revenues 2021'!E287</f>
        <v>50343034.974639311</v>
      </c>
      <c r="G71" s="12">
        <f>'Total costs and revenues 2021'!F287</f>
        <v>70208781.886074632</v>
      </c>
      <c r="H71" s="12">
        <f>'Total costs and revenues 2021'!G287</f>
        <v>96796062.863491684</v>
      </c>
      <c r="I71" s="12">
        <f>'Total costs and revenues 2021'!H287</f>
        <v>130807337.67252314</v>
      </c>
      <c r="J71" s="12">
        <f>'Total costs and revenues 2021'!I287</f>
        <v>166992956.74577081</v>
      </c>
      <c r="K71" s="12">
        <f>'Total costs and revenues 2021'!J287</f>
        <v>197906460.33863166</v>
      </c>
      <c r="L71" s="12">
        <f>'Total costs and revenues 2021'!K287</f>
        <v>225725232.61424014</v>
      </c>
      <c r="M71" s="12">
        <f>'Total costs and revenues 2021'!L287</f>
        <v>247550957.00380564</v>
      </c>
      <c r="N71" s="12">
        <f>'Total costs and revenues 2021'!M287</f>
        <v>256379119.92092243</v>
      </c>
      <c r="O71" s="12">
        <f>'Total costs and revenues 2021'!N287</f>
        <v>260770739.18223664</v>
      </c>
      <c r="P71" s="12">
        <f>'Total costs and revenues 2021'!O287</f>
        <v>259450211.66590962</v>
      </c>
      <c r="Q71" s="12">
        <f>'Total costs and revenues 2021'!P287</f>
        <v>252135683.4299776</v>
      </c>
      <c r="R71" s="12">
        <f>'Total costs and revenues 2021'!Q287</f>
        <v>240405905.17001635</v>
      </c>
      <c r="S71" s="12">
        <f>'Total costs and revenues 2021'!R287</f>
        <v>227265687.7183581</v>
      </c>
      <c r="T71" s="12">
        <f>'Total costs and revenues 2021'!S287</f>
        <v>212441069.64555645</v>
      </c>
      <c r="U71" s="12">
        <f>'Total costs and revenues 2021'!T287</f>
        <v>196814070.47473681</v>
      </c>
      <c r="V71" s="12">
        <f>'Total costs and revenues 2021'!U287</f>
        <v>182538195.8858175</v>
      </c>
      <c r="W71" s="12">
        <f>'Total costs and revenues 2021'!V287</f>
        <v>169298869.43283632</v>
      </c>
    </row>
    <row r="72" spans="1:23" x14ac:dyDescent="0.45">
      <c r="B72" s="44"/>
      <c r="C72" s="133"/>
      <c r="D72" s="12"/>
      <c r="E72" s="12"/>
      <c r="F72" s="12"/>
      <c r="G72" s="12"/>
      <c r="H72" s="12"/>
      <c r="I72" s="12"/>
      <c r="J72" s="12"/>
      <c r="K72" s="12"/>
      <c r="L72" s="12"/>
      <c r="M72" s="12"/>
      <c r="N72" s="12"/>
      <c r="O72" s="12"/>
      <c r="P72" s="12"/>
      <c r="Q72" s="12"/>
      <c r="R72" s="12"/>
      <c r="S72" s="12"/>
      <c r="T72" s="12"/>
      <c r="U72" s="12"/>
      <c r="V72" s="12"/>
      <c r="W72" s="12"/>
    </row>
    <row r="73" spans="1:23" x14ac:dyDescent="0.45">
      <c r="B73" s="44" t="s">
        <v>81</v>
      </c>
      <c r="C73" s="133">
        <f>SUM(D73:W73)</f>
        <v>3083105479.7590113</v>
      </c>
      <c r="D73" s="12">
        <f>'Total costs and revenues 2021'!C267</f>
        <v>11531268.634879921</v>
      </c>
      <c r="E73" s="12">
        <f>'Total costs and revenues 2021'!D267</f>
        <v>27314472.999411274</v>
      </c>
      <c r="F73" s="12">
        <f>'Total costs and revenues 2021'!E267</f>
        <v>44029320.443441674</v>
      </c>
      <c r="G73" s="12">
        <f>'Total costs and revenues 2021'!F267</f>
        <v>61569857.071181498</v>
      </c>
      <c r="H73" s="12">
        <f>'Total costs and revenues 2021'!G267</f>
        <v>85228737.693676054</v>
      </c>
      <c r="I73" s="12">
        <f>'Total costs and revenues 2021'!H267</f>
        <v>115386796.74815363</v>
      </c>
      <c r="J73" s="12">
        <f>'Total costs and revenues 2021'!I267</f>
        <v>147499078.73608282</v>
      </c>
      <c r="K73" s="12">
        <f>'Total costs and revenues 2021'!J267</f>
        <v>174971413.47604841</v>
      </c>
      <c r="L73" s="12">
        <f>'Total costs and revenues 2021'!K267</f>
        <v>199799747.93497321</v>
      </c>
      <c r="M73" s="12">
        <f>'Total costs and revenues 2021'!L267</f>
        <v>219317973.90724525</v>
      </c>
      <c r="N73" s="12">
        <f>'Total costs and revenues 2021'!M267</f>
        <v>226994812.54161459</v>
      </c>
      <c r="O73" s="12">
        <f>'Total costs and revenues 2021'!N267</f>
        <v>230810105.50071427</v>
      </c>
      <c r="P73" s="12">
        <f>'Total costs and revenues 2021'!O267</f>
        <v>229562809.33004481</v>
      </c>
      <c r="Q73" s="12">
        <f>'Total costs and revenues 2021'!P267</f>
        <v>223008064.77945867</v>
      </c>
      <c r="R73" s="12">
        <f>'Total costs and revenues 2021'!Q267</f>
        <v>212565045.07360694</v>
      </c>
      <c r="S73" s="12">
        <f>'Total costs and revenues 2021'!R267</f>
        <v>200911128.95278373</v>
      </c>
      <c r="T73" s="12">
        <f>'Total costs and revenues 2021'!S267</f>
        <v>187768214.31744817</v>
      </c>
      <c r="U73" s="12">
        <f>'Total costs and revenues 2021'!T267</f>
        <v>173926449.57667717</v>
      </c>
      <c r="V73" s="12">
        <f>'Total costs and revenues 2021'!U267</f>
        <v>161306636.61117962</v>
      </c>
      <c r="W73" s="12">
        <f>'Total costs and revenues 2021'!V267</f>
        <v>149603545.43038931</v>
      </c>
    </row>
    <row r="74" spans="1:23" x14ac:dyDescent="0.45">
      <c r="C74" s="133"/>
      <c r="D74" s="12"/>
      <c r="E74" s="12"/>
      <c r="F74" s="12"/>
      <c r="G74" s="12"/>
      <c r="H74" s="12"/>
      <c r="I74" s="12"/>
      <c r="J74" s="12"/>
      <c r="K74" s="12"/>
      <c r="L74" s="12"/>
      <c r="M74" s="12"/>
      <c r="N74" s="12"/>
      <c r="O74" s="12"/>
      <c r="P74" s="12"/>
      <c r="Q74" s="12"/>
      <c r="R74" s="12"/>
      <c r="S74" s="12"/>
      <c r="T74" s="12"/>
      <c r="U74" s="12"/>
      <c r="V74" s="12"/>
      <c r="W74" s="12"/>
    </row>
    <row r="75" spans="1:23" x14ac:dyDescent="0.45">
      <c r="B75" s="44" t="s">
        <v>82</v>
      </c>
      <c r="C75" s="133">
        <f>SUM(D75:W75)</f>
        <v>3888329429.6904626</v>
      </c>
      <c r="D75" s="12">
        <f>'Total costs and revenues 2021'!C308</f>
        <v>584298137.10403979</v>
      </c>
      <c r="E75" s="12">
        <f>'Total costs and revenues 2021'!D308</f>
        <v>535017390.10266411</v>
      </c>
      <c r="F75" s="12">
        <f>'Total costs and revenues 2021'!E308</f>
        <v>485599206.97808009</v>
      </c>
      <c r="G75" s="12">
        <f>'Total costs and revenues 2021'!F308</f>
        <v>435125848.92357779</v>
      </c>
      <c r="H75" s="12">
        <f>'Total costs and revenues 2021'!G308</f>
        <v>382931012.39957738</v>
      </c>
      <c r="I75" s="12">
        <f>'Total costs and revenues 2021'!H308</f>
        <v>334052345.25099033</v>
      </c>
      <c r="J75" s="12">
        <f>'Total costs and revenues 2021'!I308</f>
        <v>287365546.49810654</v>
      </c>
      <c r="K75" s="12">
        <f>'Total costs and revenues 2021'!J308</f>
        <v>241953997.16335118</v>
      </c>
      <c r="L75" s="12">
        <f>'Total costs and revenues 2021'!K308</f>
        <v>198181038.68463194</v>
      </c>
      <c r="M75" s="12">
        <f>'Total costs and revenues 2021'!L308</f>
        <v>156239546.23132682</v>
      </c>
      <c r="N75" s="12">
        <f>'Total costs and revenues 2021'!M308</f>
        <v>109711759.0406668</v>
      </c>
      <c r="O75" s="12">
        <f>'Total costs and revenues 2021'!N308</f>
        <v>73354179.575600252</v>
      </c>
      <c r="P75" s="12">
        <f>'Total costs and revenues 2021'!O308</f>
        <v>40682262.877381548</v>
      </c>
      <c r="Q75" s="12">
        <f>'Total costs and revenues 2021'!P308</f>
        <v>14079612.281522045</v>
      </c>
      <c r="R75" s="12">
        <f>'Total costs and revenues 2021'!Q308</f>
        <v>9737546.57894665</v>
      </c>
      <c r="S75" s="12">
        <f>'Total costs and revenues 2021'!R308</f>
        <v>0</v>
      </c>
      <c r="T75" s="12">
        <f>'Total costs and revenues 2021'!S308</f>
        <v>0</v>
      </c>
      <c r="U75" s="12">
        <f>'Total costs and revenues 2021'!T308</f>
        <v>0</v>
      </c>
      <c r="V75" s="12">
        <f>'Total costs and revenues 2021'!U308</f>
        <v>0</v>
      </c>
      <c r="W75" s="12">
        <f>'Total costs and revenues 2021'!V308</f>
        <v>0</v>
      </c>
    </row>
    <row r="76" spans="1:23" x14ac:dyDescent="0.45">
      <c r="B76" s="44"/>
      <c r="C76" s="133"/>
      <c r="D76" s="12"/>
      <c r="E76" s="12"/>
      <c r="F76" s="12"/>
      <c r="G76" s="12"/>
      <c r="H76" s="12"/>
      <c r="I76" s="12"/>
      <c r="J76" s="12"/>
      <c r="K76" s="12"/>
      <c r="L76" s="12"/>
      <c r="M76" s="12"/>
      <c r="N76" s="12"/>
      <c r="O76" s="12"/>
      <c r="P76" s="12"/>
      <c r="Q76" s="12"/>
      <c r="R76" s="12"/>
      <c r="S76" s="12"/>
      <c r="T76" s="12"/>
      <c r="U76" s="12"/>
      <c r="V76" s="12"/>
      <c r="W76" s="12"/>
    </row>
    <row r="77" spans="1:23" x14ac:dyDescent="0.45">
      <c r="B77" s="44" t="s">
        <v>83</v>
      </c>
      <c r="C77" s="133">
        <f>SUM(D77:W77)</f>
        <v>13351378971.295853</v>
      </c>
      <c r="D77" s="12">
        <f>SUM('Total costs and revenues 2021'!C244:C245) + ('Total costs and revenues 2021'!C306*'Total costs and revenues 2021'!$H$8)</f>
        <v>596643619.53891969</v>
      </c>
      <c r="E77" s="12">
        <f>SUM('Total costs and revenues 2021'!D244:D245) + ('Total costs and revenues 2021'!D306*'Total costs and revenues 2021'!$H$8)</f>
        <v>604034345.27684712</v>
      </c>
      <c r="F77" s="12">
        <f>SUM('Total costs and revenues 2021'!E244:E245) + ('Total costs and revenues 2021'!E306*'Total costs and revenues 2021'!$H$8)</f>
        <v>610796834.20603657</v>
      </c>
      <c r="G77" s="12">
        <f>SUM('Total costs and revenues 2021'!F244:F245) + ('Total costs and revenues 2021'!F306*'Total costs and revenues 2021'!$H$8)</f>
        <v>615589175.34697473</v>
      </c>
      <c r="H77" s="12">
        <f>SUM('Total costs and revenues 2021'!G244:G245) + ('Total costs and revenues 2021'!G306*'Total costs and revenues 2021'!$H$8)</f>
        <v>624851158.27929914</v>
      </c>
      <c r="I77" s="12">
        <f>SUM('Total costs and revenues 2021'!H244:H245) + ('Total costs and revenues 2021'!H306*'Total costs and revenues 2021'!$H$8)</f>
        <v>647727141.18888426</v>
      </c>
      <c r="J77" s="12">
        <f>SUM('Total costs and revenues 2021'!I244:I245) + ('Total costs and revenues 2021'!I306*'Total costs and revenues 2021'!$H$8)</f>
        <v>678028118.01637983</v>
      </c>
      <c r="K77" s="12">
        <f>SUM('Total costs and revenues 2021'!J244:J245) + ('Total costs and revenues 2021'!J306*'Total costs and revenues 2021'!$H$8)</f>
        <v>703929789.32415366</v>
      </c>
      <c r="L77" s="12">
        <f>SUM('Total costs and revenues 2021'!K244:K245) + ('Total costs and revenues 2021'!K306*'Total costs and revenues 2021'!$H$8)</f>
        <v>728523916.85980678</v>
      </c>
      <c r="M77" s="12">
        <f>SUM('Total costs and revenues 2021'!L244:L245) + ('Total costs and revenues 2021'!L306*'Total costs and revenues 2021'!$H$8)</f>
        <v>746156694.62273645</v>
      </c>
      <c r="N77" s="12">
        <f>SUM('Total costs and revenues 2021'!M244:M245) + ('Total costs and revenues 2021'!M306*'Total costs and revenues 2021'!$H$8)</f>
        <v>728021127.21550393</v>
      </c>
      <c r="O77" s="12">
        <f>SUM('Total costs and revenues 2021'!N244:N245) + ('Total costs and revenues 2021'!N306*'Total costs and revenues 2021'!$H$8)</f>
        <v>715927569.67006159</v>
      </c>
      <c r="P77" s="12">
        <f>SUM('Total costs and revenues 2021'!O244:O245) + ('Total costs and revenues 2021'!O306*'Total costs and revenues 2021'!$H$8)</f>
        <v>693789317.75872397</v>
      </c>
      <c r="Q77" s="12">
        <f>SUM('Total costs and revenues 2021'!P244:P245) + ('Total costs and revenues 2021'!P306*'Total costs and revenues 2021'!$H$8)</f>
        <v>664653041.13865733</v>
      </c>
      <c r="R77" s="12">
        <f>SUM('Total costs and revenues 2021'!Q244:Q245) + ('Total costs and revenues 2021'!Q306*'Total costs and revenues 2021'!$H$8)</f>
        <v>673299612.06433678</v>
      </c>
      <c r="S77" s="12">
        <f>SUM('Total costs and revenues 2021'!R244:R245) + ('Total costs and revenues 2021'!R306*'Total costs and revenues 2021'!$H$8)</f>
        <v>660502652.64805019</v>
      </c>
      <c r="T77" s="12">
        <f>SUM('Total costs and revenues 2021'!S244:S245) + ('Total costs and revenues 2021'!S306*'Total costs and revenues 2021'!$H$8)</f>
        <v>665514216.28512061</v>
      </c>
      <c r="U77" s="12">
        <f>SUM('Total costs and revenues 2021'!T244:T245) + ('Total costs and revenues 2021'!T306*'Total costs and revenues 2021'!$H$8)</f>
        <v>664597944.28512061</v>
      </c>
      <c r="V77" s="12">
        <f>SUM('Total costs and revenues 2021'!U244:U245) + ('Total costs and revenues 2021'!U306*'Total costs and revenues 2021'!$H$8)</f>
        <v>664462080.28512061</v>
      </c>
      <c r="W77" s="12">
        <f>SUM('Total costs and revenues 2021'!V244:V245) + ('Total costs and revenues 2021'!V306*'Total costs and revenues 2021'!$H$8)</f>
        <v>664330617.28512061</v>
      </c>
    </row>
    <row r="78" spans="1:23" x14ac:dyDescent="0.45">
      <c r="B78" s="44" t="s">
        <v>84</v>
      </c>
      <c r="C78" s="133">
        <f>SUM(D78:W78)</f>
        <v>13853954617.156425</v>
      </c>
      <c r="D78" s="12">
        <f>SUM('Total costs and revenues 2021'!C284:C285) + ('Total costs and revenues 2021'!C306*'Total costs and revenues 2021'!$H$8)</f>
        <v>597457833.33891976</v>
      </c>
      <c r="E78" s="12">
        <f>SUM('Total costs and revenues 2021'!D284:D285) + ('Total costs and revenues 2021'!D306*'Total costs and revenues 2021'!$H$8)</f>
        <v>606155081.25047827</v>
      </c>
      <c r="F78" s="12">
        <f>SUM('Total costs and revenues 2021'!E284:E285) + ('Total costs and revenues 2021'!E306*'Total costs and revenues 2021'!$H$8)</f>
        <v>614465367.52467275</v>
      </c>
      <c r="G78" s="12">
        <f>SUM('Total costs and revenues 2021'!F284:F285) + ('Total costs and revenues 2021'!F306*'Total costs and revenues 2021'!$H$8)</f>
        <v>621000280.59514892</v>
      </c>
      <c r="H78" s="12">
        <f>SUM('Total costs and revenues 2021'!G284:G285) + ('Total costs and revenues 2021'!G306*'Total costs and revenues 2021'!$H$8)</f>
        <v>632661643.08688009</v>
      </c>
      <c r="I78" s="12">
        <f>SUM('Total costs and revenues 2021'!H284:H285) + ('Total costs and revenues 2021'!H306*'Total costs and revenues 2021'!$H$8)</f>
        <v>658951548.47028399</v>
      </c>
      <c r="J78" s="12">
        <f>SUM('Total costs and revenues 2021'!I284:I285) + ('Total costs and revenues 2021'!I306*'Total costs and revenues 2021'!$H$8)</f>
        <v>693324221.5111233</v>
      </c>
      <c r="K78" s="12">
        <f>SUM('Total costs and revenues 2021'!J284:J285) + ('Total costs and revenues 2021'!J306*'Total costs and revenues 2021'!$H$8)</f>
        <v>723329755.02699304</v>
      </c>
      <c r="L78" s="12">
        <f>SUM('Total costs and revenues 2021'!K284:K285) + ('Total costs and revenues 2021'!K306*'Total costs and revenues 2021'!$H$8)</f>
        <v>752163889.81984305</v>
      </c>
      <c r="M78" s="12">
        <f>SUM('Total costs and revenues 2021'!L284:L285) + ('Total costs and revenues 2021'!L306*'Total costs and revenues 2021'!$H$8)</f>
        <v>773908779.82112718</v>
      </c>
      <c r="N78" s="12">
        <f>SUM('Total costs and revenues 2021'!M284:M285) + ('Total costs and revenues 2021'!M306*'Total costs and revenues 2021'!$H$8)</f>
        <v>759157862.26850224</v>
      </c>
      <c r="O78" s="12">
        <f>SUM('Total costs and revenues 2021'!N284:N285) + ('Total costs and revenues 2021'!N306*'Total costs and revenues 2021'!$H$8)</f>
        <v>750151301.82720125</v>
      </c>
      <c r="P78" s="12">
        <f>SUM('Total costs and revenues 2021'!O284:O285) + ('Total costs and revenues 2021'!O306*'Total costs and revenues 2021'!$H$8)</f>
        <v>730592324.7786901</v>
      </c>
      <c r="Q78" s="12">
        <f>SUM('Total costs and revenues 2021'!P284:P285) + ('Total costs and revenues 2021'!P306*'Total costs and revenues 2021'!$H$8)</f>
        <v>703318117.78432775</v>
      </c>
      <c r="R78" s="12">
        <f>SUM('Total costs and revenues 2021'!Q284:Q285) + ('Total costs and revenues 2021'!Q306*'Total costs and revenues 2021'!$H$8)</f>
        <v>713139242.78094149</v>
      </c>
      <c r="S78" s="12">
        <f>SUM('Total costs and revenues 2021'!R284:R285) + ('Total costs and revenues 2021'!R306*'Total costs and revenues 2021'!$H$8)</f>
        <v>701157016.21066284</v>
      </c>
      <c r="T78" s="12">
        <f>SUM('Total costs and revenues 2021'!S284:S285) + ('Total costs and revenues 2021'!S306*'Total costs and revenues 2021'!$H$8)</f>
        <v>706543089.51515794</v>
      </c>
      <c r="U78" s="12">
        <f>SUM('Total costs and revenues 2021'!T284:T285) + ('Total costs and revenues 2021'!T306*'Total costs and revenues 2021'!$H$8)</f>
        <v>705626817.51515794</v>
      </c>
      <c r="V78" s="12">
        <f>SUM('Total costs and revenues 2021'!U284:U285) + ('Total costs and revenues 2021'!U306*'Total costs and revenues 2021'!$H$8)</f>
        <v>705490953.51515794</v>
      </c>
      <c r="W78" s="12">
        <f>SUM('Total costs and revenues 2021'!V284:V285) + ('Total costs and revenues 2021'!V306*'Total costs and revenues 2021'!$H$8)</f>
        <v>705359490.51515794</v>
      </c>
    </row>
    <row r="79" spans="1:23" x14ac:dyDescent="0.45">
      <c r="B79" s="44" t="s">
        <v>85</v>
      </c>
      <c r="C79" s="133">
        <f>SUM(D79:W79)</f>
        <v>12848803325.435278</v>
      </c>
      <c r="D79" s="12">
        <f>SUM('Total costs and revenues 2021'!C264:C265) + ('Total costs and revenues 2021'!C306*'Total costs and revenues 2021'!$H$8)</f>
        <v>595829405.73891973</v>
      </c>
      <c r="E79" s="12">
        <f>SUM('Total costs and revenues 2021'!D264:D265) + ('Total costs and revenues 2021'!D306*'Total costs and revenues 2021'!$H$8)</f>
        <v>601913609.30321598</v>
      </c>
      <c r="F79" s="12">
        <f>SUM('Total costs and revenues 2021'!E264:E265) + ('Total costs and revenues 2021'!E306*'Total costs and revenues 2021'!$H$8)</f>
        <v>607128300.88740039</v>
      </c>
      <c r="G79" s="12">
        <f>SUM('Total costs and revenues 2021'!F264:F265) + ('Total costs and revenues 2021'!F306*'Total costs and revenues 2021'!$H$8)</f>
        <v>610178070.09880066</v>
      </c>
      <c r="H79" s="12">
        <f>SUM('Total costs and revenues 2021'!G264:G265) + ('Total costs and revenues 2021'!G306*'Total costs and revenues 2021'!$H$8)</f>
        <v>617040673.47171819</v>
      </c>
      <c r="I79" s="12">
        <f>SUM('Total costs and revenues 2021'!H264:H265) + ('Total costs and revenues 2021'!H306*'Total costs and revenues 2021'!$H$8)</f>
        <v>636502733.90748453</v>
      </c>
      <c r="J79" s="12">
        <f>SUM('Total costs and revenues 2021'!I264:I265) + ('Total costs and revenues 2021'!I306*'Total costs and revenues 2021'!$H$8)</f>
        <v>662732014.52163625</v>
      </c>
      <c r="K79" s="12">
        <f>SUM('Total costs and revenues 2021'!J264:J265) + ('Total costs and revenues 2021'!J306*'Total costs and revenues 2021'!$H$8)</f>
        <v>684529823.62131429</v>
      </c>
      <c r="L79" s="12">
        <f>SUM('Total costs and revenues 2021'!K264:K265) + ('Total costs and revenues 2021'!K306*'Total costs and revenues 2021'!$H$8)</f>
        <v>704883943.8997705</v>
      </c>
      <c r="M79" s="12">
        <f>SUM('Total costs and revenues 2021'!L264:L265) + ('Total costs and revenues 2021'!L306*'Total costs and revenues 2021'!$H$8)</f>
        <v>718404609.42434573</v>
      </c>
      <c r="N79" s="12">
        <f>SUM('Total costs and revenues 2021'!M264:M265) + ('Total costs and revenues 2021'!M306*'Total costs and revenues 2021'!$H$8)</f>
        <v>696884392.16250563</v>
      </c>
      <c r="O79" s="12">
        <f>SUM('Total costs and revenues 2021'!N264:N265) + ('Total costs and revenues 2021'!N306*'Total costs and revenues 2021'!$H$8)</f>
        <v>681703837.51292181</v>
      </c>
      <c r="P79" s="12">
        <f>SUM('Total costs and revenues 2021'!O264:O265) + ('Total costs and revenues 2021'!O306*'Total costs and revenues 2021'!$H$8)</f>
        <v>656986310.73875773</v>
      </c>
      <c r="Q79" s="12">
        <f>SUM('Total costs and revenues 2021'!P264:P265) + ('Total costs and revenues 2021'!P306*'Total costs and revenues 2021'!$H$8)</f>
        <v>625987964.49298692</v>
      </c>
      <c r="R79" s="12">
        <f>SUM('Total costs and revenues 2021'!Q264:Q265) + ('Total costs and revenues 2021'!Q306*'Total costs and revenues 2021'!$H$8)</f>
        <v>633459981.34773195</v>
      </c>
      <c r="S79" s="12">
        <f>SUM('Total costs and revenues 2021'!R264:R265) + ('Total costs and revenues 2021'!R306*'Total costs and revenues 2021'!$H$8)</f>
        <v>619848289.0854373</v>
      </c>
      <c r="T79" s="12">
        <f>SUM('Total costs and revenues 2021'!S264:S265) + ('Total costs and revenues 2021'!S306*'Total costs and revenues 2021'!$H$8)</f>
        <v>624485343.05508316</v>
      </c>
      <c r="U79" s="12">
        <f>SUM('Total costs and revenues 2021'!T264:T265) + ('Total costs and revenues 2021'!T306*'Total costs and revenues 2021'!$H$8)</f>
        <v>623569071.05508316</v>
      </c>
      <c r="V79" s="12">
        <f>SUM('Total costs and revenues 2021'!U264:U265) + ('Total costs and revenues 2021'!U306*'Total costs and revenues 2021'!$H$8)</f>
        <v>623433207.05508316</v>
      </c>
      <c r="W79" s="12">
        <f>SUM('Total costs and revenues 2021'!V264:V265) + ('Total costs and revenues 2021'!V306*'Total costs and revenues 2021'!$H$8)</f>
        <v>623301744.05508316</v>
      </c>
    </row>
    <row r="80" spans="1:23" x14ac:dyDescent="0.45">
      <c r="B80" s="44"/>
      <c r="D80" s="12"/>
      <c r="E80" s="12"/>
      <c r="F80" s="12"/>
      <c r="G80" s="12"/>
      <c r="H80" s="12"/>
      <c r="I80" s="12"/>
      <c r="J80" s="12"/>
      <c r="K80" s="12"/>
      <c r="L80" s="12"/>
      <c r="M80" s="12"/>
      <c r="N80" s="12"/>
      <c r="O80" s="12"/>
      <c r="P80" s="12"/>
      <c r="Q80" s="12"/>
      <c r="R80" s="12"/>
      <c r="S80" s="12"/>
      <c r="T80" s="12"/>
      <c r="U80" s="12"/>
      <c r="V80" s="12"/>
      <c r="W80" s="12"/>
    </row>
    <row r="81" spans="1:23" x14ac:dyDescent="0.45">
      <c r="B81" s="44" t="s">
        <v>86</v>
      </c>
      <c r="C81" s="5"/>
      <c r="D81" s="12"/>
      <c r="E81" s="12"/>
      <c r="F81" s="12"/>
      <c r="G81" s="12"/>
      <c r="H81" s="12"/>
      <c r="I81" s="12"/>
      <c r="J81" s="12"/>
      <c r="K81" s="12"/>
      <c r="L81" s="12"/>
      <c r="M81" s="12"/>
      <c r="N81" s="12"/>
      <c r="O81" s="12"/>
      <c r="P81" s="12"/>
      <c r="Q81" s="12"/>
      <c r="R81" s="12"/>
      <c r="S81" s="12"/>
      <c r="T81" s="12"/>
      <c r="U81" s="12"/>
      <c r="V81" s="12"/>
      <c r="W81" s="12"/>
    </row>
    <row r="82" spans="1:23" x14ac:dyDescent="0.45">
      <c r="B82" s="44" t="s">
        <v>87</v>
      </c>
      <c r="C82" s="138">
        <f>SUM(D82:W82)</f>
        <v>7174001730.0450001</v>
      </c>
      <c r="D82" s="12">
        <f>D69+D75</f>
        <v>596643619.53891969</v>
      </c>
      <c r="E82" s="12">
        <f t="shared" ref="E82:W82" si="16">E69+E75</f>
        <v>564299150.64718771</v>
      </c>
      <c r="F82" s="12">
        <f t="shared" si="16"/>
        <v>532785384.68712056</v>
      </c>
      <c r="G82" s="12">
        <f t="shared" si="16"/>
        <v>501015168.40220582</v>
      </c>
      <c r="H82" s="12">
        <f t="shared" si="16"/>
        <v>473943412.67816126</v>
      </c>
      <c r="I82" s="12">
        <f t="shared" si="16"/>
        <v>457149412.46132869</v>
      </c>
      <c r="J82" s="12">
        <f t="shared" si="16"/>
        <v>444611564.23903334</v>
      </c>
      <c r="K82" s="12">
        <f t="shared" si="16"/>
        <v>428392934.07069123</v>
      </c>
      <c r="L82" s="12">
        <f t="shared" si="16"/>
        <v>410943528.95923859</v>
      </c>
      <c r="M82" s="12">
        <f t="shared" si="16"/>
        <v>389674011.68685222</v>
      </c>
      <c r="N82" s="12">
        <f t="shared" si="16"/>
        <v>351398725.27193534</v>
      </c>
      <c r="O82" s="12">
        <f t="shared" si="16"/>
        <v>319144601.91707575</v>
      </c>
      <c r="P82" s="12">
        <f t="shared" si="16"/>
        <v>285188773.37535876</v>
      </c>
      <c r="Q82" s="12">
        <f t="shared" si="16"/>
        <v>251651486.38624018</v>
      </c>
      <c r="R82" s="12">
        <f t="shared" si="16"/>
        <v>236223021.70075834</v>
      </c>
      <c r="S82" s="12">
        <f t="shared" si="16"/>
        <v>214088408.33557096</v>
      </c>
      <c r="T82" s="12">
        <f t="shared" si="16"/>
        <v>200104641.98150232</v>
      </c>
      <c r="U82" s="12">
        <f t="shared" si="16"/>
        <v>185370260.02570701</v>
      </c>
      <c r="V82" s="12">
        <f t="shared" si="16"/>
        <v>171922416.24849856</v>
      </c>
      <c r="W82" s="12">
        <f t="shared" si="16"/>
        <v>159451207.43161282</v>
      </c>
    </row>
    <row r="83" spans="1:23" x14ac:dyDescent="0.45">
      <c r="B83" s="44" t="s">
        <v>88</v>
      </c>
      <c r="C83" s="138">
        <f t="shared" ref="C83:C84" si="17">SUM(D83:W83)</f>
        <v>7376568550.6405249</v>
      </c>
      <c r="D83" s="12">
        <f>D71+D75</f>
        <v>597457833.33891976</v>
      </c>
      <c r="E83" s="12">
        <f t="shared" ref="E83:W83" si="18">E71+E75</f>
        <v>566266438.19230008</v>
      </c>
      <c r="F83" s="12">
        <f t="shared" si="18"/>
        <v>535942241.95271939</v>
      </c>
      <c r="G83" s="12">
        <f t="shared" si="18"/>
        <v>505334630.80965245</v>
      </c>
      <c r="H83" s="12">
        <f t="shared" si="18"/>
        <v>479727075.26306903</v>
      </c>
      <c r="I83" s="12">
        <f t="shared" si="18"/>
        <v>464859682.92351347</v>
      </c>
      <c r="J83" s="12">
        <f t="shared" si="18"/>
        <v>454358503.24387735</v>
      </c>
      <c r="K83" s="12">
        <f t="shared" si="18"/>
        <v>439860457.50198281</v>
      </c>
      <c r="L83" s="12">
        <f t="shared" si="18"/>
        <v>423906271.29887211</v>
      </c>
      <c r="M83" s="12">
        <f t="shared" si="18"/>
        <v>403790503.23513246</v>
      </c>
      <c r="N83" s="12">
        <f t="shared" si="18"/>
        <v>366090878.96158922</v>
      </c>
      <c r="O83" s="12">
        <f t="shared" si="18"/>
        <v>334124918.75783688</v>
      </c>
      <c r="P83" s="12">
        <f t="shared" si="18"/>
        <v>300132474.54329115</v>
      </c>
      <c r="Q83" s="12">
        <f t="shared" si="18"/>
        <v>266215295.71149963</v>
      </c>
      <c r="R83" s="12">
        <f t="shared" si="18"/>
        <v>250143451.748963</v>
      </c>
      <c r="S83" s="12">
        <f t="shared" si="18"/>
        <v>227265687.7183581</v>
      </c>
      <c r="T83" s="12">
        <f t="shared" si="18"/>
        <v>212441069.64555645</v>
      </c>
      <c r="U83" s="12">
        <f t="shared" si="18"/>
        <v>196814070.47473681</v>
      </c>
      <c r="V83" s="12">
        <f t="shared" si="18"/>
        <v>182538195.8858175</v>
      </c>
      <c r="W83" s="12">
        <f t="shared" si="18"/>
        <v>169298869.43283632</v>
      </c>
    </row>
    <row r="84" spans="1:23" x14ac:dyDescent="0.45">
      <c r="B84" s="44" t="s">
        <v>89</v>
      </c>
      <c r="C84" s="138">
        <f t="shared" si="17"/>
        <v>6971434909.4494743</v>
      </c>
      <c r="D84" s="12">
        <f>D73+D75</f>
        <v>595829405.73891973</v>
      </c>
      <c r="E84" s="12">
        <f t="shared" ref="E84:W84" si="19">E73+E75</f>
        <v>562331863.10207534</v>
      </c>
      <c r="F84" s="12">
        <f t="shared" si="19"/>
        <v>529628527.42152178</v>
      </c>
      <c r="G84" s="12">
        <f t="shared" si="19"/>
        <v>496695705.99475926</v>
      </c>
      <c r="H84" s="12">
        <f t="shared" si="19"/>
        <v>468159750.09325343</v>
      </c>
      <c r="I84" s="12">
        <f t="shared" si="19"/>
        <v>449439141.99914396</v>
      </c>
      <c r="J84" s="12">
        <f t="shared" si="19"/>
        <v>434864625.23418939</v>
      </c>
      <c r="K84" s="12">
        <f t="shared" si="19"/>
        <v>416925410.63939959</v>
      </c>
      <c r="L84" s="12">
        <f t="shared" si="19"/>
        <v>397980786.61960518</v>
      </c>
      <c r="M84" s="12">
        <f t="shared" si="19"/>
        <v>375557520.1385721</v>
      </c>
      <c r="N84" s="12">
        <f t="shared" si="19"/>
        <v>336706571.58228141</v>
      </c>
      <c r="O84" s="12">
        <f t="shared" si="19"/>
        <v>304164285.07631451</v>
      </c>
      <c r="P84" s="12">
        <f t="shared" si="19"/>
        <v>270245072.20742637</v>
      </c>
      <c r="Q84" s="12">
        <f t="shared" si="19"/>
        <v>237087677.06098071</v>
      </c>
      <c r="R84" s="12">
        <f t="shared" si="19"/>
        <v>222302591.65255359</v>
      </c>
      <c r="S84" s="12">
        <f t="shared" si="19"/>
        <v>200911128.95278373</v>
      </c>
      <c r="T84" s="12">
        <f t="shared" si="19"/>
        <v>187768214.31744817</v>
      </c>
      <c r="U84" s="12">
        <f t="shared" si="19"/>
        <v>173926449.57667717</v>
      </c>
      <c r="V84" s="12">
        <f t="shared" si="19"/>
        <v>161306636.61117962</v>
      </c>
      <c r="W84" s="12">
        <f t="shared" si="19"/>
        <v>149603545.43038931</v>
      </c>
    </row>
    <row r="85" spans="1:23" x14ac:dyDescent="0.45">
      <c r="D85" s="12"/>
      <c r="E85" s="12"/>
      <c r="F85" s="12"/>
      <c r="G85" s="12"/>
      <c r="H85" s="12"/>
      <c r="I85" s="12"/>
      <c r="J85" s="12"/>
      <c r="K85" s="12"/>
      <c r="L85" s="12"/>
      <c r="M85" s="12"/>
      <c r="N85" s="12"/>
      <c r="O85" s="12"/>
      <c r="P85" s="12"/>
      <c r="Q85" s="12"/>
      <c r="R85" s="12"/>
      <c r="S85" s="12"/>
      <c r="T85" s="12"/>
      <c r="U85" s="12"/>
      <c r="V85" s="12"/>
      <c r="W85" s="12"/>
    </row>
    <row r="86" spans="1:23" x14ac:dyDescent="0.45">
      <c r="B86" s="44" t="s">
        <v>90</v>
      </c>
      <c r="C86" s="140" t="b">
        <f>C82=W86</f>
        <v>1</v>
      </c>
      <c r="D86" s="12">
        <f>SUM($D82:D82)</f>
        <v>596643619.53891969</v>
      </c>
      <c r="E86" s="12">
        <f>SUM($D82:E82)</f>
        <v>1160942770.1861074</v>
      </c>
      <c r="F86" s="12">
        <f>SUM($D82:F82)</f>
        <v>1693728154.8732281</v>
      </c>
      <c r="G86" s="12">
        <f>SUM($D82:G82)</f>
        <v>2194743323.275434</v>
      </c>
      <c r="H86" s="12">
        <f>SUM($D82:H82)</f>
        <v>2668686735.9535952</v>
      </c>
      <c r="I86" s="12">
        <f>SUM($D82:I82)</f>
        <v>3125836148.4149237</v>
      </c>
      <c r="J86" s="12">
        <f>SUM($D82:J82)</f>
        <v>3570447712.6539569</v>
      </c>
      <c r="K86" s="12">
        <f>SUM($D82:K82)</f>
        <v>3998840646.724648</v>
      </c>
      <c r="L86" s="12">
        <f>SUM($D82:L82)</f>
        <v>4409784175.6838865</v>
      </c>
      <c r="M86" s="12">
        <f>SUM($D82:M82)</f>
        <v>4799458187.370739</v>
      </c>
      <c r="N86" s="12">
        <f>SUM($D82:N82)</f>
        <v>5150856912.6426744</v>
      </c>
      <c r="O86" s="12">
        <f>SUM($D82:O82)</f>
        <v>5470001514.5597506</v>
      </c>
      <c r="P86" s="12">
        <f>SUM($D82:P82)</f>
        <v>5755190287.9351091</v>
      </c>
      <c r="Q86" s="12">
        <f>SUM($D82:Q82)</f>
        <v>6006841774.3213491</v>
      </c>
      <c r="R86" s="12">
        <f>SUM($D82:R82)</f>
        <v>6243064796.0221071</v>
      </c>
      <c r="S86" s="12">
        <f>SUM($D82:S82)</f>
        <v>6457153204.3576784</v>
      </c>
      <c r="T86" s="12">
        <f>SUM($D82:T82)</f>
        <v>6657257846.3391809</v>
      </c>
      <c r="U86" s="12">
        <f>SUM($D82:U82)</f>
        <v>6842628106.3648882</v>
      </c>
      <c r="V86" s="12">
        <f>SUM($D82:V82)</f>
        <v>7014550522.6133871</v>
      </c>
      <c r="W86" s="12">
        <f>SUM($D82:W82)</f>
        <v>7174001730.0450001</v>
      </c>
    </row>
    <row r="87" spans="1:23" x14ac:dyDescent="0.45">
      <c r="B87" s="44" t="s">
        <v>91</v>
      </c>
      <c r="C87" s="140" t="b">
        <f>C83=W87</f>
        <v>1</v>
      </c>
      <c r="D87" s="12">
        <f>SUM($D83:D83)</f>
        <v>597457833.33891976</v>
      </c>
      <c r="E87" s="12">
        <f>SUM($D83:E83)</f>
        <v>1163724271.53122</v>
      </c>
      <c r="F87" s="12">
        <f>SUM($D83:F83)</f>
        <v>1699666513.4839394</v>
      </c>
      <c r="G87" s="12">
        <f>SUM($D83:G83)</f>
        <v>2205001144.293592</v>
      </c>
      <c r="H87" s="12">
        <f>SUM($D83:H83)</f>
        <v>2684728219.5566611</v>
      </c>
      <c r="I87" s="12">
        <f>SUM($D83:I83)</f>
        <v>3149587902.4801745</v>
      </c>
      <c r="J87" s="12">
        <f>SUM($D83:J83)</f>
        <v>3603946405.724052</v>
      </c>
      <c r="K87" s="12">
        <f>SUM($D83:K83)</f>
        <v>4043806863.2260346</v>
      </c>
      <c r="L87" s="12">
        <f>SUM($D83:L83)</f>
        <v>4467713134.5249071</v>
      </c>
      <c r="M87" s="12">
        <f>SUM($D83:M83)</f>
        <v>4871503637.7600393</v>
      </c>
      <c r="N87" s="12">
        <f>SUM($D83:N83)</f>
        <v>5237594516.7216282</v>
      </c>
      <c r="O87" s="12">
        <f>SUM($D83:O83)</f>
        <v>5571719435.4794655</v>
      </c>
      <c r="P87" s="12">
        <f>SUM($D83:P83)</f>
        <v>5871851910.0227566</v>
      </c>
      <c r="Q87" s="12">
        <f>SUM($D83:Q83)</f>
        <v>6138067205.7342558</v>
      </c>
      <c r="R87" s="12">
        <f>SUM($D83:R83)</f>
        <v>6388210657.4832191</v>
      </c>
      <c r="S87" s="12">
        <f>SUM($D83:S83)</f>
        <v>6615476345.2015772</v>
      </c>
      <c r="T87" s="12">
        <f>SUM($D83:T83)</f>
        <v>6827917414.8471336</v>
      </c>
      <c r="U87" s="12">
        <f>SUM($D83:U83)</f>
        <v>7024731485.3218708</v>
      </c>
      <c r="V87" s="12">
        <f>SUM($D83:V83)</f>
        <v>7207269681.2076883</v>
      </c>
      <c r="W87" s="12">
        <f>SUM($D83:W83)</f>
        <v>7376568550.6405249</v>
      </c>
    </row>
    <row r="88" spans="1:23" x14ac:dyDescent="0.45">
      <c r="B88" s="44" t="s">
        <v>92</v>
      </c>
      <c r="C88" s="140" t="b">
        <f t="shared" ref="C88" si="20">C84=W88</f>
        <v>1</v>
      </c>
      <c r="D88" s="12">
        <f>SUM($D84:D84)</f>
        <v>595829405.73891973</v>
      </c>
      <c r="E88" s="12">
        <f>SUM($D84:E84)</f>
        <v>1158161268.8409951</v>
      </c>
      <c r="F88" s="12">
        <f>SUM($D84:F84)</f>
        <v>1687789796.262517</v>
      </c>
      <c r="G88" s="12">
        <f>SUM($D84:G84)</f>
        <v>2184485502.2572761</v>
      </c>
      <c r="H88" s="12">
        <f>SUM($D84:H84)</f>
        <v>2652645252.3505297</v>
      </c>
      <c r="I88" s="12">
        <f>SUM($D84:I84)</f>
        <v>3102084394.3496737</v>
      </c>
      <c r="J88" s="12">
        <f>SUM($D84:J84)</f>
        <v>3536949019.5838633</v>
      </c>
      <c r="K88" s="12">
        <f>SUM($D84:K84)</f>
        <v>3953874430.2232628</v>
      </c>
      <c r="L88" s="12">
        <f>SUM($D84:L84)</f>
        <v>4351855216.8428679</v>
      </c>
      <c r="M88" s="12">
        <f>SUM($D84:M84)</f>
        <v>4727412736.9814396</v>
      </c>
      <c r="N88" s="12">
        <f>SUM($D84:N84)</f>
        <v>5064119308.5637207</v>
      </c>
      <c r="O88" s="12">
        <f>SUM($D84:O84)</f>
        <v>5368283593.6400356</v>
      </c>
      <c r="P88" s="12">
        <f>SUM($D84:P84)</f>
        <v>5638528665.8474617</v>
      </c>
      <c r="Q88" s="12">
        <f>SUM($D84:Q84)</f>
        <v>5875616342.9084425</v>
      </c>
      <c r="R88" s="12">
        <f>SUM($D84:R84)</f>
        <v>6097918934.5609961</v>
      </c>
      <c r="S88" s="12">
        <f>SUM($D84:S84)</f>
        <v>6298830063.5137796</v>
      </c>
      <c r="T88" s="12">
        <f>SUM($D84:T84)</f>
        <v>6486598277.8312283</v>
      </c>
      <c r="U88" s="12">
        <f>SUM($D84:U84)</f>
        <v>6660524727.4079056</v>
      </c>
      <c r="V88" s="12">
        <f>SUM($D84:V84)</f>
        <v>6821831364.0190849</v>
      </c>
      <c r="W88" s="12">
        <f>SUM($D84:W84)</f>
        <v>6971434909.4494743</v>
      </c>
    </row>
    <row r="90" spans="1:23" ht="18" x14ac:dyDescent="0.55000000000000004">
      <c r="A90" s="129" t="s">
        <v>93</v>
      </c>
    </row>
    <row r="91" spans="1:23" ht="18" x14ac:dyDescent="0.55000000000000004">
      <c r="A91" s="129"/>
    </row>
    <row r="92" spans="1:23" ht="15.75" x14ac:dyDescent="0.5">
      <c r="A92" s="57" t="s">
        <v>44</v>
      </c>
    </row>
    <row r="93" spans="1:23" x14ac:dyDescent="0.45">
      <c r="B93" s="44" t="s">
        <v>45</v>
      </c>
      <c r="C93" s="44"/>
      <c r="D93" s="12">
        <f>'Total costs and revenues 2026'!C221</f>
        <v>6300712135.0552063</v>
      </c>
      <c r="E93" s="140" t="b">
        <f>D93=C125</f>
        <v>0</v>
      </c>
    </row>
    <row r="94" spans="1:23" x14ac:dyDescent="0.45">
      <c r="B94" s="44" t="s">
        <v>46</v>
      </c>
      <c r="C94" s="44"/>
      <c r="D94" s="12">
        <f>'Total costs and revenues 2026'!C222</f>
        <v>6772305578.3247585</v>
      </c>
      <c r="E94" s="140" t="b">
        <f t="shared" ref="E94:E95" si="21">D94=C126</f>
        <v>1</v>
      </c>
    </row>
    <row r="95" spans="1:23" x14ac:dyDescent="0.45">
      <c r="B95" s="44" t="s">
        <v>47</v>
      </c>
      <c r="C95" s="44"/>
      <c r="D95" s="12">
        <f>'Total costs and revenues 2026'!C223</f>
        <v>5892523100.0652246</v>
      </c>
      <c r="E95" s="140" t="b">
        <f t="shared" si="21"/>
        <v>1</v>
      </c>
    </row>
    <row r="97" spans="2:23" x14ac:dyDescent="0.45">
      <c r="D97" s="47">
        <v>1</v>
      </c>
      <c r="E97" s="47">
        <v>2</v>
      </c>
      <c r="F97" s="47">
        <v>3</v>
      </c>
      <c r="G97" s="47">
        <v>4</v>
      </c>
      <c r="H97" s="47">
        <v>5</v>
      </c>
      <c r="I97" s="47">
        <v>6</v>
      </c>
      <c r="J97" s="47">
        <v>7</v>
      </c>
      <c r="K97" s="47">
        <v>8</v>
      </c>
      <c r="L97" s="47">
        <v>9</v>
      </c>
      <c r="M97" s="47">
        <v>10</v>
      </c>
      <c r="N97" s="47">
        <v>11</v>
      </c>
      <c r="O97" s="47">
        <v>12</v>
      </c>
      <c r="P97" s="47">
        <v>13</v>
      </c>
      <c r="Q97" s="47">
        <v>14</v>
      </c>
      <c r="R97" s="47">
        <v>15</v>
      </c>
      <c r="S97" s="47">
        <v>16</v>
      </c>
      <c r="T97" s="47">
        <v>17</v>
      </c>
      <c r="U97" s="47">
        <v>18</v>
      </c>
      <c r="V97" s="47">
        <v>19</v>
      </c>
      <c r="W97" s="47">
        <v>20</v>
      </c>
    </row>
    <row r="98" spans="2:23" x14ac:dyDescent="0.45">
      <c r="C98" s="5" t="s">
        <v>48</v>
      </c>
      <c r="D98" s="17" t="s">
        <v>5</v>
      </c>
      <c r="E98" s="17" t="s">
        <v>6</v>
      </c>
      <c r="F98" s="58" t="s">
        <v>7</v>
      </c>
      <c r="G98" s="58" t="s">
        <v>8</v>
      </c>
      <c r="H98" s="17" t="s">
        <v>9</v>
      </c>
      <c r="I98" s="17" t="s">
        <v>10</v>
      </c>
      <c r="J98" s="17" t="s">
        <v>11</v>
      </c>
      <c r="K98" s="17" t="s">
        <v>12</v>
      </c>
      <c r="L98" s="17" t="s">
        <v>13</v>
      </c>
      <c r="M98" s="17" t="s">
        <v>14</v>
      </c>
      <c r="N98" s="17" t="s">
        <v>49</v>
      </c>
      <c r="O98" s="17" t="s">
        <v>50</v>
      </c>
      <c r="P98" s="17" t="s">
        <v>51</v>
      </c>
      <c r="Q98" s="17" t="s">
        <v>52</v>
      </c>
      <c r="R98" s="17" t="s">
        <v>53</v>
      </c>
      <c r="S98" s="17" t="s">
        <v>54</v>
      </c>
      <c r="T98" s="17" t="s">
        <v>55</v>
      </c>
      <c r="U98" s="17" t="s">
        <v>56</v>
      </c>
      <c r="V98" s="17" t="s">
        <v>57</v>
      </c>
      <c r="W98" s="17" t="s">
        <v>58</v>
      </c>
    </row>
    <row r="100" spans="2:23" x14ac:dyDescent="0.45">
      <c r="B100" s="44" t="s">
        <v>59</v>
      </c>
      <c r="C100" s="44"/>
      <c r="D100" s="74">
        <f>'Total costs and revenues 2026'!C128</f>
        <v>1</v>
      </c>
      <c r="E100" s="74">
        <f>'Total costs and revenues 2026'!D128</f>
        <v>0.92764378478664189</v>
      </c>
      <c r="F100" s="74">
        <f>'Total costs and revenues 2026'!E128</f>
        <v>0.86052299145328559</v>
      </c>
      <c r="G100" s="74">
        <f>'Total costs and revenues 2026'!F128</f>
        <v>0.79825880468764887</v>
      </c>
      <c r="H100" s="74">
        <f>'Total costs and revenues 2026'!G128</f>
        <v>0.74049981881971139</v>
      </c>
      <c r="I100" s="74">
        <f>'Total costs and revenues 2026'!H128</f>
        <v>0.6837428164685847</v>
      </c>
      <c r="J100" s="74">
        <f>'Total costs and revenues 2026'!I128</f>
        <v>0.6336819429736652</v>
      </c>
      <c r="K100" s="74">
        <f>'Total costs and revenues 2026'!J128</f>
        <v>0.58728632342322995</v>
      </c>
      <c r="L100" s="74">
        <f>'Total costs and revenues 2026'!K128</f>
        <v>0.54428760280188138</v>
      </c>
      <c r="M100" s="74">
        <f>'Total costs and revenues 2026'!L128</f>
        <v>0.50443707395911164</v>
      </c>
      <c r="N100" s="74">
        <f>'Total costs and revenues 2026'!M128</f>
        <v>0.46750423907239264</v>
      </c>
      <c r="O100" s="74">
        <f>'Total costs and revenues 2026'!N128</f>
        <v>0.43327547643409886</v>
      </c>
      <c r="P100" s="74">
        <f>'Total costs and revenues 2026'!O128</f>
        <v>0.40155280485087941</v>
      </c>
      <c r="Q100" s="74">
        <f>'Total costs and revenues 2026'!P128</f>
        <v>0.37215273850869274</v>
      </c>
      <c r="R100" s="74">
        <f>'Total costs and revenues 2026'!Q128</f>
        <v>0.34490522567997478</v>
      </c>
      <c r="S100" s="74">
        <f>'Total costs and revenues 2026'!R128</f>
        <v>0.31965266513436025</v>
      </c>
      <c r="T100" s="74">
        <f>'Total costs and revenues 2026'!S128</f>
        <v>0.29624899456381865</v>
      </c>
      <c r="U100" s="74">
        <f>'Total costs and revenues 2026'!T128</f>
        <v>0.27455884574960027</v>
      </c>
      <c r="V100" s="74">
        <f>'Total costs and revenues 2026'!U128</f>
        <v>0.25445676158443026</v>
      </c>
      <c r="W100" s="74">
        <f>'Total costs and revenues 2026'!V128</f>
        <v>0.23582647042115873</v>
      </c>
    </row>
    <row r="101" spans="2:23" x14ac:dyDescent="0.45">
      <c r="B101" s="44" t="s">
        <v>60</v>
      </c>
      <c r="C101" s="44"/>
      <c r="D101" s="74">
        <f>'Total costs and revenues 2026'!C129</f>
        <v>1</v>
      </c>
      <c r="E101" s="74">
        <f>'Total costs and revenues 2026'!D129</f>
        <v>0.93023255813953487</v>
      </c>
      <c r="F101" s="74">
        <f>'Total costs and revenues 2026'!E129</f>
        <v>0.86533261222282321</v>
      </c>
      <c r="G101" s="74">
        <f>'Total costs and revenues 2026'!F129</f>
        <v>0.80496056950960304</v>
      </c>
      <c r="H101" s="74">
        <f>'Total costs and revenues 2026'!G129</f>
        <v>0.7488005297763749</v>
      </c>
      <c r="I101" s="74">
        <f>'Total costs and revenues 2026'!H129</f>
        <v>0.69655863235011617</v>
      </c>
      <c r="J101" s="74">
        <f>'Total costs and revenues 2026'!I129</f>
        <v>0.64796151846522443</v>
      </c>
      <c r="K101" s="74">
        <f>'Total costs and revenues 2026'!J129</f>
        <v>0.60275490089788319</v>
      </c>
      <c r="L101" s="74">
        <f>'Total costs and revenues 2026'!K129</f>
        <v>0.56070223339337966</v>
      </c>
      <c r="M101" s="74">
        <f>'Total costs and revenues 2026'!L129</f>
        <v>0.52158347292407414</v>
      </c>
      <c r="N101" s="74">
        <f>'Total costs and revenues 2026'!M129</f>
        <v>0.48519392830146441</v>
      </c>
      <c r="O101" s="74">
        <f>'Total costs and revenues 2026'!N129</f>
        <v>0.45134318911764126</v>
      </c>
      <c r="P101" s="74">
        <f>'Total costs and revenues 2026'!O129</f>
        <v>0.41985412941175931</v>
      </c>
      <c r="Q101" s="74">
        <f>'Total costs and revenues 2026'!P129</f>
        <v>0.39056198084814819</v>
      </c>
      <c r="R101" s="74">
        <f>'Total costs and revenues 2026'!Q129</f>
        <v>0.36331347055641694</v>
      </c>
      <c r="S101" s="74">
        <f>'Total costs and revenues 2026'!R129</f>
        <v>0.33796601912224833</v>
      </c>
      <c r="T101" s="74">
        <f>'Total costs and revenues 2026'!S129</f>
        <v>0.31438699453232405</v>
      </c>
      <c r="U101" s="74">
        <f>'Total costs and revenues 2026'!T129</f>
        <v>0.29245301816960378</v>
      </c>
      <c r="V101" s="74">
        <f>'Total costs and revenues 2026'!U129</f>
        <v>0.27204931922753844</v>
      </c>
      <c r="W101" s="74">
        <f>'Total costs and revenues 2026'!V129</f>
        <v>0.25306913416515198</v>
      </c>
    </row>
    <row r="102" spans="2:23" x14ac:dyDescent="0.45">
      <c r="B102" s="44"/>
      <c r="C102" s="44"/>
      <c r="D102" s="74"/>
      <c r="E102" s="74"/>
      <c r="F102" s="74"/>
      <c r="G102" s="74"/>
      <c r="H102" s="74"/>
      <c r="I102" s="74"/>
      <c r="J102" s="74"/>
      <c r="K102" s="74"/>
      <c r="L102" s="74"/>
      <c r="M102" s="74"/>
      <c r="N102" s="74"/>
      <c r="O102" s="74"/>
      <c r="P102" s="74"/>
      <c r="Q102" s="74"/>
      <c r="R102" s="74"/>
      <c r="S102" s="74"/>
      <c r="T102" s="74"/>
      <c r="U102" s="74"/>
      <c r="V102" s="74"/>
      <c r="W102" s="74"/>
    </row>
    <row r="103" spans="2:23" x14ac:dyDescent="0.45">
      <c r="B103" s="44" t="s">
        <v>61</v>
      </c>
      <c r="C103" s="44"/>
      <c r="D103" s="74">
        <f>D100*(1-D109)+D101*D109</f>
        <v>1</v>
      </c>
      <c r="E103" s="74">
        <f>E100*(1-E109)+E101*E109</f>
        <v>0.93014196275385763</v>
      </c>
      <c r="F103" s="74">
        <f t="shared" ref="F103:W103" si="22">F100*(1-F109)+F101*F109</f>
        <v>0.86501534134931835</v>
      </c>
      <c r="G103" s="74">
        <f t="shared" si="22"/>
        <v>0.80431705739090376</v>
      </c>
      <c r="H103" s="74">
        <f t="shared" si="22"/>
        <v>0.74731830938916444</v>
      </c>
      <c r="I103" s="74">
        <f t="shared" si="22"/>
        <v>0.69315297250586427</v>
      </c>
      <c r="J103" s="74">
        <f t="shared" si="22"/>
        <v>0.64286440587256966</v>
      </c>
      <c r="K103" s="74">
        <f t="shared" si="22"/>
        <v>0.59572159496305011</v>
      </c>
      <c r="L103" s="74">
        <f t="shared" si="22"/>
        <v>0.55139807280934527</v>
      </c>
      <c r="M103" s="74">
        <f t="shared" si="22"/>
        <v>0.5098818171079903</v>
      </c>
      <c r="N103" s="74">
        <f t="shared" si="22"/>
        <v>0.4710902729241021</v>
      </c>
      <c r="O103" s="74">
        <f t="shared" si="22"/>
        <v>0.43471406379092131</v>
      </c>
      <c r="P103" s="74">
        <f t="shared" si="22"/>
        <v>0.40155280485087941</v>
      </c>
      <c r="Q103" s="74">
        <f t="shared" si="22"/>
        <v>0.37215273850869274</v>
      </c>
      <c r="R103" s="74">
        <f t="shared" si="22"/>
        <v>0.34490522567997478</v>
      </c>
      <c r="S103" s="74">
        <f t="shared" si="22"/>
        <v>0.31965266513436025</v>
      </c>
      <c r="T103" s="74">
        <f t="shared" si="22"/>
        <v>0.29624899456381865</v>
      </c>
      <c r="U103" s="74">
        <f t="shared" si="22"/>
        <v>0.27455884574960027</v>
      </c>
      <c r="V103" s="74">
        <f t="shared" si="22"/>
        <v>0.25445676158443026</v>
      </c>
      <c r="W103" s="74">
        <f t="shared" si="22"/>
        <v>0.23582647042115873</v>
      </c>
    </row>
    <row r="104" spans="2:23" x14ac:dyDescent="0.45">
      <c r="B104" s="44"/>
      <c r="C104" s="44"/>
      <c r="D104" s="74"/>
      <c r="E104" s="74"/>
      <c r="F104" s="74"/>
      <c r="G104" s="74"/>
      <c r="H104" s="74"/>
      <c r="I104" s="74"/>
      <c r="J104" s="74"/>
      <c r="K104" s="74"/>
      <c r="L104" s="74"/>
      <c r="M104" s="74"/>
      <c r="N104" s="74"/>
      <c r="O104" s="74"/>
      <c r="P104" s="74"/>
      <c r="Q104" s="74"/>
      <c r="R104" s="74"/>
      <c r="S104" s="74"/>
      <c r="T104" s="74"/>
      <c r="U104" s="74"/>
      <c r="V104" s="74"/>
      <c r="W104" s="74"/>
    </row>
    <row r="105" spans="2:23" x14ac:dyDescent="0.45">
      <c r="B105" s="44"/>
      <c r="C105" s="44"/>
    </row>
    <row r="106" spans="2:23" x14ac:dyDescent="0.45">
      <c r="B106" s="44" t="s">
        <v>62</v>
      </c>
      <c r="C106" s="44"/>
      <c r="D106" s="92">
        <f>'Total costs and revenues 2026'!C112</f>
        <v>63962</v>
      </c>
      <c r="E106" s="92">
        <f>'Total costs and revenues 2026'!D112</f>
        <v>152619</v>
      </c>
      <c r="F106" s="92">
        <f>'Total costs and revenues 2026'!E112</f>
        <v>264050</v>
      </c>
      <c r="G106" s="92">
        <f>'Total costs and revenues 2026'!F112</f>
        <v>368344</v>
      </c>
      <c r="H106" s="92">
        <f>'Total costs and revenues 2026'!G112</f>
        <v>626185</v>
      </c>
      <c r="I106" s="92">
        <f>'Total costs and revenues 2026'!H112</f>
        <v>869883</v>
      </c>
      <c r="J106" s="92">
        <f>'Total costs and revenues 2026'!I112</f>
        <v>1182884</v>
      </c>
      <c r="K106" s="92">
        <f>'Total costs and revenues 2026'!J112</f>
        <v>1446082</v>
      </c>
      <c r="L106" s="92">
        <f>'Total costs and revenues 2026'!K112</f>
        <v>1718771</v>
      </c>
      <c r="M106" s="92">
        <f>'Total costs and revenues 2026'!L112</f>
        <v>1974397</v>
      </c>
      <c r="N106" s="92">
        <f>'Total costs and revenues 2026'!M112</f>
        <v>2148689</v>
      </c>
      <c r="O106" s="92">
        <f>'Total costs and revenues 2026'!N112</f>
        <v>2296346</v>
      </c>
      <c r="P106" s="92">
        <f>'Total costs and revenues 2026'!O112</f>
        <v>2422196</v>
      </c>
      <c r="Q106" s="92">
        <f>'Total costs and revenues 2026'!P112</f>
        <v>2515181</v>
      </c>
      <c r="R106" s="92">
        <f>'Total costs and revenues 2026'!Q112</f>
        <v>2586733</v>
      </c>
      <c r="S106" s="92">
        <f>'Total costs and revenues 2026'!R112</f>
        <v>2631095</v>
      </c>
      <c r="T106" s="92">
        <f>'Total costs and revenues 2026'!S112</f>
        <v>2660153</v>
      </c>
      <c r="U106" s="92">
        <f>'Total costs and revenues 2026'!T112</f>
        <v>2673855</v>
      </c>
      <c r="V106" s="92">
        <f>'Total costs and revenues 2026'!U112</f>
        <v>2673855</v>
      </c>
      <c r="W106" s="92">
        <f>'Total costs and revenues 2026'!V112</f>
        <v>2673855</v>
      </c>
    </row>
    <row r="107" spans="2:23" x14ac:dyDescent="0.45">
      <c r="B107" s="44" t="s">
        <v>63</v>
      </c>
      <c r="C107" s="44"/>
      <c r="D107" s="12">
        <f>'Total costs and revenues 2026'!C113</f>
        <v>4481286.7119855089</v>
      </c>
      <c r="E107" s="12">
        <f>'Total costs and revenues 2026'!D113</f>
        <v>4208486.1202214025</v>
      </c>
      <c r="F107" s="12">
        <f>'Total costs and revenues 2026'!E113</f>
        <v>3738776.8279626556</v>
      </c>
      <c r="G107" s="12">
        <f>'Total costs and revenues 2026'!F113</f>
        <v>3467721.8484063833</v>
      </c>
      <c r="H107" s="12">
        <f>'Total costs and revenues 2026'!G113</f>
        <v>2880567.9331319034</v>
      </c>
      <c r="I107" s="12">
        <f>'Total costs and revenues 2026'!H113</f>
        <v>2403567.9247276555</v>
      </c>
      <c r="J107" s="12">
        <f>'Total costs and revenues 2026'!I113</f>
        <v>2130968.9056820534</v>
      </c>
      <c r="K107" s="12">
        <f>'Total costs and revenues 2026'!J113</f>
        <v>1734332.9654457518</v>
      </c>
      <c r="L107" s="12">
        <f>'Total costs and revenues 2026'!K113</f>
        <v>1313527.3767920588</v>
      </c>
      <c r="M107" s="12">
        <f>'Total costs and revenues 2026'!L113</f>
        <v>918680.63014986145</v>
      </c>
      <c r="N107" s="12">
        <f>'Total costs and revenues 2026'!M113</f>
        <v>546331.5207746441</v>
      </c>
      <c r="O107" s="12">
        <f>'Total costs and revenues 2026'!N113</f>
        <v>198657.13064183827</v>
      </c>
      <c r="P107" s="12">
        <f>'Total costs and revenues 2026'!O113</f>
        <v>0</v>
      </c>
      <c r="Q107" s="12">
        <f>'Total costs and revenues 2026'!P113</f>
        <v>0</v>
      </c>
      <c r="R107" s="12">
        <f>'Total costs and revenues 2026'!Q113</f>
        <v>0</v>
      </c>
      <c r="S107" s="12">
        <f>'Total costs and revenues 2026'!R113</f>
        <v>0</v>
      </c>
      <c r="T107" s="12">
        <f>'Total costs and revenues 2026'!S113</f>
        <v>0</v>
      </c>
      <c r="U107" s="12">
        <f>'Total costs and revenues 2026'!T113</f>
        <v>0</v>
      </c>
      <c r="V107" s="12">
        <f>'Total costs and revenues 2026'!U113</f>
        <v>0</v>
      </c>
      <c r="W107" s="12">
        <f>'Total costs and revenues 2026'!V113</f>
        <v>0</v>
      </c>
    </row>
    <row r="108" spans="2:23" x14ac:dyDescent="0.45">
      <c r="B108" s="44" t="s">
        <v>64</v>
      </c>
      <c r="C108" s="130">
        <f>SUM(D108:W108)</f>
        <v>61972040.89592173</v>
      </c>
      <c r="D108" s="92">
        <f>SUM(D106:D107)</f>
        <v>4545248.7119855089</v>
      </c>
      <c r="E108" s="92">
        <f t="shared" ref="E108" si="23">SUM(E106:E107)</f>
        <v>4361105.1202214025</v>
      </c>
      <c r="F108" s="92">
        <f t="shared" ref="F108" si="24">SUM(F106:F107)</f>
        <v>4002826.8279626556</v>
      </c>
      <c r="G108" s="92">
        <f t="shared" ref="G108" si="25">SUM(G106:G107)</f>
        <v>3836065.8484063833</v>
      </c>
      <c r="H108" s="92">
        <f t="shared" ref="H108" si="26">SUM(H106:H107)</f>
        <v>3506752.9331319034</v>
      </c>
      <c r="I108" s="92">
        <f t="shared" ref="I108" si="27">SUM(I106:I107)</f>
        <v>3273450.9247276555</v>
      </c>
      <c r="J108" s="92">
        <f t="shared" ref="J108" si="28">SUM(J106:J107)</f>
        <v>3313852.9056820534</v>
      </c>
      <c r="K108" s="92">
        <f t="shared" ref="K108" si="29">SUM(K106:K107)</f>
        <v>3180414.9654457518</v>
      </c>
      <c r="L108" s="92">
        <f t="shared" ref="L108" si="30">SUM(L106:L107)</f>
        <v>3032298.3767920588</v>
      </c>
      <c r="M108" s="92">
        <f t="shared" ref="M108" si="31">SUM(M106:M107)</f>
        <v>2893077.6301498613</v>
      </c>
      <c r="N108" s="92">
        <f t="shared" ref="N108" si="32">SUM(N106:N107)</f>
        <v>2695020.5207746439</v>
      </c>
      <c r="O108" s="92">
        <f t="shared" ref="O108" si="33">SUM(O106:O107)</f>
        <v>2495003.1306418381</v>
      </c>
      <c r="P108" s="92">
        <f t="shared" ref="P108" si="34">SUM(P106:P107)</f>
        <v>2422196</v>
      </c>
      <c r="Q108" s="92">
        <f t="shared" ref="Q108" si="35">SUM(Q106:Q107)</f>
        <v>2515181</v>
      </c>
      <c r="R108" s="92">
        <f t="shared" ref="R108" si="36">SUM(R106:R107)</f>
        <v>2586733</v>
      </c>
      <c r="S108" s="92">
        <f t="shared" ref="S108" si="37">SUM(S106:S107)</f>
        <v>2631095</v>
      </c>
      <c r="T108" s="92">
        <f t="shared" ref="T108" si="38">SUM(T106:T107)</f>
        <v>2660153</v>
      </c>
      <c r="U108" s="92">
        <f t="shared" ref="U108" si="39">SUM(U106:U107)</f>
        <v>2673855</v>
      </c>
      <c r="V108" s="92">
        <f t="shared" ref="V108" si="40">SUM(V106:V107)</f>
        <v>2673855</v>
      </c>
      <c r="W108" s="92">
        <f t="shared" ref="W108" si="41">SUM(W106:W107)</f>
        <v>2673855</v>
      </c>
    </row>
    <row r="109" spans="2:23" x14ac:dyDescent="0.45">
      <c r="B109" s="44" t="s">
        <v>65</v>
      </c>
      <c r="C109" s="44"/>
      <c r="D109" s="6">
        <f>D107/D108</f>
        <v>0.98592772275995888</v>
      </c>
      <c r="E109" s="6">
        <f t="shared" ref="E109" si="42">E107/E108</f>
        <v>0.96500451243600105</v>
      </c>
      <c r="F109" s="6">
        <f t="shared" ref="F109" si="43">F107/F108</f>
        <v>0.93403411854956631</v>
      </c>
      <c r="G109" s="6">
        <f t="shared" ref="G109" si="44">G107/G108</f>
        <v>0.90397870772916444</v>
      </c>
      <c r="H109" s="6">
        <f t="shared" ref="H109" si="45">H107/H108</f>
        <v>0.82143452591604449</v>
      </c>
      <c r="I109" s="6">
        <f t="shared" ref="I109" si="46">I107/I108</f>
        <v>0.73426117574303562</v>
      </c>
      <c r="J109" s="6">
        <f t="shared" ref="J109" si="47">J107/J108</f>
        <v>0.64304873098869786</v>
      </c>
      <c r="K109" s="6">
        <f t="shared" ref="K109" si="48">K107/K108</f>
        <v>0.54531656538179951</v>
      </c>
      <c r="L109" s="6">
        <f t="shared" ref="L109" si="49">L107/L108</f>
        <v>0.43317880154711919</v>
      </c>
      <c r="M109" s="6">
        <f t="shared" ref="M109" si="50">M107/M108</f>
        <v>0.3175444103455578</v>
      </c>
      <c r="N109" s="6">
        <f t="shared" ref="N109" si="51">N107/N108</f>
        <v>0.20271887229178098</v>
      </c>
      <c r="O109" s="6">
        <f t="shared" ref="O109" si="52">O107/O108</f>
        <v>7.9621996542639142E-2</v>
      </c>
      <c r="P109" s="6">
        <f t="shared" ref="P109" si="53">P107/P108</f>
        <v>0</v>
      </c>
      <c r="Q109" s="6">
        <f t="shared" ref="Q109" si="54">Q107/Q108</f>
        <v>0</v>
      </c>
      <c r="R109" s="6">
        <f t="shared" ref="R109" si="55">R107/R108</f>
        <v>0</v>
      </c>
      <c r="S109" s="6">
        <f t="shared" ref="S109" si="56">S107/S108</f>
        <v>0</v>
      </c>
      <c r="T109" s="6">
        <f t="shared" ref="T109" si="57">T107/T108</f>
        <v>0</v>
      </c>
      <c r="U109" s="6">
        <f t="shared" ref="U109" si="58">U107/U108</f>
        <v>0</v>
      </c>
      <c r="V109" s="6">
        <f t="shared" ref="V109" si="59">V107/V108</f>
        <v>0</v>
      </c>
      <c r="W109" s="6">
        <f t="shared" ref="W109" si="60">W107/W108</f>
        <v>0</v>
      </c>
    </row>
    <row r="110" spans="2:23" x14ac:dyDescent="0.45">
      <c r="B110" s="44"/>
      <c r="C110" s="44"/>
      <c r="D110" s="92"/>
      <c r="E110" s="92"/>
      <c r="F110" s="92"/>
      <c r="G110" s="92"/>
      <c r="H110" s="92"/>
      <c r="I110" s="92"/>
      <c r="J110" s="92"/>
      <c r="K110" s="92"/>
      <c r="L110" s="92"/>
      <c r="M110" s="92"/>
      <c r="N110" s="92"/>
      <c r="O110" s="92"/>
      <c r="P110" s="92"/>
      <c r="Q110" s="92"/>
      <c r="R110" s="92"/>
      <c r="S110" s="92"/>
      <c r="T110" s="92"/>
      <c r="U110" s="92"/>
      <c r="V110" s="92"/>
      <c r="W110" s="92"/>
    </row>
    <row r="111" spans="2:23" x14ac:dyDescent="0.45">
      <c r="D111" s="92"/>
      <c r="E111" s="92"/>
      <c r="F111" s="92"/>
      <c r="G111" s="92"/>
      <c r="H111" s="92"/>
      <c r="I111" s="92"/>
      <c r="J111" s="92"/>
      <c r="K111" s="92"/>
      <c r="L111" s="92"/>
      <c r="M111" s="92"/>
      <c r="N111" s="92"/>
      <c r="O111" s="92"/>
      <c r="P111" s="92"/>
      <c r="Q111" s="92"/>
      <c r="R111" s="92"/>
      <c r="S111" s="92"/>
      <c r="T111" s="92"/>
      <c r="U111" s="92"/>
      <c r="V111" s="92"/>
      <c r="W111" s="92"/>
    </row>
    <row r="112" spans="2:23" x14ac:dyDescent="0.45">
      <c r="B112" s="44" t="s">
        <v>66</v>
      </c>
      <c r="C112" s="130">
        <f>SUM(D112:W112)</f>
        <v>13790061.78216516</v>
      </c>
      <c r="D112" s="92">
        <f>D106*D100</f>
        <v>63962</v>
      </c>
      <c r="E112" s="92">
        <f t="shared" ref="E112:W112" si="61">E106*E100</f>
        <v>141576.06679035249</v>
      </c>
      <c r="F112" s="92">
        <f t="shared" si="61"/>
        <v>227221.09589324007</v>
      </c>
      <c r="G112" s="92">
        <f t="shared" si="61"/>
        <v>294033.84115386731</v>
      </c>
      <c r="H112" s="92">
        <f t="shared" si="61"/>
        <v>463689.87904762098</v>
      </c>
      <c r="I112" s="92">
        <f t="shared" si="61"/>
        <v>594776.25241814181</v>
      </c>
      <c r="J112" s="92">
        <f t="shared" si="61"/>
        <v>749572.23143246095</v>
      </c>
      <c r="K112" s="92">
        <f t="shared" si="61"/>
        <v>849264.18114851124</v>
      </c>
      <c r="L112" s="92">
        <f t="shared" si="61"/>
        <v>935505.74735539244</v>
      </c>
      <c r="M112" s="92">
        <f t="shared" si="61"/>
        <v>995959.04551364819</v>
      </c>
      <c r="N112" s="92">
        <f t="shared" si="61"/>
        <v>1004521.2159482202</v>
      </c>
      <c r="O112" s="92">
        <f t="shared" si="61"/>
        <v>994950.40720753721</v>
      </c>
      <c r="P112" s="92">
        <f t="shared" si="61"/>
        <v>972639.59769858071</v>
      </c>
      <c r="Q112" s="92">
        <f t="shared" si="61"/>
        <v>936031.4969950323</v>
      </c>
      <c r="R112" s="92">
        <f t="shared" si="61"/>
        <v>892177.72913883824</v>
      </c>
      <c r="S112" s="92">
        <f t="shared" si="61"/>
        <v>841036.52897168952</v>
      </c>
      <c r="T112" s="92">
        <f t="shared" si="61"/>
        <v>788067.65163592587</v>
      </c>
      <c r="U112" s="92">
        <f t="shared" si="61"/>
        <v>734130.54250179743</v>
      </c>
      <c r="V112" s="92">
        <f t="shared" si="61"/>
        <v>680380.48424633674</v>
      </c>
      <c r="W112" s="92">
        <f t="shared" si="61"/>
        <v>630565.78706796735</v>
      </c>
    </row>
    <row r="113" spans="2:23" x14ac:dyDescent="0.45">
      <c r="B113" s="44" t="s">
        <v>67</v>
      </c>
      <c r="C113" s="130">
        <f>SUM(D113:W113)</f>
        <v>22250588.364957698</v>
      </c>
      <c r="D113" s="92">
        <f>D107*D101</f>
        <v>4481286.7119855089</v>
      </c>
      <c r="E113" s="92">
        <f t="shared" ref="E113:W113" si="62">E107*E101</f>
        <v>3914870.8095082813</v>
      </c>
      <c r="F113" s="92">
        <f t="shared" si="62"/>
        <v>3235285.5190590858</v>
      </c>
      <c r="G113" s="92">
        <f t="shared" si="62"/>
        <v>2791379.3539940957</v>
      </c>
      <c r="H113" s="92">
        <f t="shared" si="62"/>
        <v>2156970.7943860064</v>
      </c>
      <c r="I113" s="92">
        <f t="shared" si="62"/>
        <v>1674225.9864089026</v>
      </c>
      <c r="J113" s="92">
        <f t="shared" si="62"/>
        <v>1380785.847927921</v>
      </c>
      <c r="K113" s="92">
        <f t="shared" si="62"/>
        <v>1045377.694711186</v>
      </c>
      <c r="L113" s="92">
        <f t="shared" si="62"/>
        <v>736497.73379065469</v>
      </c>
      <c r="M113" s="92">
        <f t="shared" si="62"/>
        <v>479168.63358164165</v>
      </c>
      <c r="N113" s="92">
        <f t="shared" si="62"/>
        <v>265076.73671956267</v>
      </c>
      <c r="O113" s="92">
        <f t="shared" si="62"/>
        <v>89662.542884847178</v>
      </c>
      <c r="P113" s="92">
        <f t="shared" si="62"/>
        <v>0</v>
      </c>
      <c r="Q113" s="92">
        <f t="shared" si="62"/>
        <v>0</v>
      </c>
      <c r="R113" s="92">
        <f t="shared" si="62"/>
        <v>0</v>
      </c>
      <c r="S113" s="92">
        <f t="shared" si="62"/>
        <v>0</v>
      </c>
      <c r="T113" s="92">
        <f t="shared" si="62"/>
        <v>0</v>
      </c>
      <c r="U113" s="92">
        <f t="shared" si="62"/>
        <v>0</v>
      </c>
      <c r="V113" s="92">
        <f t="shared" si="62"/>
        <v>0</v>
      </c>
      <c r="W113" s="92">
        <f t="shared" si="62"/>
        <v>0</v>
      </c>
    </row>
    <row r="114" spans="2:23" x14ac:dyDescent="0.45">
      <c r="D114" s="12"/>
      <c r="E114" s="12"/>
      <c r="F114" s="12"/>
      <c r="G114" s="12"/>
      <c r="H114" s="12"/>
      <c r="I114" s="12"/>
      <c r="J114" s="12"/>
      <c r="K114" s="12"/>
      <c r="L114" s="12"/>
      <c r="M114" s="12"/>
      <c r="N114" s="12"/>
      <c r="O114" s="12"/>
      <c r="P114" s="12"/>
      <c r="Q114" s="12"/>
      <c r="R114" s="12"/>
      <c r="S114" s="12"/>
      <c r="T114" s="12"/>
      <c r="U114" s="12"/>
      <c r="V114" s="12"/>
      <c r="W114" s="12"/>
    </row>
    <row r="115" spans="2:23" x14ac:dyDescent="0.45">
      <c r="B115" s="44" t="s">
        <v>68</v>
      </c>
      <c r="C115" s="130">
        <f>SUM(C112:C113)</f>
        <v>36040650.14712286</v>
      </c>
      <c r="D115" s="12">
        <f>SUM(D112:D113)</f>
        <v>4545248.7119855089</v>
      </c>
      <c r="E115" s="12">
        <f t="shared" ref="E115:W115" si="63">SUM(E112:E113)</f>
        <v>4056446.8762986339</v>
      </c>
      <c r="F115" s="12">
        <f t="shared" si="63"/>
        <v>3462506.6149523258</v>
      </c>
      <c r="G115" s="12">
        <f t="shared" si="63"/>
        <v>3085413.1951479632</v>
      </c>
      <c r="H115" s="12">
        <f t="shared" si="63"/>
        <v>2620660.6734336275</v>
      </c>
      <c r="I115" s="12">
        <f t="shared" si="63"/>
        <v>2269002.2388270441</v>
      </c>
      <c r="J115" s="12">
        <f t="shared" si="63"/>
        <v>2130358.0793603817</v>
      </c>
      <c r="K115" s="12">
        <f t="shared" si="63"/>
        <v>1894641.8758596973</v>
      </c>
      <c r="L115" s="12">
        <f t="shared" si="63"/>
        <v>1672003.4811460471</v>
      </c>
      <c r="M115" s="12">
        <f t="shared" si="63"/>
        <v>1475127.6790952899</v>
      </c>
      <c r="N115" s="12">
        <f t="shared" si="63"/>
        <v>1269597.952667783</v>
      </c>
      <c r="O115" s="12">
        <f t="shared" si="63"/>
        <v>1084612.9500923844</v>
      </c>
      <c r="P115" s="12">
        <f t="shared" si="63"/>
        <v>972639.59769858071</v>
      </c>
      <c r="Q115" s="12">
        <f t="shared" si="63"/>
        <v>936031.4969950323</v>
      </c>
      <c r="R115" s="12">
        <f t="shared" si="63"/>
        <v>892177.72913883824</v>
      </c>
      <c r="S115" s="12">
        <f t="shared" si="63"/>
        <v>841036.52897168952</v>
      </c>
      <c r="T115" s="12">
        <f t="shared" si="63"/>
        <v>788067.65163592587</v>
      </c>
      <c r="U115" s="12">
        <f t="shared" si="63"/>
        <v>734130.54250179743</v>
      </c>
      <c r="V115" s="12">
        <f t="shared" si="63"/>
        <v>680380.48424633674</v>
      </c>
      <c r="W115" s="12">
        <f t="shared" si="63"/>
        <v>630565.78706796735</v>
      </c>
    </row>
    <row r="117" spans="2:23" x14ac:dyDescent="0.45">
      <c r="B117" s="44" t="s">
        <v>69</v>
      </c>
      <c r="C117" s="137">
        <f>D93/C115</f>
        <v>174.82237721391922</v>
      </c>
      <c r="D117" s="135">
        <f>C117/12</f>
        <v>14.568531434493268</v>
      </c>
    </row>
    <row r="118" spans="2:23" x14ac:dyDescent="0.45">
      <c r="B118" s="44" t="s">
        <v>70</v>
      </c>
      <c r="C118" s="137">
        <f>D94/C115</f>
        <v>187.90741983508292</v>
      </c>
      <c r="D118" s="135">
        <f>C118/12</f>
        <v>15.658951652923577</v>
      </c>
    </row>
    <row r="119" spans="2:23" x14ac:dyDescent="0.45">
      <c r="B119" s="44" t="s">
        <v>71</v>
      </c>
      <c r="C119" s="137">
        <f>D95/C115</f>
        <v>163.49658166573411</v>
      </c>
      <c r="D119" s="135">
        <f>C119/12</f>
        <v>13.624715138811176</v>
      </c>
    </row>
    <row r="121" spans="2:23" x14ac:dyDescent="0.45">
      <c r="B121" s="44" t="s">
        <v>72</v>
      </c>
      <c r="C121" s="138">
        <f>SUM(D121:W121)</f>
        <v>10834099510.223253</v>
      </c>
      <c r="D121" s="12">
        <f>$C117*D$108</f>
        <v>794611184.85781109</v>
      </c>
      <c r="E121" s="12">
        <f>$C117*E$108</f>
        <v>762418764.39690053</v>
      </c>
      <c r="F121" s="12">
        <f t="shared" ref="F121:W121" si="64">$C117*F$108</f>
        <v>699783701.64008307</v>
      </c>
      <c r="G121" s="12">
        <f t="shared" si="64"/>
        <v>670630150.76753378</v>
      </c>
      <c r="H121" s="12">
        <f t="shared" si="64"/>
        <v>613058884.07200325</v>
      </c>
      <c r="I121" s="12">
        <f t="shared" si="64"/>
        <v>572272472.35399091</v>
      </c>
      <c r="J121" s="12">
        <f t="shared" si="64"/>
        <v>579335642.70859027</v>
      </c>
      <c r="K121" s="12">
        <f t="shared" si="64"/>
        <v>556007704.78595114</v>
      </c>
      <c r="L121" s="12">
        <f t="shared" si="64"/>
        <v>530113610.65269625</v>
      </c>
      <c r="M121" s="12">
        <f t="shared" si="64"/>
        <v>505774708.76721054</v>
      </c>
      <c r="N121" s="12">
        <f t="shared" si="64"/>
        <v>471149894.0821178</v>
      </c>
      <c r="O121" s="12">
        <f t="shared" si="64"/>
        <v>436182378.4549768</v>
      </c>
      <c r="P121" s="12">
        <f t="shared" si="64"/>
        <v>423454062.79804629</v>
      </c>
      <c r="Q121" s="12">
        <f t="shared" si="64"/>
        <v>439709921.54328257</v>
      </c>
      <c r="R121" s="12">
        <f t="shared" si="64"/>
        <v>452218812.27769291</v>
      </c>
      <c r="S121" s="12">
        <f t="shared" si="64"/>
        <v>459974282.57565683</v>
      </c>
      <c r="T121" s="12">
        <f t="shared" si="64"/>
        <v>465054271.21273887</v>
      </c>
      <c r="U121" s="12">
        <f t="shared" si="64"/>
        <v>467449687.42532396</v>
      </c>
      <c r="V121" s="12">
        <f t="shared" si="64"/>
        <v>467449687.42532396</v>
      </c>
      <c r="W121" s="12">
        <f t="shared" si="64"/>
        <v>467449687.42532396</v>
      </c>
    </row>
    <row r="122" spans="2:23" x14ac:dyDescent="0.45">
      <c r="B122" s="44" t="s">
        <v>73</v>
      </c>
      <c r="C122" s="138">
        <f>SUM(D122:W122)</f>
        <v>11645006306.666889</v>
      </c>
      <c r="D122" s="12">
        <f t="shared" ref="D122:W122" si="65">$C118*D$108</f>
        <v>854085957.9779309</v>
      </c>
      <c r="E122" s="12">
        <f t="shared" si="65"/>
        <v>819484010.77037287</v>
      </c>
      <c r="F122" s="12">
        <f t="shared" si="65"/>
        <v>752160861.28911197</v>
      </c>
      <c r="G122" s="12">
        <f t="shared" si="65"/>
        <v>720825235.89152181</v>
      </c>
      <c r="H122" s="12">
        <f t="shared" si="65"/>
        <v>658944895.66392505</v>
      </c>
      <c r="I122" s="12">
        <f t="shared" si="65"/>
        <v>615105717.22233999</v>
      </c>
      <c r="J122" s="12">
        <f t="shared" si="65"/>
        <v>622697549.21970701</v>
      </c>
      <c r="K122" s="12">
        <f t="shared" si="65"/>
        <v>597623570.16179562</v>
      </c>
      <c r="L122" s="12">
        <f t="shared" si="65"/>
        <v>569791364.15310585</v>
      </c>
      <c r="M122" s="12">
        <f t="shared" si="65"/>
        <v>543630752.86405671</v>
      </c>
      <c r="N122" s="12">
        <f t="shared" si="65"/>
        <v>506414352.46136481</v>
      </c>
      <c r="O122" s="12">
        <f t="shared" si="65"/>
        <v>468829600.7593621</v>
      </c>
      <c r="P122" s="12">
        <f t="shared" si="65"/>
        <v>455148600.69485849</v>
      </c>
      <c r="Q122" s="12">
        <f t="shared" si="65"/>
        <v>472621172.12822372</v>
      </c>
      <c r="R122" s="12">
        <f t="shared" si="65"/>
        <v>486066323.83226353</v>
      </c>
      <c r="S122" s="12">
        <f t="shared" si="65"/>
        <v>494402272.79098749</v>
      </c>
      <c r="T122" s="12">
        <f t="shared" si="65"/>
        <v>499862486.59655535</v>
      </c>
      <c r="U122" s="12">
        <f t="shared" si="65"/>
        <v>502437194.06313562</v>
      </c>
      <c r="V122" s="12">
        <f t="shared" si="65"/>
        <v>502437194.06313562</v>
      </c>
      <c r="W122" s="12">
        <f t="shared" si="65"/>
        <v>502437194.06313562</v>
      </c>
    </row>
    <row r="123" spans="2:23" x14ac:dyDescent="0.45">
      <c r="B123" s="44" t="s">
        <v>74</v>
      </c>
      <c r="C123" s="138">
        <f>SUM(D123:W123)</f>
        <v>10132216845.332279</v>
      </c>
      <c r="D123" s="12">
        <f t="shared" ref="D123:W123" si="66">$C119*D$108</f>
        <v>743132627.2302115</v>
      </c>
      <c r="E123" s="12">
        <f t="shared" si="66"/>
        <v>713025779.44112968</v>
      </c>
      <c r="F123" s="12">
        <f t="shared" si="66"/>
        <v>654448503.37178779</v>
      </c>
      <c r="G123" s="12">
        <f t="shared" si="66"/>
        <v>627183653.25910783</v>
      </c>
      <c r="H123" s="12">
        <f t="shared" si="66"/>
        <v>573342117.31335282</v>
      </c>
      <c r="I123" s="12">
        <f t="shared" si="66"/>
        <v>535198036.44350797</v>
      </c>
      <c r="J123" s="12">
        <f t="shared" si="66"/>
        <v>541803622.22207618</v>
      </c>
      <c r="K123" s="12">
        <f t="shared" si="66"/>
        <v>519986975.12892431</v>
      </c>
      <c r="L123" s="12">
        <f t="shared" si="66"/>
        <v>495770419.19605583</v>
      </c>
      <c r="M123" s="12">
        <f t="shared" si="66"/>
        <v>473008303.02310532</v>
      </c>
      <c r="N123" s="12">
        <f t="shared" si="66"/>
        <v>440626642.66566086</v>
      </c>
      <c r="O123" s="12">
        <f t="shared" si="66"/>
        <v>407924483.10524553</v>
      </c>
      <c r="P123" s="12">
        <f t="shared" si="66"/>
        <v>396020766.1244145</v>
      </c>
      <c r="Q123" s="12">
        <f t="shared" si="66"/>
        <v>411223495.77060276</v>
      </c>
      <c r="R123" s="12">
        <f t="shared" si="66"/>
        <v>422922003.18194938</v>
      </c>
      <c r="S123" s="12">
        <f t="shared" si="66"/>
        <v>430175038.53780472</v>
      </c>
      <c r="T123" s="12">
        <f t="shared" si="66"/>
        <v>434925922.2078476</v>
      </c>
      <c r="U123" s="12">
        <f t="shared" si="66"/>
        <v>437166152.3698315</v>
      </c>
      <c r="V123" s="12">
        <f t="shared" si="66"/>
        <v>437166152.3698315</v>
      </c>
      <c r="W123" s="12">
        <f t="shared" si="66"/>
        <v>437166152.3698315</v>
      </c>
    </row>
    <row r="124" spans="2:23" x14ac:dyDescent="0.45">
      <c r="C124" s="5"/>
      <c r="D124" s="12"/>
      <c r="E124" s="12"/>
      <c r="F124" s="12"/>
      <c r="G124" s="12"/>
      <c r="H124" s="12"/>
      <c r="I124" s="12"/>
      <c r="J124" s="12"/>
      <c r="K124" s="12"/>
      <c r="L124" s="12"/>
      <c r="M124" s="12"/>
      <c r="N124" s="12"/>
      <c r="O124" s="12"/>
      <c r="P124" s="12"/>
      <c r="Q124" s="12"/>
      <c r="R124" s="12"/>
      <c r="S124" s="12"/>
      <c r="T124" s="12"/>
      <c r="U124" s="12"/>
      <c r="V124" s="12"/>
      <c r="W124" s="12"/>
    </row>
    <row r="125" spans="2:23" x14ac:dyDescent="0.45">
      <c r="B125" s="5" t="s">
        <v>75</v>
      </c>
      <c r="C125" s="138">
        <f>SUM(D125:W125)</f>
        <v>6300712135.0552044</v>
      </c>
      <c r="D125" s="12">
        <f>D121*D$103</f>
        <v>794611184.85781109</v>
      </c>
      <c r="E125" s="12">
        <f t="shared" ref="E125:W125" si="67">E121*E$103</f>
        <v>709157685.95650399</v>
      </c>
      <c r="F125" s="12">
        <f t="shared" si="67"/>
        <v>605323637.54488599</v>
      </c>
      <c r="G125" s="12">
        <f t="shared" si="67"/>
        <v>539399269.46296096</v>
      </c>
      <c r="H125" s="12">
        <f t="shared" si="67"/>
        <v>458150128.80069721</v>
      </c>
      <c r="I125" s="12">
        <f t="shared" si="67"/>
        <v>396672365.29544884</v>
      </c>
      <c r="J125" s="12">
        <f t="shared" si="67"/>
        <v>372434263.75066119</v>
      </c>
      <c r="K125" s="12">
        <f t="shared" si="67"/>
        <v>331225796.70683151</v>
      </c>
      <c r="L125" s="12">
        <f t="shared" si="67"/>
        <v>292303623.28390032</v>
      </c>
      <c r="M125" s="12">
        <f t="shared" si="67"/>
        <v>257885327.55348989</v>
      </c>
      <c r="N125" s="12">
        <f t="shared" si="67"/>
        <v>221954132.19130668</v>
      </c>
      <c r="O125" s="12">
        <f t="shared" si="67"/>
        <v>189614614.29215255</v>
      </c>
      <c r="P125" s="12">
        <f t="shared" si="67"/>
        <v>170039166.64205593</v>
      </c>
      <c r="Q125" s="12">
        <f t="shared" si="67"/>
        <v>163639251.45177504</v>
      </c>
      <c r="R125" s="12">
        <f t="shared" si="67"/>
        <v>155972631.50536782</v>
      </c>
      <c r="S125" s="12">
        <f t="shared" si="67"/>
        <v>147032005.31857404</v>
      </c>
      <c r="T125" s="12">
        <f t="shared" si="67"/>
        <v>137771860.26438332</v>
      </c>
      <c r="U125" s="12">
        <f t="shared" si="67"/>
        <v>128342446.62550838</v>
      </c>
      <c r="V125" s="12">
        <f t="shared" si="67"/>
        <v>118945733.66590211</v>
      </c>
      <c r="W125" s="12">
        <f t="shared" si="67"/>
        <v>110237009.88498805</v>
      </c>
    </row>
    <row r="126" spans="2:23" x14ac:dyDescent="0.45">
      <c r="B126" s="5" t="s">
        <v>76</v>
      </c>
      <c r="C126" s="138">
        <f t="shared" ref="C126:C127" si="68">SUM(D126:W126)</f>
        <v>6772305578.3247566</v>
      </c>
      <c r="D126" s="12">
        <f>D122*D$103</f>
        <v>854085957.9779309</v>
      </c>
      <c r="E126" s="12">
        <f t="shared" ref="E126:W126" si="69">E122*E$103</f>
        <v>762236466.22335804</v>
      </c>
      <c r="F126" s="12">
        <f t="shared" si="69"/>
        <v>650630684.17759848</v>
      </c>
      <c r="G126" s="12">
        <f t="shared" si="69"/>
        <v>579772032.62537289</v>
      </c>
      <c r="H126" s="12">
        <f t="shared" si="69"/>
        <v>492441585.40818381</v>
      </c>
      <c r="I126" s="12">
        <f t="shared" si="69"/>
        <v>426362356.29801655</v>
      </c>
      <c r="J126" s="12">
        <f t="shared" si="69"/>
        <v>400310090.01743215</v>
      </c>
      <c r="K126" s="12">
        <f t="shared" si="69"/>
        <v>356017266.40429717</v>
      </c>
      <c r="L126" s="12">
        <f t="shared" si="69"/>
        <v>314181860.09743041</v>
      </c>
      <c r="M126" s="12">
        <f t="shared" si="69"/>
        <v>277187436.10611004</v>
      </c>
      <c r="N126" s="12">
        <f t="shared" si="69"/>
        <v>238566875.51370677</v>
      </c>
      <c r="O126" s="12">
        <f t="shared" si="69"/>
        <v>203806820.9715775</v>
      </c>
      <c r="P126" s="12">
        <f t="shared" si="69"/>
        <v>182766197.23297334</v>
      </c>
      <c r="Q126" s="12">
        <f t="shared" si="69"/>
        <v>175887263.4847067</v>
      </c>
      <c r="R126" s="12">
        <f t="shared" si="69"/>
        <v>167646815.11680254</v>
      </c>
      <c r="S126" s="12">
        <f t="shared" si="69"/>
        <v>158037004.14612415</v>
      </c>
      <c r="T126" s="12">
        <f t="shared" si="69"/>
        <v>148083759.0743998</v>
      </c>
      <c r="U126" s="12">
        <f t="shared" si="69"/>
        <v>137948576.06364244</v>
      </c>
      <c r="V126" s="12">
        <f t="shared" si="69"/>
        <v>127848541.30087341</v>
      </c>
      <c r="W126" s="12">
        <f t="shared" si="69"/>
        <v>118487990.08422004</v>
      </c>
    </row>
    <row r="127" spans="2:23" x14ac:dyDescent="0.45">
      <c r="B127" s="5" t="s">
        <v>77</v>
      </c>
      <c r="C127" s="138">
        <f t="shared" si="68"/>
        <v>5892523100.0652237</v>
      </c>
      <c r="D127" s="12">
        <f>D123*D$103</f>
        <v>743132627.2302115</v>
      </c>
      <c r="E127" s="12">
        <f t="shared" ref="E127:W127" si="70">E123*E$103</f>
        <v>663215197.98347151</v>
      </c>
      <c r="F127" s="12">
        <f t="shared" si="70"/>
        <v>566107995.53969753</v>
      </c>
      <c r="G127" s="12">
        <f t="shared" si="70"/>
        <v>504454510.43304253</v>
      </c>
      <c r="H127" s="12">
        <f t="shared" si="70"/>
        <v>428469061.81221884</v>
      </c>
      <c r="I127" s="12">
        <f t="shared" si="70"/>
        <v>370974109.84011942</v>
      </c>
      <c r="J127" s="12">
        <f t="shared" si="70"/>
        <v>348306263.6994012</v>
      </c>
      <c r="K127" s="12">
        <f t="shared" si="70"/>
        <v>309767470.18381464</v>
      </c>
      <c r="L127" s="12">
        <f t="shared" si="70"/>
        <v>273366853.70058644</v>
      </c>
      <c r="M127" s="12">
        <f t="shared" si="70"/>
        <v>241178333.05258784</v>
      </c>
      <c r="N127" s="12">
        <f t="shared" si="70"/>
        <v>207574925.350997</v>
      </c>
      <c r="O127" s="12">
        <f t="shared" si="70"/>
        <v>177330509.77049232</v>
      </c>
      <c r="P127" s="12">
        <f t="shared" si="70"/>
        <v>159023249.41645277</v>
      </c>
      <c r="Q127" s="12">
        <f t="shared" si="70"/>
        <v>153037950.09014764</v>
      </c>
      <c r="R127" s="12">
        <f t="shared" si="70"/>
        <v>145868008.95249727</v>
      </c>
      <c r="S127" s="12">
        <f t="shared" si="70"/>
        <v>137506597.54288539</v>
      </c>
      <c r="T127" s="12">
        <f t="shared" si="70"/>
        <v>128846367.16381645</v>
      </c>
      <c r="U127" s="12">
        <f t="shared" si="70"/>
        <v>120027834.19545482</v>
      </c>
      <c r="V127" s="12">
        <f t="shared" si="70"/>
        <v>111239883.40635292</v>
      </c>
      <c r="W127" s="12">
        <f t="shared" si="70"/>
        <v>103095350.70097584</v>
      </c>
    </row>
    <row r="129" spans="1:23" ht="15.75" x14ac:dyDescent="0.5">
      <c r="A129" s="57" t="s">
        <v>78</v>
      </c>
    </row>
    <row r="130" spans="1:23" x14ac:dyDescent="0.45">
      <c r="B130" s="44" t="s">
        <v>79</v>
      </c>
      <c r="C130" s="133">
        <f>SUM(D130:W130)</f>
        <v>3364040847.746244</v>
      </c>
      <c r="D130" s="12">
        <f>'Total costs and revenues 2026'!C247</f>
        <v>18775697.026832413</v>
      </c>
      <c r="E130" s="12">
        <f>'Total costs and revenues 2026'!D247</f>
        <v>37028972.088775381</v>
      </c>
      <c r="F130" s="12">
        <f>'Total costs and revenues 2026'!E247</f>
        <v>56884357.953654498</v>
      </c>
      <c r="G130" s="12">
        <f>'Total costs and revenues 2026'!F247</f>
        <v>71431679.947209954</v>
      </c>
      <c r="H130" s="12">
        <f>'Total costs and revenues 2026'!G247</f>
        <v>119157715.37743664</v>
      </c>
      <c r="I130" s="12">
        <f>'Total costs and revenues 2026'!H247</f>
        <v>150276277.23463449</v>
      </c>
      <c r="J130" s="12">
        <f>'Total costs and revenues 2026'!I247</f>
        <v>189277309.20554534</v>
      </c>
      <c r="K130" s="12">
        <f>'Total costs and revenues 2026'!J247</f>
        <v>209788670.06499365</v>
      </c>
      <c r="L130" s="12">
        <f>'Total costs and revenues 2026'!K247</f>
        <v>228441477.88279676</v>
      </c>
      <c r="M130" s="12">
        <f>'Total costs and revenues 2026'!L247</f>
        <v>248626896.58554143</v>
      </c>
      <c r="N130" s="12">
        <f>'Total costs and revenues 2026'!M247</f>
        <v>246177104.61432502</v>
      </c>
      <c r="O130" s="12">
        <f>'Total costs and revenues 2026'!N247</f>
        <v>242137322.64409783</v>
      </c>
      <c r="P130" s="12">
        <f>'Total costs and revenues 2026'!O247</f>
        <v>235450645.26795167</v>
      </c>
      <c r="Q130" s="12">
        <f>'Total costs and revenues 2026'!P247</f>
        <v>225159265.89557067</v>
      </c>
      <c r="R130" s="12">
        <f>'Total costs and revenues 2026'!Q247</f>
        <v>213712101.30080238</v>
      </c>
      <c r="S130" s="12">
        <f>'Total costs and revenues 2026'!R247</f>
        <v>200506045.79135653</v>
      </c>
      <c r="T130" s="12">
        <f>'Total costs and revenues 2026'!S247</f>
        <v>187333066.77921289</v>
      </c>
      <c r="U130" s="12">
        <f>'Total costs and revenues 2026'!T247</f>
        <v>174016965.65755641</v>
      </c>
      <c r="V130" s="12">
        <f>'Total costs and revenues 2026'!U247</f>
        <v>160862575.00580558</v>
      </c>
      <c r="W130" s="12">
        <f>'Total costs and revenues 2026'!V247</f>
        <v>148996701.42214435</v>
      </c>
    </row>
    <row r="131" spans="1:23" x14ac:dyDescent="0.45">
      <c r="B131" s="44"/>
      <c r="D131" s="12"/>
      <c r="E131" s="12"/>
      <c r="F131" s="12"/>
      <c r="G131" s="12"/>
      <c r="H131" s="12"/>
      <c r="I131" s="12"/>
      <c r="J131" s="12"/>
      <c r="K131" s="12"/>
      <c r="L131" s="12"/>
      <c r="M131" s="12"/>
      <c r="N131" s="12"/>
      <c r="O131" s="12"/>
      <c r="P131" s="12"/>
      <c r="Q131" s="12"/>
      <c r="R131" s="12"/>
      <c r="S131" s="12"/>
      <c r="T131" s="12"/>
      <c r="U131" s="12"/>
      <c r="V131" s="12"/>
      <c r="W131" s="12"/>
    </row>
    <row r="132" spans="1:23" x14ac:dyDescent="0.45">
      <c r="B132" s="44" t="s">
        <v>80</v>
      </c>
      <c r="C132" s="133">
        <f>SUM(D132:W132)</f>
        <v>3533322197.5457349</v>
      </c>
      <c r="D132" s="12">
        <f>'Total costs and revenues 2026'!C287</f>
        <v>21588920.777613796</v>
      </c>
      <c r="E132" s="12">
        <f>'Total costs and revenues 2026'!D287</f>
        <v>42007901.270901658</v>
      </c>
      <c r="F132" s="12">
        <f>'Total costs and revenues 2026'!E287</f>
        <v>63478875.983482152</v>
      </c>
      <c r="G132" s="12">
        <f>'Total costs and revenues 2026'!F287</f>
        <v>79452506.770885453</v>
      </c>
      <c r="H132" s="12">
        <f>'Total costs and revenues 2026'!G287</f>
        <v>129652841.53073308</v>
      </c>
      <c r="I132" s="12">
        <f>'Total costs and revenues 2026'!H287</f>
        <v>163141487.06776816</v>
      </c>
      <c r="J132" s="12">
        <f>'Total costs and revenues 2026'!I287</f>
        <v>201498080.40940556</v>
      </c>
      <c r="K132" s="12">
        <f>'Total costs and revenues 2026'!J287</f>
        <v>221122801.69787154</v>
      </c>
      <c r="L132" s="12">
        <f>'Total costs and revenues 2026'!K287</f>
        <v>237267210.61724043</v>
      </c>
      <c r="M132" s="12">
        <f>'Total costs and revenues 2026'!L287</f>
        <v>258210867.37119034</v>
      </c>
      <c r="N132" s="12">
        <f>'Total costs and revenues 2026'!M287</f>
        <v>255843467.93576783</v>
      </c>
      <c r="O132" s="12">
        <f>'Total costs and revenues 2026'!N287</f>
        <v>251711587.44825828</v>
      </c>
      <c r="P132" s="12">
        <f>'Total costs and revenues 2026'!O287</f>
        <v>244810216.35804707</v>
      </c>
      <c r="Q132" s="12">
        <f>'Total costs and revenues 2026'!P287</f>
        <v>234166562.49281287</v>
      </c>
      <c r="R132" s="12">
        <f>'Total costs and revenues 2026'!Q287</f>
        <v>222297399.3913112</v>
      </c>
      <c r="S132" s="12">
        <f>'Total costs and revenues 2026'!R287</f>
        <v>208599219.46113449</v>
      </c>
      <c r="T132" s="12">
        <f>'Total costs and revenues 2026'!S287</f>
        <v>194916528.55348539</v>
      </c>
      <c r="U132" s="12">
        <f>'Total costs and revenues 2026'!T287</f>
        <v>181081398.380853</v>
      </c>
      <c r="V132" s="12">
        <f>'Total costs and revenues 2026'!U287</f>
        <v>167409778.64185432</v>
      </c>
      <c r="W132" s="12">
        <f>'Total costs and revenues 2026'!V287</f>
        <v>155064545.38511816</v>
      </c>
    </row>
    <row r="133" spans="1:23" x14ac:dyDescent="0.45">
      <c r="B133" s="44"/>
      <c r="D133" s="12"/>
      <c r="E133" s="12"/>
      <c r="F133" s="12"/>
      <c r="G133" s="12"/>
      <c r="H133" s="12"/>
      <c r="I133" s="12"/>
      <c r="J133" s="12"/>
      <c r="K133" s="12"/>
      <c r="L133" s="12"/>
      <c r="M133" s="12"/>
      <c r="N133" s="12"/>
      <c r="O133" s="12"/>
      <c r="P133" s="12"/>
      <c r="Q133" s="12"/>
      <c r="R133" s="12"/>
      <c r="S133" s="12"/>
      <c r="T133" s="12"/>
      <c r="U133" s="12"/>
      <c r="V133" s="12"/>
      <c r="W133" s="12"/>
    </row>
    <row r="134" spans="1:23" x14ac:dyDescent="0.45">
      <c r="B134" s="44" t="s">
        <v>81</v>
      </c>
      <c r="C134" s="133">
        <f>SUM(D134:W134)</f>
        <v>3194759497.9467535</v>
      </c>
      <c r="D134" s="12">
        <f>'Total costs and revenues 2026'!C267</f>
        <v>15962473.276051028</v>
      </c>
      <c r="E134" s="12">
        <f>'Total costs and revenues 2026'!D267</f>
        <v>32050042.90664909</v>
      </c>
      <c r="F134" s="12">
        <f>'Total costs and revenues 2026'!E267</f>
        <v>50289839.923826858</v>
      </c>
      <c r="G134" s="12">
        <f>'Total costs and revenues 2026'!F267</f>
        <v>63410853.123534471</v>
      </c>
      <c r="H134" s="12">
        <f>'Total costs and revenues 2026'!G267</f>
        <v>108662589.22414021</v>
      </c>
      <c r="I134" s="12">
        <f>'Total costs and revenues 2026'!H267</f>
        <v>137411067.40150079</v>
      </c>
      <c r="J134" s="12">
        <f>'Total costs and revenues 2026'!I267</f>
        <v>177056538.00168508</v>
      </c>
      <c r="K134" s="12">
        <f>'Total costs and revenues 2026'!J267</f>
        <v>198454538.43211573</v>
      </c>
      <c r="L134" s="12">
        <f>'Total costs and revenues 2026'!K267</f>
        <v>219615745.1483531</v>
      </c>
      <c r="M134" s="12">
        <f>'Total costs and revenues 2026'!L267</f>
        <v>239042925.79989246</v>
      </c>
      <c r="N134" s="12">
        <f>'Total costs and revenues 2026'!M267</f>
        <v>236510741.29288229</v>
      </c>
      <c r="O134" s="12">
        <f>'Total costs and revenues 2026'!N267</f>
        <v>232563057.83993736</v>
      </c>
      <c r="P134" s="12">
        <f>'Total costs and revenues 2026'!O267</f>
        <v>226091074.1778563</v>
      </c>
      <c r="Q134" s="12">
        <f>'Total costs and revenues 2026'!P267</f>
        <v>216151969.29832852</v>
      </c>
      <c r="R134" s="12">
        <f>'Total costs and revenues 2026'!Q267</f>
        <v>205126803.21029368</v>
      </c>
      <c r="S134" s="12">
        <f>'Total costs and revenues 2026'!R267</f>
        <v>192412872.12157851</v>
      </c>
      <c r="T134" s="12">
        <f>'Total costs and revenues 2026'!S267</f>
        <v>179749605.00494039</v>
      </c>
      <c r="U134" s="12">
        <f>'Total costs and revenues 2026'!T267</f>
        <v>166952532.93425986</v>
      </c>
      <c r="V134" s="12">
        <f>'Total costs and revenues 2026'!U267</f>
        <v>154315371.36975688</v>
      </c>
      <c r="W134" s="12">
        <f>'Total costs and revenues 2026'!V267</f>
        <v>142928857.45917058</v>
      </c>
    </row>
    <row r="135" spans="1:23" x14ac:dyDescent="0.45">
      <c r="D135" s="12"/>
      <c r="E135" s="12"/>
      <c r="F135" s="12"/>
      <c r="G135" s="12"/>
      <c r="H135" s="12"/>
      <c r="I135" s="12"/>
      <c r="J135" s="12"/>
      <c r="K135" s="12"/>
      <c r="L135" s="12"/>
      <c r="M135" s="12"/>
      <c r="N135" s="12"/>
      <c r="O135" s="12"/>
      <c r="P135" s="12"/>
      <c r="Q135" s="12"/>
      <c r="R135" s="12"/>
      <c r="S135" s="12"/>
      <c r="T135" s="12"/>
      <c r="U135" s="12"/>
      <c r="V135" s="12"/>
      <c r="W135" s="12"/>
    </row>
    <row r="136" spans="1:23" x14ac:dyDescent="0.45">
      <c r="B136" s="44" t="s">
        <v>82</v>
      </c>
      <c r="C136" s="133">
        <f>SUM(D136:W136)</f>
        <v>3602075224.9728789</v>
      </c>
      <c r="D136" s="12">
        <f>'Total costs and revenues 2026'!C322</f>
        <v>562161691.55613744</v>
      </c>
      <c r="E136" s="12">
        <f>'Total costs and revenues 2026'!D322</f>
        <v>569077419.57671976</v>
      </c>
      <c r="F136" s="12">
        <f>'Total costs and revenues 2026'!E322</f>
        <v>513129395.13823181</v>
      </c>
      <c r="G136" s="12">
        <f>'Total costs and revenues 2026'!F322</f>
        <v>453159359.83351612</v>
      </c>
      <c r="H136" s="12">
        <f>'Total costs and revenues 2026'!G322</f>
        <v>379193666.85538334</v>
      </c>
      <c r="I136" s="12">
        <f>'Total costs and revenues 2026'!H322</f>
        <v>309593889.01631606</v>
      </c>
      <c r="J136" s="12">
        <f>'Total costs and revenues 2026'!I322</f>
        <v>269773738.1954031</v>
      </c>
      <c r="K136" s="12">
        <f>'Total costs and revenues 2026'!J322</f>
        <v>212316074.94396168</v>
      </c>
      <c r="L136" s="12">
        <f>'Total costs and revenues 2026'!K322</f>
        <v>154784491.61664623</v>
      </c>
      <c r="M136" s="12">
        <f>'Total costs and revenues 2026'!L322</f>
        <v>102806022.96254174</v>
      </c>
      <c r="N136" s="12">
        <f>'Total costs and revenues 2026'!M322</f>
        <v>56838443.226389594</v>
      </c>
      <c r="O136" s="12">
        <f>'Total costs and revenues 2026'!N322</f>
        <v>19241032.05163246</v>
      </c>
      <c r="P136" s="12">
        <f>'Total costs and revenues 2026'!O322</f>
        <v>0</v>
      </c>
      <c r="Q136" s="12">
        <f>'Total costs and revenues 2026'!P322</f>
        <v>0</v>
      </c>
      <c r="R136" s="12">
        <f>'Total costs and revenues 2026'!Q322</f>
        <v>0</v>
      </c>
      <c r="S136" s="12">
        <f>'Total costs and revenues 2026'!R322</f>
        <v>0</v>
      </c>
      <c r="T136" s="12">
        <f>'Total costs and revenues 2026'!S322</f>
        <v>0</v>
      </c>
      <c r="U136" s="12">
        <f>'Total costs and revenues 2026'!T322</f>
        <v>0</v>
      </c>
      <c r="V136" s="12">
        <f>'Total costs and revenues 2026'!U322</f>
        <v>0</v>
      </c>
      <c r="W136" s="12">
        <f>'Total costs and revenues 2026'!V322</f>
        <v>0</v>
      </c>
    </row>
    <row r="137" spans="1:23" x14ac:dyDescent="0.45">
      <c r="B137" s="44"/>
      <c r="C137" s="133"/>
      <c r="D137" s="12"/>
      <c r="E137" s="12"/>
      <c r="F137" s="12"/>
      <c r="G137" s="12"/>
      <c r="H137" s="12"/>
      <c r="I137" s="12"/>
      <c r="J137" s="12"/>
      <c r="K137" s="12"/>
      <c r="L137" s="12"/>
      <c r="M137" s="12"/>
      <c r="N137" s="12"/>
      <c r="O137" s="12"/>
      <c r="P137" s="12"/>
      <c r="Q137" s="12"/>
      <c r="R137" s="12"/>
      <c r="S137" s="12"/>
      <c r="T137" s="12"/>
      <c r="U137" s="12"/>
      <c r="V137" s="12"/>
      <c r="W137" s="12"/>
    </row>
    <row r="138" spans="1:23" x14ac:dyDescent="0.45">
      <c r="B138" s="44" t="s">
        <v>83</v>
      </c>
      <c r="C138" s="133">
        <f>SUM(D138:W138)</f>
        <v>12899556980.814753</v>
      </c>
      <c r="D138" s="12">
        <f>SUM('Total costs and revenues 2026'!C244:C245,'Total costs and revenues 2026'!C317:C318)</f>
        <v>580937388.5829699</v>
      </c>
      <c r="E138" s="12">
        <f>SUM('Total costs and revenues 2026'!D244:D245,'Total costs and revenues 2026'!D317:D318)</f>
        <v>651675457.95667362</v>
      </c>
      <c r="F138" s="12">
        <f>SUM('Total costs and revenues 2026'!E244:E245,'Total costs and revenues 2026'!E317:E318)</f>
        <v>659089559.48483372</v>
      </c>
      <c r="G138" s="12">
        <f>SUM('Total costs and revenues 2026'!F244:F245,'Total costs and revenues 2026'!F317:F318)</f>
        <v>652442818.72201347</v>
      </c>
      <c r="H138" s="12">
        <f>SUM('Total costs and revenues 2026'!G244:G245,'Total costs and revenues 2026'!G317:G318)</f>
        <v>667316692.98123479</v>
      </c>
      <c r="I138" s="12">
        <f>SUM('Total costs and revenues 2026'!H244:H245,'Total costs and revenues 2026'!H317:H318)</f>
        <v>664246864.90890133</v>
      </c>
      <c r="J138" s="12">
        <f>SUM('Total costs and revenues 2026'!I244:I245,'Total costs and revenues 2026'!I317:I318)</f>
        <v>715036718.71902561</v>
      </c>
      <c r="K138" s="12">
        <f>SUM('Total costs and revenues 2026'!J244:J245,'Total costs and revenues 2026'!J317:J318)</f>
        <v>709459821.08786595</v>
      </c>
      <c r="L138" s="12">
        <f>SUM('Total costs and revenues 2026'!K244:K245,'Total costs and revenues 2026'!K317:K318)</f>
        <v>695762004.29017115</v>
      </c>
      <c r="M138" s="12">
        <f>SUM('Total costs and revenues 2026'!L244:L245,'Total costs and revenues 2026'!L317:L318)</f>
        <v>689983585.95656145</v>
      </c>
      <c r="N138" s="12">
        <f>SUM('Total costs and revenues 2026'!M244:M245,'Total costs and revenues 2026'!M317:M318)</f>
        <v>643723092.63211858</v>
      </c>
      <c r="O138" s="12">
        <f>SUM('Total costs and revenues 2026'!N244:N245,'Total costs and revenues 2026'!N317:N318)</f>
        <v>601483655.0742619</v>
      </c>
      <c r="P138" s="12">
        <f>SUM('Total costs and revenues 2026'!O244:O245,'Total costs and revenues 2026'!O317:O318)</f>
        <v>586350393.83024251</v>
      </c>
      <c r="Q138" s="12">
        <f>SUM('Total costs and revenues 2026'!P244:P245,'Total costs and revenues 2026'!P317:P318)</f>
        <v>605018430.86749554</v>
      </c>
      <c r="R138" s="12">
        <f>SUM('Total costs and revenues 2026'!Q244:Q245,'Total costs and revenues 2026'!Q317:Q318)</f>
        <v>619625582.30155146</v>
      </c>
      <c r="S138" s="12">
        <f>SUM('Total costs and revenues 2026'!R244:R245,'Total costs and revenues 2026'!R317:R318)</f>
        <v>627262236.98800516</v>
      </c>
      <c r="T138" s="12">
        <f>SUM('Total costs and revenues 2026'!S244:S245,'Total costs and revenues 2026'!S317:S318)</f>
        <v>632350050.85850906</v>
      </c>
      <c r="U138" s="12">
        <f>SUM('Total costs and revenues 2026'!T244:T245,'Total costs and revenues 2026'!T317:T318)</f>
        <v>633805715.42852855</v>
      </c>
      <c r="V138" s="12">
        <f>SUM('Total costs and revenues 2026'!U244:U245,'Total costs and revenues 2026'!U317:U318)</f>
        <v>632180390.90083456</v>
      </c>
      <c r="W138" s="12">
        <f>SUM('Total costs and revenues 2026'!V244:V245,'Total costs and revenues 2026'!V317:V318)</f>
        <v>631806519.24295664</v>
      </c>
    </row>
    <row r="139" spans="1:23" x14ac:dyDescent="0.45">
      <c r="B139" s="44" t="s">
        <v>84</v>
      </c>
      <c r="C139" s="133">
        <f t="shared" ref="C139:C140" si="71">SUM(D139:W139)</f>
        <v>13275521353.668795</v>
      </c>
      <c r="D139" s="12">
        <f>SUM('Total costs and revenues 2026'!C284:C285,'Total costs and revenues 2026'!C317:C318)</f>
        <v>583750612.3337512</v>
      </c>
      <c r="E139" s="12">
        <f>SUM('Total costs and revenues 2026'!D284:D285,'Total costs and revenues 2026'!D317:D318)</f>
        <v>657042743.61500573</v>
      </c>
      <c r="F139" s="12">
        <f>SUM('Total costs and revenues 2026'!E284:E285,'Total costs and revenues 2026'!E317:E318)</f>
        <v>666752943.37500799</v>
      </c>
      <c r="G139" s="12">
        <f>SUM('Total costs and revenues 2026'!F284:F285,'Total costs and revenues 2026'!F317:F318)</f>
        <v>662490721.45302558</v>
      </c>
      <c r="H139" s="12">
        <f>SUM('Total costs and revenues 2026'!G284:G285,'Total costs and revenues 2026'!G317:G318)</f>
        <v>681489722.98956716</v>
      </c>
      <c r="I139" s="12">
        <f>SUM('Total costs and revenues 2026'!H284:H285,'Total costs and revenues 2026'!H317:H318)</f>
        <v>683062725.96551955</v>
      </c>
      <c r="J139" s="12">
        <f>SUM('Total costs and revenues 2026'!I284:I285,'Total costs and revenues 2026'!I317:I318)</f>
        <v>734322057.90119028</v>
      </c>
      <c r="K139" s="12">
        <f>SUM('Total costs and revenues 2026'!J284:J285,'Total costs and revenues 2026'!J317:J318)</f>
        <v>728758979.23412144</v>
      </c>
      <c r="L139" s="12">
        <f>SUM('Total costs and revenues 2026'!K284:K285,'Total costs and revenues 2026'!K317:K318)</f>
        <v>711977205.02046633</v>
      </c>
      <c r="M139" s="12">
        <f>SUM('Total costs and revenues 2026'!L284:L285,'Total costs and revenues 2026'!L317:L318)</f>
        <v>708982924.58650875</v>
      </c>
      <c r="N139" s="12">
        <f>SUM('Total costs and revenues 2026'!M284:M285,'Total costs and revenues 2026'!M317:M318)</f>
        <v>664399618.13405311</v>
      </c>
      <c r="O139" s="12">
        <f>SUM('Total costs and revenues 2026'!N284:N285,'Total costs and revenues 2026'!N317:N318)</f>
        <v>623581062.67036593</v>
      </c>
      <c r="P139" s="12">
        <f>SUM('Total costs and revenues 2026'!O284:O285,'Total costs and revenues 2026'!O317:O318)</f>
        <v>609658837.89296341</v>
      </c>
      <c r="Q139" s="12">
        <f>SUM('Total costs and revenues 2026'!P284:P285,'Total costs and revenues 2026'!P317:P318)</f>
        <v>629221656.2242043</v>
      </c>
      <c r="R139" s="12">
        <f>SUM('Total costs and revenues 2026'!Q284:Q285,'Total costs and revenues 2026'!Q317:Q318)</f>
        <v>644517342.2729553</v>
      </c>
      <c r="S139" s="12">
        <f>SUM('Total costs and revenues 2026'!R284:R285,'Total costs and revenues 2026'!R317:R318)</f>
        <v>652580886.11103415</v>
      </c>
      <c r="T139" s="12">
        <f>SUM('Total costs and revenues 2026'!S284:S285,'Total costs and revenues 2026'!S317:S318)</f>
        <v>657948320.94019485</v>
      </c>
      <c r="U139" s="12">
        <f>SUM('Total costs and revenues 2026'!T284:T285,'Total costs and revenues 2026'!T317:T318)</f>
        <v>659535837.8873744</v>
      </c>
      <c r="V139" s="12">
        <f>SUM('Total costs and revenues 2026'!U284:U285,'Total costs and revenues 2026'!U317:U318)</f>
        <v>657910513.35968041</v>
      </c>
      <c r="W139" s="12">
        <f>SUM('Total costs and revenues 2026'!V284:V285,'Total costs and revenues 2026'!V317:V318)</f>
        <v>657536641.70180249</v>
      </c>
    </row>
    <row r="140" spans="1:23" x14ac:dyDescent="0.45">
      <c r="B140" s="44" t="s">
        <v>85</v>
      </c>
      <c r="C140" s="133">
        <f t="shared" si="71"/>
        <v>12523592607.960718</v>
      </c>
      <c r="D140" s="12">
        <f>SUM('Total costs and revenues 2026'!C264:C265,'Total costs and revenues 2026'!C317:C318)</f>
        <v>578124164.83218849</v>
      </c>
      <c r="E140" s="12">
        <f>SUM('Total costs and revenues 2026'!D264:D265,'Total costs and revenues 2026'!D317:D318)</f>
        <v>646308172.29834151</v>
      </c>
      <c r="F140" s="12">
        <f>SUM('Total costs and revenues 2026'!E264:E265,'Total costs and revenues 2026'!E317:E318)</f>
        <v>651426175.59465957</v>
      </c>
      <c r="G140" s="12">
        <f>SUM('Total costs and revenues 2026'!F264:F265,'Total costs and revenues 2026'!F317:F318)</f>
        <v>642394915.99100137</v>
      </c>
      <c r="H140" s="12">
        <f>SUM('Total costs and revenues 2026'!G264:G265,'Total costs and revenues 2026'!G317:G318)</f>
        <v>653143662.97290242</v>
      </c>
      <c r="I140" s="12">
        <f>SUM('Total costs and revenues 2026'!H264:H265,'Total costs and revenues 2026'!H317:H318)</f>
        <v>645431003.85228312</v>
      </c>
      <c r="J140" s="12">
        <f>SUM('Total costs and revenues 2026'!I264:I265,'Total costs and revenues 2026'!I317:I318)</f>
        <v>695751379.53686094</v>
      </c>
      <c r="K140" s="12">
        <f>SUM('Total costs and revenues 2026'!J264:J265,'Total costs and revenues 2026'!J317:J318)</f>
        <v>690160662.94161034</v>
      </c>
      <c r="L140" s="12">
        <f>SUM('Total costs and revenues 2026'!K264:K265,'Total costs and revenues 2026'!K317:K318)</f>
        <v>679546803.55987597</v>
      </c>
      <c r="M140" s="12">
        <f>SUM('Total costs and revenues 2026'!L264:L265,'Total costs and revenues 2026'!L317:L318)</f>
        <v>670984247.32661414</v>
      </c>
      <c r="N140" s="12">
        <f>SUM('Total costs and revenues 2026'!M264:M265,'Total costs and revenues 2026'!M317:M318)</f>
        <v>623046567.13018429</v>
      </c>
      <c r="O140" s="12">
        <f>SUM('Total costs and revenues 2026'!N264:N265,'Total costs and revenues 2026'!N317:N318)</f>
        <v>579386247.47815788</v>
      </c>
      <c r="P140" s="12">
        <f>SUM('Total costs and revenues 2026'!O264:O265,'Total costs and revenues 2026'!O317:O318)</f>
        <v>563041949.76752174</v>
      </c>
      <c r="Q140" s="12">
        <f>SUM('Total costs and revenues 2026'!P264:P265,'Total costs and revenues 2026'!P317:P318)</f>
        <v>580815205.51078689</v>
      </c>
      <c r="R140" s="12">
        <f>SUM('Total costs and revenues 2026'!Q264:Q265,'Total costs and revenues 2026'!Q317:Q318)</f>
        <v>594733822.33014786</v>
      </c>
      <c r="S140" s="12">
        <f>SUM('Total costs and revenues 2026'!R264:R265,'Total costs and revenues 2026'!R317:R318)</f>
        <v>601943587.86497593</v>
      </c>
      <c r="T140" s="12">
        <f>SUM('Total costs and revenues 2026'!S264:S265,'Total costs and revenues 2026'!S317:S318)</f>
        <v>606751780.77682328</v>
      </c>
      <c r="U140" s="12">
        <f>SUM('Total costs and revenues 2026'!T264:T265,'Total costs and revenues 2026'!T317:T318)</f>
        <v>608075592.96968281</v>
      </c>
      <c r="V140" s="12">
        <f>SUM('Total costs and revenues 2026'!U264:U265,'Total costs and revenues 2026'!U317:U318)</f>
        <v>606450268.44198883</v>
      </c>
      <c r="W140" s="12">
        <f>SUM('Total costs and revenues 2026'!V264:V265,'Total costs and revenues 2026'!V317:V318)</f>
        <v>606076396.7841109</v>
      </c>
    </row>
    <row r="141" spans="1:23" x14ac:dyDescent="0.45">
      <c r="B141" s="44"/>
      <c r="C141" s="133"/>
      <c r="D141" s="12"/>
      <c r="E141" s="12"/>
      <c r="F141" s="12"/>
      <c r="G141" s="12"/>
      <c r="H141" s="12"/>
      <c r="I141" s="12"/>
      <c r="J141" s="12"/>
      <c r="K141" s="12"/>
      <c r="L141" s="12"/>
      <c r="M141" s="12"/>
      <c r="N141" s="12"/>
      <c r="O141" s="12"/>
      <c r="P141" s="12"/>
      <c r="Q141" s="12"/>
      <c r="R141" s="12"/>
      <c r="S141" s="12"/>
      <c r="T141" s="12"/>
      <c r="U141" s="12"/>
      <c r="V141" s="12"/>
      <c r="W141" s="12"/>
    </row>
    <row r="142" spans="1:23" x14ac:dyDescent="0.45">
      <c r="B142" s="44" t="s">
        <v>86</v>
      </c>
      <c r="C142" s="5"/>
    </row>
    <row r="143" spans="1:23" x14ac:dyDescent="0.45">
      <c r="B143" s="44" t="s">
        <v>87</v>
      </c>
      <c r="C143" s="138">
        <f>SUM(D143:W143)</f>
        <v>6966116072.7191229</v>
      </c>
      <c r="D143" s="26">
        <f>D130+D136</f>
        <v>580937388.5829699</v>
      </c>
      <c r="E143" s="26">
        <f t="shared" ref="E143:W143" si="72">E130+E136</f>
        <v>606106391.66549516</v>
      </c>
      <c r="F143" s="26">
        <f t="shared" si="72"/>
        <v>570013753.09188628</v>
      </c>
      <c r="G143" s="26">
        <f t="shared" si="72"/>
        <v>524591039.78072608</v>
      </c>
      <c r="H143" s="26">
        <f t="shared" si="72"/>
        <v>498351382.23281997</v>
      </c>
      <c r="I143" s="26">
        <f t="shared" si="72"/>
        <v>459870166.25095057</v>
      </c>
      <c r="J143" s="26">
        <f t="shared" si="72"/>
        <v>459051047.40094841</v>
      </c>
      <c r="K143" s="26">
        <f t="shared" si="72"/>
        <v>422104745.00895536</v>
      </c>
      <c r="L143" s="26">
        <f t="shared" si="72"/>
        <v>383225969.49944299</v>
      </c>
      <c r="M143" s="26">
        <f t="shared" si="72"/>
        <v>351432919.54808319</v>
      </c>
      <c r="N143" s="26">
        <f t="shared" si="72"/>
        <v>303015547.84071463</v>
      </c>
      <c r="O143" s="26">
        <f t="shared" si="72"/>
        <v>261378354.6957303</v>
      </c>
      <c r="P143" s="26">
        <f t="shared" si="72"/>
        <v>235450645.26795167</v>
      </c>
      <c r="Q143" s="26">
        <f t="shared" si="72"/>
        <v>225159265.89557067</v>
      </c>
      <c r="R143" s="26">
        <f t="shared" si="72"/>
        <v>213712101.30080238</v>
      </c>
      <c r="S143" s="26">
        <f t="shared" si="72"/>
        <v>200506045.79135653</v>
      </c>
      <c r="T143" s="26">
        <f t="shared" si="72"/>
        <v>187333066.77921289</v>
      </c>
      <c r="U143" s="26">
        <f t="shared" si="72"/>
        <v>174016965.65755641</v>
      </c>
      <c r="V143" s="26">
        <f t="shared" si="72"/>
        <v>160862575.00580558</v>
      </c>
      <c r="W143" s="26">
        <f t="shared" si="72"/>
        <v>148996701.42214435</v>
      </c>
    </row>
    <row r="144" spans="1:23" x14ac:dyDescent="0.45">
      <c r="B144" s="44" t="s">
        <v>88</v>
      </c>
      <c r="C144" s="138">
        <f t="shared" ref="C144:C145" si="73">SUM(D144:W144)</f>
        <v>7135397422.5186138</v>
      </c>
      <c r="D144" s="26">
        <f t="shared" ref="D144:W144" si="74">D132+D136</f>
        <v>583750612.3337512</v>
      </c>
      <c r="E144" s="26">
        <f t="shared" si="74"/>
        <v>611085320.84762144</v>
      </c>
      <c r="F144" s="26">
        <f t="shared" si="74"/>
        <v>576608271.121714</v>
      </c>
      <c r="G144" s="26">
        <f t="shared" si="74"/>
        <v>532611866.60440159</v>
      </c>
      <c r="H144" s="26">
        <f t="shared" si="74"/>
        <v>508846508.38611639</v>
      </c>
      <c r="I144" s="26">
        <f t="shared" si="74"/>
        <v>472735376.08408421</v>
      </c>
      <c r="J144" s="26">
        <f t="shared" si="74"/>
        <v>471271818.60480869</v>
      </c>
      <c r="K144" s="26">
        <f t="shared" si="74"/>
        <v>433438876.64183319</v>
      </c>
      <c r="L144" s="26">
        <f t="shared" si="74"/>
        <v>392051702.23388666</v>
      </c>
      <c r="M144" s="26">
        <f t="shared" si="74"/>
        <v>361016890.33373207</v>
      </c>
      <c r="N144" s="26">
        <f t="shared" si="74"/>
        <v>312681911.16215742</v>
      </c>
      <c r="O144" s="26">
        <f t="shared" si="74"/>
        <v>270952619.49989074</v>
      </c>
      <c r="P144" s="26">
        <f t="shared" si="74"/>
        <v>244810216.35804707</v>
      </c>
      <c r="Q144" s="26">
        <f t="shared" si="74"/>
        <v>234166562.49281287</v>
      </c>
      <c r="R144" s="26">
        <f t="shared" si="74"/>
        <v>222297399.3913112</v>
      </c>
      <c r="S144" s="26">
        <f t="shared" si="74"/>
        <v>208599219.46113449</v>
      </c>
      <c r="T144" s="26">
        <f t="shared" si="74"/>
        <v>194916528.55348539</v>
      </c>
      <c r="U144" s="26">
        <f t="shared" si="74"/>
        <v>181081398.380853</v>
      </c>
      <c r="V144" s="26">
        <f t="shared" si="74"/>
        <v>167409778.64185432</v>
      </c>
      <c r="W144" s="26">
        <f t="shared" si="74"/>
        <v>155064545.38511816</v>
      </c>
    </row>
    <row r="145" spans="1:23" x14ac:dyDescent="0.45">
      <c r="B145" s="44" t="s">
        <v>89</v>
      </c>
      <c r="C145" s="138">
        <f t="shared" si="73"/>
        <v>6796834722.919632</v>
      </c>
      <c r="D145" s="26">
        <f t="shared" ref="D145:W145" si="75">D134+D136</f>
        <v>578124164.83218849</v>
      </c>
      <c r="E145" s="26">
        <f t="shared" si="75"/>
        <v>601127462.48336887</v>
      </c>
      <c r="F145" s="26">
        <f t="shared" si="75"/>
        <v>563419235.06205869</v>
      </c>
      <c r="G145" s="26">
        <f t="shared" si="75"/>
        <v>516570212.95705056</v>
      </c>
      <c r="H145" s="26">
        <f t="shared" si="75"/>
        <v>487856256.07952356</v>
      </c>
      <c r="I145" s="26">
        <f t="shared" si="75"/>
        <v>447004956.41781688</v>
      </c>
      <c r="J145" s="26">
        <f t="shared" si="75"/>
        <v>446830276.19708818</v>
      </c>
      <c r="K145" s="26">
        <f t="shared" si="75"/>
        <v>410770613.37607741</v>
      </c>
      <c r="L145" s="26">
        <f t="shared" si="75"/>
        <v>374400236.76499933</v>
      </c>
      <c r="M145" s="26">
        <f t="shared" si="75"/>
        <v>341848948.76243418</v>
      </c>
      <c r="N145" s="26">
        <f t="shared" si="75"/>
        <v>293349184.51927191</v>
      </c>
      <c r="O145" s="26">
        <f t="shared" si="75"/>
        <v>251804089.89156982</v>
      </c>
      <c r="P145" s="26">
        <f t="shared" si="75"/>
        <v>226091074.1778563</v>
      </c>
      <c r="Q145" s="26">
        <f t="shared" si="75"/>
        <v>216151969.29832852</v>
      </c>
      <c r="R145" s="26">
        <f t="shared" si="75"/>
        <v>205126803.21029368</v>
      </c>
      <c r="S145" s="26">
        <f t="shared" si="75"/>
        <v>192412872.12157851</v>
      </c>
      <c r="T145" s="26">
        <f t="shared" si="75"/>
        <v>179749605.00494039</v>
      </c>
      <c r="U145" s="26">
        <f t="shared" si="75"/>
        <v>166952532.93425986</v>
      </c>
      <c r="V145" s="26">
        <f t="shared" si="75"/>
        <v>154315371.36975688</v>
      </c>
      <c r="W145" s="26">
        <f t="shared" si="75"/>
        <v>142928857.45917058</v>
      </c>
    </row>
    <row r="147" spans="1:23" x14ac:dyDescent="0.45">
      <c r="B147" s="44" t="s">
        <v>90</v>
      </c>
      <c r="C147" s="140" t="b">
        <f>C143=W147</f>
        <v>1</v>
      </c>
      <c r="D147" s="26">
        <f>SUM($D143:D143)</f>
        <v>580937388.5829699</v>
      </c>
      <c r="E147" s="26">
        <f>SUM($D143:E143)</f>
        <v>1187043780.2484651</v>
      </c>
      <c r="F147" s="26">
        <f>SUM($D143:F143)</f>
        <v>1757057533.3403513</v>
      </c>
      <c r="G147" s="26">
        <f>SUM($D143:G143)</f>
        <v>2281648573.1210775</v>
      </c>
      <c r="H147" s="26">
        <f>SUM($D143:H143)</f>
        <v>2779999955.3538976</v>
      </c>
      <c r="I147" s="26">
        <f>SUM($D143:I143)</f>
        <v>3239870121.6048479</v>
      </c>
      <c r="J147" s="26">
        <f>SUM($D143:J143)</f>
        <v>3698921169.0057964</v>
      </c>
      <c r="K147" s="26">
        <f>SUM($D143:K143)</f>
        <v>4121025914.0147519</v>
      </c>
      <c r="L147" s="26">
        <f>SUM($D143:L143)</f>
        <v>4504251883.5141945</v>
      </c>
      <c r="M147" s="26">
        <f>SUM($D143:M143)</f>
        <v>4855684803.0622778</v>
      </c>
      <c r="N147" s="26">
        <f>SUM($D143:N143)</f>
        <v>5158700350.9029922</v>
      </c>
      <c r="O147" s="26">
        <f>SUM($D143:O143)</f>
        <v>5420078705.5987225</v>
      </c>
      <c r="P147" s="26">
        <f>SUM($D143:P143)</f>
        <v>5655529350.8666744</v>
      </c>
      <c r="Q147" s="26">
        <f>SUM($D143:Q143)</f>
        <v>5880688616.7622452</v>
      </c>
      <c r="R147" s="26">
        <f>SUM($D143:R143)</f>
        <v>6094400718.0630474</v>
      </c>
      <c r="S147" s="26">
        <f>SUM($D143:S143)</f>
        <v>6294906763.8544035</v>
      </c>
      <c r="T147" s="26">
        <f>SUM($D143:T143)</f>
        <v>6482239830.6336164</v>
      </c>
      <c r="U147" s="26">
        <f>SUM($D143:U143)</f>
        <v>6656256796.291173</v>
      </c>
      <c r="V147" s="26">
        <f>SUM($D143:V143)</f>
        <v>6817119371.296979</v>
      </c>
      <c r="W147" s="26">
        <f>SUM($D143:W143)</f>
        <v>6966116072.7191229</v>
      </c>
    </row>
    <row r="148" spans="1:23" x14ac:dyDescent="0.45">
      <c r="B148" s="44" t="s">
        <v>91</v>
      </c>
      <c r="C148" s="140" t="b">
        <f t="shared" ref="C148:C149" si="76">C144=W148</f>
        <v>1</v>
      </c>
      <c r="D148" s="26">
        <f>SUM($D144:D144)</f>
        <v>583750612.3337512</v>
      </c>
      <c r="E148" s="26">
        <f>SUM($D144:E144)</f>
        <v>1194835933.1813726</v>
      </c>
      <c r="F148" s="26">
        <f>SUM($D144:F144)</f>
        <v>1771444204.3030868</v>
      </c>
      <c r="G148" s="26">
        <f>SUM($D144:G144)</f>
        <v>2304056070.9074883</v>
      </c>
      <c r="H148" s="26">
        <f>SUM($D144:H144)</f>
        <v>2812902579.2936049</v>
      </c>
      <c r="I148" s="26">
        <f>SUM($D144:I144)</f>
        <v>3285637955.3776889</v>
      </c>
      <c r="J148" s="26">
        <f>SUM($D144:J144)</f>
        <v>3756909773.9824977</v>
      </c>
      <c r="K148" s="26">
        <f>SUM($D144:K144)</f>
        <v>4190348650.624331</v>
      </c>
      <c r="L148" s="26">
        <f>SUM($D144:L144)</f>
        <v>4582400352.8582172</v>
      </c>
      <c r="M148" s="26">
        <f>SUM($D144:M144)</f>
        <v>4943417243.1919489</v>
      </c>
      <c r="N148" s="26">
        <f>SUM($D144:N144)</f>
        <v>5256099154.3541059</v>
      </c>
      <c r="O148" s="26">
        <f>SUM($D144:O144)</f>
        <v>5527051773.8539963</v>
      </c>
      <c r="P148" s="26">
        <f>SUM($D144:P144)</f>
        <v>5771861990.2120438</v>
      </c>
      <c r="Q148" s="26">
        <f>SUM($D144:Q144)</f>
        <v>6006028552.7048569</v>
      </c>
      <c r="R148" s="26">
        <f>SUM($D144:R144)</f>
        <v>6228325952.0961685</v>
      </c>
      <c r="S148" s="26">
        <f>SUM($D144:S144)</f>
        <v>6436925171.5573034</v>
      </c>
      <c r="T148" s="26">
        <f>SUM($D144:T144)</f>
        <v>6631841700.1107883</v>
      </c>
      <c r="U148" s="26">
        <f>SUM($D144:U144)</f>
        <v>6812923098.491641</v>
      </c>
      <c r="V148" s="26">
        <f>SUM($D144:V144)</f>
        <v>6980332877.1334953</v>
      </c>
      <c r="W148" s="26">
        <f>SUM($D144:W144)</f>
        <v>7135397422.5186138</v>
      </c>
    </row>
    <row r="149" spans="1:23" x14ac:dyDescent="0.45">
      <c r="B149" s="44" t="s">
        <v>92</v>
      </c>
      <c r="C149" s="140" t="b">
        <f t="shared" si="76"/>
        <v>1</v>
      </c>
      <c r="D149" s="26">
        <f>SUM($D145:D145)</f>
        <v>578124164.83218849</v>
      </c>
      <c r="E149" s="26">
        <f>SUM($D145:E145)</f>
        <v>1179251627.3155575</v>
      </c>
      <c r="F149" s="26">
        <f>SUM($D145:F145)</f>
        <v>1742670862.3776162</v>
      </c>
      <c r="G149" s="26">
        <f>SUM($D145:G145)</f>
        <v>2259241075.3346667</v>
      </c>
      <c r="H149" s="26">
        <f>SUM($D145:H145)</f>
        <v>2747097331.4141903</v>
      </c>
      <c r="I149" s="26">
        <f>SUM($D145:I145)</f>
        <v>3194102287.8320074</v>
      </c>
      <c r="J149" s="26">
        <f>SUM($D145:J145)</f>
        <v>3640932564.0290956</v>
      </c>
      <c r="K149" s="26">
        <f>SUM($D145:K145)</f>
        <v>4051703177.4051733</v>
      </c>
      <c r="L149" s="26">
        <f>SUM($D145:L145)</f>
        <v>4426103414.1701727</v>
      </c>
      <c r="M149" s="26">
        <f>SUM($D145:M145)</f>
        <v>4767952362.9326067</v>
      </c>
      <c r="N149" s="26">
        <f>SUM($D145:N145)</f>
        <v>5061301547.4518785</v>
      </c>
      <c r="O149" s="26">
        <f>SUM($D145:O145)</f>
        <v>5313105637.3434486</v>
      </c>
      <c r="P149" s="26">
        <f>SUM($D145:P145)</f>
        <v>5539196711.5213051</v>
      </c>
      <c r="Q149" s="26">
        <f>SUM($D145:Q145)</f>
        <v>5755348680.8196335</v>
      </c>
      <c r="R149" s="26">
        <f>SUM($D145:R145)</f>
        <v>5960475484.0299273</v>
      </c>
      <c r="S149" s="26">
        <f>SUM($D145:S145)</f>
        <v>6152888356.1515055</v>
      </c>
      <c r="T149" s="26">
        <f>SUM($D145:T145)</f>
        <v>6332637961.1564455</v>
      </c>
      <c r="U149" s="26">
        <f>SUM($D145:U145)</f>
        <v>6499590494.0907049</v>
      </c>
      <c r="V149" s="26">
        <f>SUM($D145:V145)</f>
        <v>6653905865.4604616</v>
      </c>
      <c r="W149" s="26">
        <f>SUM($D145:W145)</f>
        <v>6796834722.919632</v>
      </c>
    </row>
    <row r="152" spans="1:23" ht="18" x14ac:dyDescent="0.55000000000000004">
      <c r="A152" s="129" t="s">
        <v>94</v>
      </c>
    </row>
    <row r="153" spans="1:23" x14ac:dyDescent="0.45">
      <c r="B153" s="44"/>
    </row>
    <row r="154" spans="1:23" ht="15.75" x14ac:dyDescent="0.5">
      <c r="A154" s="57" t="s">
        <v>95</v>
      </c>
      <c r="B154" s="44"/>
      <c r="D154" s="47">
        <v>1</v>
      </c>
      <c r="E154" s="47">
        <v>2</v>
      </c>
      <c r="F154" s="47">
        <v>3</v>
      </c>
      <c r="G154" s="47">
        <v>4</v>
      </c>
      <c r="H154" s="47">
        <v>5</v>
      </c>
      <c r="I154" s="47">
        <v>6</v>
      </c>
      <c r="J154" s="47">
        <v>7</v>
      </c>
      <c r="K154" s="47">
        <v>8</v>
      </c>
      <c r="L154" s="47">
        <v>9</v>
      </c>
      <c r="M154" s="47">
        <v>10</v>
      </c>
      <c r="N154" s="47">
        <v>11</v>
      </c>
      <c r="O154" s="47">
        <v>12</v>
      </c>
      <c r="P154" s="47">
        <v>13</v>
      </c>
      <c r="Q154" s="47">
        <v>14</v>
      </c>
      <c r="R154" s="47">
        <v>15</v>
      </c>
      <c r="S154" s="47">
        <v>16</v>
      </c>
      <c r="T154" s="47">
        <v>17</v>
      </c>
      <c r="U154" s="47">
        <v>18</v>
      </c>
      <c r="V154" s="47">
        <v>19</v>
      </c>
      <c r="W154" s="47">
        <v>20</v>
      </c>
    </row>
    <row r="155" spans="1:23" x14ac:dyDescent="0.45">
      <c r="B155" s="44"/>
      <c r="D155" s="17" t="s">
        <v>5</v>
      </c>
      <c r="E155" s="17" t="s">
        <v>6</v>
      </c>
      <c r="F155" s="58" t="s">
        <v>7</v>
      </c>
      <c r="G155" s="58" t="s">
        <v>8</v>
      </c>
      <c r="H155" s="17" t="s">
        <v>9</v>
      </c>
      <c r="I155" s="17" t="s">
        <v>10</v>
      </c>
      <c r="J155" s="17" t="s">
        <v>11</v>
      </c>
      <c r="K155" s="17" t="s">
        <v>12</v>
      </c>
      <c r="L155" s="17" t="s">
        <v>13</v>
      </c>
      <c r="M155" s="59" t="s">
        <v>14</v>
      </c>
      <c r="N155" s="17" t="s">
        <v>49</v>
      </c>
      <c r="O155" s="17" t="s">
        <v>50</v>
      </c>
      <c r="P155" s="17" t="s">
        <v>51</v>
      </c>
      <c r="Q155" s="17" t="s">
        <v>52</v>
      </c>
      <c r="R155" s="17" t="s">
        <v>53</v>
      </c>
      <c r="S155" s="17" t="s">
        <v>54</v>
      </c>
      <c r="T155" s="17" t="s">
        <v>55</v>
      </c>
      <c r="U155" s="17" t="s">
        <v>56</v>
      </c>
      <c r="V155" s="17" t="s">
        <v>57</v>
      </c>
      <c r="W155" s="17" t="s">
        <v>58</v>
      </c>
    </row>
    <row r="157" spans="1:23" x14ac:dyDescent="0.45">
      <c r="B157" s="44" t="s">
        <v>87</v>
      </c>
      <c r="D157" s="142">
        <f t="shared" ref="D157:H159" si="77">D82</f>
        <v>596643619.53891969</v>
      </c>
      <c r="E157" s="142">
        <f t="shared" si="77"/>
        <v>564299150.64718771</v>
      </c>
      <c r="F157" s="142">
        <f t="shared" si="77"/>
        <v>532785384.68712056</v>
      </c>
      <c r="G157" s="142">
        <f t="shared" si="77"/>
        <v>501015168.40220582</v>
      </c>
      <c r="H157" s="142">
        <f t="shared" si="77"/>
        <v>473943412.67816126</v>
      </c>
      <c r="I157" s="144">
        <f>I143</f>
        <v>459870166.25095057</v>
      </c>
      <c r="J157" s="144">
        <f t="shared" ref="J157:W157" si="78">J143</f>
        <v>459051047.40094841</v>
      </c>
      <c r="K157" s="144">
        <f t="shared" si="78"/>
        <v>422104745.00895536</v>
      </c>
      <c r="L157" s="144">
        <f t="shared" si="78"/>
        <v>383225969.49944299</v>
      </c>
      <c r="M157" s="144">
        <f t="shared" si="78"/>
        <v>351432919.54808319</v>
      </c>
      <c r="N157" s="144">
        <f t="shared" si="78"/>
        <v>303015547.84071463</v>
      </c>
      <c r="O157" s="144">
        <f t="shared" si="78"/>
        <v>261378354.6957303</v>
      </c>
      <c r="P157" s="144">
        <f t="shared" si="78"/>
        <v>235450645.26795167</v>
      </c>
      <c r="Q157" s="144">
        <f t="shared" si="78"/>
        <v>225159265.89557067</v>
      </c>
      <c r="R157" s="144">
        <f t="shared" si="78"/>
        <v>213712101.30080238</v>
      </c>
      <c r="S157" s="144">
        <f t="shared" si="78"/>
        <v>200506045.79135653</v>
      </c>
      <c r="T157" s="144">
        <f t="shared" si="78"/>
        <v>187333066.77921289</v>
      </c>
      <c r="U157" s="144">
        <f t="shared" si="78"/>
        <v>174016965.65755641</v>
      </c>
      <c r="V157" s="144">
        <f t="shared" si="78"/>
        <v>160862575.00580558</v>
      </c>
      <c r="W157" s="144">
        <f t="shared" si="78"/>
        <v>148996701.42214435</v>
      </c>
    </row>
    <row r="158" spans="1:23" x14ac:dyDescent="0.45">
      <c r="B158" s="44" t="s">
        <v>88</v>
      </c>
      <c r="D158" s="142">
        <f t="shared" si="77"/>
        <v>597457833.33891976</v>
      </c>
      <c r="E158" s="142">
        <f t="shared" si="77"/>
        <v>566266438.19230008</v>
      </c>
      <c r="F158" s="142">
        <f t="shared" si="77"/>
        <v>535942241.95271939</v>
      </c>
      <c r="G158" s="142">
        <f t="shared" si="77"/>
        <v>505334630.80965245</v>
      </c>
      <c r="H158" s="142">
        <f t="shared" si="77"/>
        <v>479727075.26306903</v>
      </c>
      <c r="I158" s="144">
        <f t="shared" ref="I158:W158" si="79">I144</f>
        <v>472735376.08408421</v>
      </c>
      <c r="J158" s="144">
        <f t="shared" si="79"/>
        <v>471271818.60480869</v>
      </c>
      <c r="K158" s="144">
        <f t="shared" si="79"/>
        <v>433438876.64183319</v>
      </c>
      <c r="L158" s="144">
        <f t="shared" si="79"/>
        <v>392051702.23388666</v>
      </c>
      <c r="M158" s="144">
        <f t="shared" si="79"/>
        <v>361016890.33373207</v>
      </c>
      <c r="N158" s="144">
        <f t="shared" si="79"/>
        <v>312681911.16215742</v>
      </c>
      <c r="O158" s="144">
        <f t="shared" si="79"/>
        <v>270952619.49989074</v>
      </c>
      <c r="P158" s="144">
        <f t="shared" si="79"/>
        <v>244810216.35804707</v>
      </c>
      <c r="Q158" s="144">
        <f t="shared" si="79"/>
        <v>234166562.49281287</v>
      </c>
      <c r="R158" s="144">
        <f t="shared" si="79"/>
        <v>222297399.3913112</v>
      </c>
      <c r="S158" s="144">
        <f t="shared" si="79"/>
        <v>208599219.46113449</v>
      </c>
      <c r="T158" s="144">
        <f t="shared" si="79"/>
        <v>194916528.55348539</v>
      </c>
      <c r="U158" s="144">
        <f t="shared" si="79"/>
        <v>181081398.380853</v>
      </c>
      <c r="V158" s="144">
        <f t="shared" si="79"/>
        <v>167409778.64185432</v>
      </c>
      <c r="W158" s="144">
        <f t="shared" si="79"/>
        <v>155064545.38511816</v>
      </c>
    </row>
    <row r="159" spans="1:23" x14ac:dyDescent="0.45">
      <c r="B159" s="44" t="s">
        <v>89</v>
      </c>
      <c r="D159" s="142">
        <f t="shared" si="77"/>
        <v>595829405.73891973</v>
      </c>
      <c r="E159" s="142">
        <f t="shared" si="77"/>
        <v>562331863.10207534</v>
      </c>
      <c r="F159" s="142">
        <f t="shared" si="77"/>
        <v>529628527.42152178</v>
      </c>
      <c r="G159" s="142">
        <f t="shared" si="77"/>
        <v>496695705.99475926</v>
      </c>
      <c r="H159" s="142">
        <f t="shared" si="77"/>
        <v>468159750.09325343</v>
      </c>
      <c r="I159" s="144">
        <f t="shared" ref="I159:W159" si="80">I145</f>
        <v>447004956.41781688</v>
      </c>
      <c r="J159" s="144">
        <f t="shared" si="80"/>
        <v>446830276.19708818</v>
      </c>
      <c r="K159" s="144">
        <f t="shared" si="80"/>
        <v>410770613.37607741</v>
      </c>
      <c r="L159" s="144">
        <f t="shared" si="80"/>
        <v>374400236.76499933</v>
      </c>
      <c r="M159" s="144">
        <f t="shared" si="80"/>
        <v>341848948.76243418</v>
      </c>
      <c r="N159" s="144">
        <f t="shared" si="80"/>
        <v>293349184.51927191</v>
      </c>
      <c r="O159" s="144">
        <f t="shared" si="80"/>
        <v>251804089.89156982</v>
      </c>
      <c r="P159" s="144">
        <f t="shared" si="80"/>
        <v>226091074.1778563</v>
      </c>
      <c r="Q159" s="144">
        <f t="shared" si="80"/>
        <v>216151969.29832852</v>
      </c>
      <c r="R159" s="144">
        <f t="shared" si="80"/>
        <v>205126803.21029368</v>
      </c>
      <c r="S159" s="144">
        <f t="shared" si="80"/>
        <v>192412872.12157851</v>
      </c>
      <c r="T159" s="144">
        <f t="shared" si="80"/>
        <v>179749605.00494039</v>
      </c>
      <c r="U159" s="144">
        <f t="shared" si="80"/>
        <v>166952532.93425986</v>
      </c>
      <c r="V159" s="144">
        <f t="shared" si="80"/>
        <v>154315371.36975688</v>
      </c>
      <c r="W159" s="144">
        <f t="shared" si="80"/>
        <v>142928857.45917058</v>
      </c>
    </row>
    <row r="160" spans="1:23" x14ac:dyDescent="0.45">
      <c r="B160" s="44"/>
    </row>
    <row r="161" spans="2:23" x14ac:dyDescent="0.45">
      <c r="B161" s="44" t="s">
        <v>96</v>
      </c>
      <c r="D161" s="142">
        <f>SUM($D157:D157)</f>
        <v>596643619.53891969</v>
      </c>
      <c r="E161" s="142">
        <f>SUM($D157:E157)</f>
        <v>1160942770.1861074</v>
      </c>
      <c r="F161" s="142">
        <f>SUM($D157:F157)</f>
        <v>1693728154.8732281</v>
      </c>
      <c r="G161" s="142">
        <f>SUM($D157:G157)</f>
        <v>2194743323.275434</v>
      </c>
      <c r="H161" s="142">
        <f>SUM($D157:H157)</f>
        <v>2668686735.9535952</v>
      </c>
      <c r="I161" s="144">
        <f>SUM($D157:I157)</f>
        <v>3128556902.204546</v>
      </c>
      <c r="J161" s="144">
        <f>SUM($D157:J157)</f>
        <v>3587607949.6054945</v>
      </c>
      <c r="K161" s="144">
        <f>SUM($D157:K157)</f>
        <v>4009712694.61445</v>
      </c>
      <c r="L161" s="144">
        <f>SUM($D157:L157)</f>
        <v>4392938664.1138926</v>
      </c>
      <c r="M161" s="144">
        <f>SUM($D157:M157)</f>
        <v>4744371583.6619759</v>
      </c>
      <c r="N161" s="144">
        <f>SUM($D157:N157)</f>
        <v>5047387131.5026903</v>
      </c>
      <c r="O161" s="144">
        <f>SUM($D157:O157)</f>
        <v>5308765486.1984205</v>
      </c>
      <c r="P161" s="144">
        <f>SUM($D157:P157)</f>
        <v>5544216131.4663725</v>
      </c>
      <c r="Q161" s="144">
        <f>SUM($D157:Q157)</f>
        <v>5769375397.3619432</v>
      </c>
      <c r="R161" s="144">
        <f>SUM($D157:R157)</f>
        <v>5983087498.6627455</v>
      </c>
      <c r="S161" s="144">
        <f>SUM($D157:S157)</f>
        <v>6183593544.4541016</v>
      </c>
      <c r="T161" s="144">
        <f>SUM($D157:T157)</f>
        <v>6370926611.2333145</v>
      </c>
      <c r="U161" s="144">
        <f>SUM($D157:U157)</f>
        <v>6544943576.890871</v>
      </c>
      <c r="V161" s="144">
        <f>SUM($D157:V157)</f>
        <v>6705806151.896677</v>
      </c>
      <c r="W161" s="144">
        <f>SUM($D157:W157)</f>
        <v>6854802853.318821</v>
      </c>
    </row>
    <row r="162" spans="2:23" x14ac:dyDescent="0.45">
      <c r="B162" s="44" t="s">
        <v>97</v>
      </c>
      <c r="D162" s="142">
        <f>SUM($D158:D158)</f>
        <v>597457833.33891976</v>
      </c>
      <c r="E162" s="142">
        <f>SUM($D158:E158)</f>
        <v>1163724271.53122</v>
      </c>
      <c r="F162" s="142">
        <f>SUM($D158:F158)</f>
        <v>1699666513.4839394</v>
      </c>
      <c r="G162" s="142">
        <f>SUM($D158:G158)</f>
        <v>2205001144.293592</v>
      </c>
      <c r="H162" s="142">
        <f>SUM($D158:H158)</f>
        <v>2684728219.5566611</v>
      </c>
      <c r="I162" s="144">
        <f>SUM($D158:I158)</f>
        <v>3157463595.6407452</v>
      </c>
      <c r="J162" s="144">
        <f>SUM($D158:J158)</f>
        <v>3628735414.245554</v>
      </c>
      <c r="K162" s="144">
        <f>SUM($D158:K158)</f>
        <v>4062174290.8873873</v>
      </c>
      <c r="L162" s="144">
        <f>SUM($D158:L158)</f>
        <v>4454225993.121274</v>
      </c>
      <c r="M162" s="144">
        <f>SUM($D158:M158)</f>
        <v>4815242883.4550056</v>
      </c>
      <c r="N162" s="144">
        <f>SUM($D158:N158)</f>
        <v>5127924794.6171627</v>
      </c>
      <c r="O162" s="144">
        <f>SUM($D158:O158)</f>
        <v>5398877414.117053</v>
      </c>
      <c r="P162" s="144">
        <f>SUM($D158:P158)</f>
        <v>5643687630.4751005</v>
      </c>
      <c r="Q162" s="144">
        <f>SUM($D158:Q158)</f>
        <v>5877854192.9679136</v>
      </c>
      <c r="R162" s="144">
        <f>SUM($D158:R158)</f>
        <v>6100151592.3592253</v>
      </c>
      <c r="S162" s="144">
        <f>SUM($D158:S158)</f>
        <v>6308750811.8203602</v>
      </c>
      <c r="T162" s="144">
        <f>SUM($D158:T158)</f>
        <v>6503667340.3738461</v>
      </c>
      <c r="U162" s="144">
        <f>SUM($D158:U158)</f>
        <v>6684748738.7546988</v>
      </c>
      <c r="V162" s="144">
        <f>SUM($D158:V158)</f>
        <v>6852158517.396553</v>
      </c>
      <c r="W162" s="144">
        <f>SUM($D158:W158)</f>
        <v>7007223062.7816715</v>
      </c>
    </row>
    <row r="163" spans="2:23" x14ac:dyDescent="0.45">
      <c r="B163" s="44" t="s">
        <v>98</v>
      </c>
      <c r="D163" s="142">
        <f>SUM($D159:D159)</f>
        <v>595829405.73891973</v>
      </c>
      <c r="E163" s="142">
        <f>SUM($D159:E159)</f>
        <v>1158161268.8409951</v>
      </c>
      <c r="F163" s="142">
        <f>SUM($D159:F159)</f>
        <v>1687789796.262517</v>
      </c>
      <c r="G163" s="142">
        <f>SUM($D159:G159)</f>
        <v>2184485502.2572761</v>
      </c>
      <c r="H163" s="142">
        <f>SUM($D159:H159)</f>
        <v>2652645252.3505297</v>
      </c>
      <c r="I163" s="144">
        <f>SUM($D159:I159)</f>
        <v>3099650208.7683468</v>
      </c>
      <c r="J163" s="144">
        <f>SUM($D159:J159)</f>
        <v>3546480484.965435</v>
      </c>
      <c r="K163" s="144">
        <f>SUM($D159:K159)</f>
        <v>3957251098.3415127</v>
      </c>
      <c r="L163" s="144">
        <f>SUM($D159:L159)</f>
        <v>4331651335.1065121</v>
      </c>
      <c r="M163" s="144">
        <f>SUM($D159:M159)</f>
        <v>4673500283.8689461</v>
      </c>
      <c r="N163" s="144">
        <f>SUM($D159:N159)</f>
        <v>4966849468.3882179</v>
      </c>
      <c r="O163" s="144">
        <f>SUM($D159:O159)</f>
        <v>5218653558.279788</v>
      </c>
      <c r="P163" s="144">
        <f>SUM($D159:P159)</f>
        <v>5444744632.4576445</v>
      </c>
      <c r="Q163" s="144">
        <f>SUM($D159:Q159)</f>
        <v>5660896601.7559729</v>
      </c>
      <c r="R163" s="144">
        <f>SUM($D159:R159)</f>
        <v>5866023404.9662666</v>
      </c>
      <c r="S163" s="144">
        <f>SUM($D159:S159)</f>
        <v>6058436277.0878448</v>
      </c>
      <c r="T163" s="144">
        <f>SUM($D159:T159)</f>
        <v>6238185882.0927849</v>
      </c>
      <c r="U163" s="144">
        <f>SUM($D159:U159)</f>
        <v>6405138415.0270443</v>
      </c>
      <c r="V163" s="144">
        <f>SUM($D159:V159)</f>
        <v>6559453786.396801</v>
      </c>
      <c r="W163" s="144">
        <f>SUM($D159:W159)</f>
        <v>6702382643.8559713</v>
      </c>
    </row>
    <row r="164" spans="2:23" x14ac:dyDescent="0.45">
      <c r="B164" s="44"/>
    </row>
    <row r="165" spans="2:23" x14ac:dyDescent="0.45">
      <c r="B165" s="44" t="s">
        <v>99</v>
      </c>
      <c r="D165" s="142">
        <f t="shared" ref="D165:H167" si="81">D64</f>
        <v>737546996.2547313</v>
      </c>
      <c r="E165" s="142">
        <f t="shared" si="81"/>
        <v>673905997.45552802</v>
      </c>
      <c r="F165" s="142">
        <f t="shared" si="81"/>
        <v>618325935.21049726</v>
      </c>
      <c r="G165" s="142">
        <f t="shared" si="81"/>
        <v>564083866.68835545</v>
      </c>
      <c r="H165" s="142">
        <f t="shared" si="81"/>
        <v>516119559.66955644</v>
      </c>
      <c r="I165" s="145">
        <f>I125</f>
        <v>396672365.29544884</v>
      </c>
      <c r="J165" s="145">
        <f t="shared" ref="J165:W165" si="82">J125</f>
        <v>372434263.75066119</v>
      </c>
      <c r="K165" s="145">
        <f t="shared" si="82"/>
        <v>331225796.70683151</v>
      </c>
      <c r="L165" s="145">
        <f t="shared" si="82"/>
        <v>292303623.28390032</v>
      </c>
      <c r="M165" s="145">
        <f t="shared" si="82"/>
        <v>257885327.55348989</v>
      </c>
      <c r="N165" s="145">
        <f t="shared" si="82"/>
        <v>221954132.19130668</v>
      </c>
      <c r="O165" s="145">
        <f t="shared" si="82"/>
        <v>189614614.29215255</v>
      </c>
      <c r="P165" s="145">
        <f t="shared" si="82"/>
        <v>170039166.64205593</v>
      </c>
      <c r="Q165" s="145">
        <f t="shared" si="82"/>
        <v>163639251.45177504</v>
      </c>
      <c r="R165" s="145">
        <f t="shared" si="82"/>
        <v>155972631.50536782</v>
      </c>
      <c r="S165" s="145">
        <f t="shared" si="82"/>
        <v>147032005.31857404</v>
      </c>
      <c r="T165" s="145">
        <f t="shared" si="82"/>
        <v>137771860.26438332</v>
      </c>
      <c r="U165" s="145">
        <f t="shared" si="82"/>
        <v>128342446.62550838</v>
      </c>
      <c r="V165" s="145">
        <f t="shared" si="82"/>
        <v>118945733.66590211</v>
      </c>
      <c r="W165" s="145">
        <f t="shared" si="82"/>
        <v>110237009.88498805</v>
      </c>
    </row>
    <row r="166" spans="2:23" x14ac:dyDescent="0.45">
      <c r="B166" s="44" t="s">
        <v>100</v>
      </c>
      <c r="D166" s="142">
        <f t="shared" si="81"/>
        <v>816445440.01888168</v>
      </c>
      <c r="E166" s="142">
        <f t="shared" si="81"/>
        <v>745996501.12860513</v>
      </c>
      <c r="F166" s="142">
        <f t="shared" si="81"/>
        <v>684470810.41824865</v>
      </c>
      <c r="G166" s="142">
        <f t="shared" si="81"/>
        <v>624426244.1370796</v>
      </c>
      <c r="H166" s="142">
        <f t="shared" si="81"/>
        <v>571330997.3961668</v>
      </c>
      <c r="I166" s="145">
        <f t="shared" ref="I166:W166" si="83">I126</f>
        <v>426362356.29801655</v>
      </c>
      <c r="J166" s="145">
        <f t="shared" si="83"/>
        <v>400310090.01743215</v>
      </c>
      <c r="K166" s="145">
        <f t="shared" si="83"/>
        <v>356017266.40429717</v>
      </c>
      <c r="L166" s="145">
        <f t="shared" si="83"/>
        <v>314181860.09743041</v>
      </c>
      <c r="M166" s="145">
        <f t="shared" si="83"/>
        <v>277187436.10611004</v>
      </c>
      <c r="N166" s="145">
        <f t="shared" si="83"/>
        <v>238566875.51370677</v>
      </c>
      <c r="O166" s="145">
        <f t="shared" si="83"/>
        <v>203806820.9715775</v>
      </c>
      <c r="P166" s="145">
        <f t="shared" si="83"/>
        <v>182766197.23297334</v>
      </c>
      <c r="Q166" s="145">
        <f t="shared" si="83"/>
        <v>175887263.4847067</v>
      </c>
      <c r="R166" s="145">
        <f t="shared" si="83"/>
        <v>167646815.11680254</v>
      </c>
      <c r="S166" s="145">
        <f t="shared" si="83"/>
        <v>158037004.14612415</v>
      </c>
      <c r="T166" s="145">
        <f t="shared" si="83"/>
        <v>148083759.0743998</v>
      </c>
      <c r="U166" s="145">
        <f t="shared" si="83"/>
        <v>137948576.06364244</v>
      </c>
      <c r="V166" s="145">
        <f t="shared" si="83"/>
        <v>127848541.30087341</v>
      </c>
      <c r="W166" s="145">
        <f t="shared" si="83"/>
        <v>118487990.08422004</v>
      </c>
    </row>
    <row r="167" spans="2:23" x14ac:dyDescent="0.45">
      <c r="B167" s="44" t="s">
        <v>101</v>
      </c>
      <c r="D167" s="142">
        <f t="shared" si="81"/>
        <v>677428719.87508786</v>
      </c>
      <c r="E167" s="142">
        <f t="shared" si="81"/>
        <v>618975169.70534885</v>
      </c>
      <c r="F167" s="142">
        <f t="shared" si="81"/>
        <v>567925500.18134058</v>
      </c>
      <c r="G167" s="142">
        <f t="shared" si="81"/>
        <v>518104763.02299905</v>
      </c>
      <c r="H167" s="142">
        <f t="shared" si="81"/>
        <v>474050080.04220289</v>
      </c>
      <c r="I167" s="145">
        <f t="shared" ref="I167:W167" si="84">I127</f>
        <v>370974109.84011942</v>
      </c>
      <c r="J167" s="145">
        <f t="shared" si="84"/>
        <v>348306263.6994012</v>
      </c>
      <c r="K167" s="145">
        <f t="shared" si="84"/>
        <v>309767470.18381464</v>
      </c>
      <c r="L167" s="145">
        <f t="shared" si="84"/>
        <v>273366853.70058644</v>
      </c>
      <c r="M167" s="145">
        <f t="shared" si="84"/>
        <v>241178333.05258784</v>
      </c>
      <c r="N167" s="145">
        <f t="shared" si="84"/>
        <v>207574925.350997</v>
      </c>
      <c r="O167" s="145">
        <f t="shared" si="84"/>
        <v>177330509.77049232</v>
      </c>
      <c r="P167" s="145">
        <f t="shared" si="84"/>
        <v>159023249.41645277</v>
      </c>
      <c r="Q167" s="145">
        <f t="shared" si="84"/>
        <v>153037950.09014764</v>
      </c>
      <c r="R167" s="145">
        <f t="shared" si="84"/>
        <v>145868008.95249727</v>
      </c>
      <c r="S167" s="145">
        <f t="shared" si="84"/>
        <v>137506597.54288539</v>
      </c>
      <c r="T167" s="145">
        <f t="shared" si="84"/>
        <v>128846367.16381645</v>
      </c>
      <c r="U167" s="145">
        <f t="shared" si="84"/>
        <v>120027834.19545482</v>
      </c>
      <c r="V167" s="145">
        <f t="shared" si="84"/>
        <v>111239883.40635292</v>
      </c>
      <c r="W167" s="145">
        <f t="shared" si="84"/>
        <v>103095350.70097584</v>
      </c>
    </row>
    <row r="168" spans="2:23" x14ac:dyDescent="0.45">
      <c r="B168" s="44"/>
    </row>
    <row r="169" spans="2:23" x14ac:dyDescent="0.45">
      <c r="B169" s="44" t="s">
        <v>102</v>
      </c>
      <c r="D169" s="143">
        <f>SUM($D165:$W165)</f>
        <v>6304052583.7110138</v>
      </c>
      <c r="E169" s="143">
        <f t="shared" ref="E169:W169" si="85">SUM($D165:$W165)</f>
        <v>6304052583.7110138</v>
      </c>
      <c r="F169" s="143">
        <f t="shared" si="85"/>
        <v>6304052583.7110138</v>
      </c>
      <c r="G169" s="143">
        <f t="shared" si="85"/>
        <v>6304052583.7110138</v>
      </c>
      <c r="H169" s="143">
        <f t="shared" si="85"/>
        <v>6304052583.7110138</v>
      </c>
      <c r="I169" s="145">
        <f t="shared" si="85"/>
        <v>6304052583.7110138</v>
      </c>
      <c r="J169" s="145">
        <f t="shared" si="85"/>
        <v>6304052583.7110138</v>
      </c>
      <c r="K169" s="145">
        <f t="shared" si="85"/>
        <v>6304052583.7110138</v>
      </c>
      <c r="L169" s="145">
        <f t="shared" si="85"/>
        <v>6304052583.7110138</v>
      </c>
      <c r="M169" s="145">
        <f t="shared" si="85"/>
        <v>6304052583.7110138</v>
      </c>
      <c r="N169" s="145">
        <f t="shared" si="85"/>
        <v>6304052583.7110138</v>
      </c>
      <c r="O169" s="145">
        <f t="shared" si="85"/>
        <v>6304052583.7110138</v>
      </c>
      <c r="P169" s="145">
        <f t="shared" si="85"/>
        <v>6304052583.7110138</v>
      </c>
      <c r="Q169" s="145">
        <f t="shared" si="85"/>
        <v>6304052583.7110138</v>
      </c>
      <c r="R169" s="145">
        <f t="shared" si="85"/>
        <v>6304052583.7110138</v>
      </c>
      <c r="S169" s="145">
        <f t="shared" si="85"/>
        <v>6304052583.7110138</v>
      </c>
      <c r="T169" s="145">
        <f t="shared" si="85"/>
        <v>6304052583.7110138</v>
      </c>
      <c r="U169" s="145">
        <f t="shared" si="85"/>
        <v>6304052583.7110138</v>
      </c>
      <c r="V169" s="145">
        <f t="shared" si="85"/>
        <v>6304052583.7110138</v>
      </c>
      <c r="W169" s="145">
        <f t="shared" si="85"/>
        <v>6304052583.7110138</v>
      </c>
    </row>
    <row r="170" spans="2:23" x14ac:dyDescent="0.45">
      <c r="B170" s="44" t="s">
        <v>103</v>
      </c>
      <c r="D170" s="143">
        <f t="shared" ref="D170:W170" si="86">SUM($D166:$W166)</f>
        <v>6875808845.0112944</v>
      </c>
      <c r="E170" s="143">
        <f t="shared" si="86"/>
        <v>6875808845.0112944</v>
      </c>
      <c r="F170" s="143">
        <f t="shared" si="86"/>
        <v>6875808845.0112944</v>
      </c>
      <c r="G170" s="143">
        <f t="shared" si="86"/>
        <v>6875808845.0112944</v>
      </c>
      <c r="H170" s="143">
        <f t="shared" si="86"/>
        <v>6875808845.0112944</v>
      </c>
      <c r="I170" s="145">
        <f t="shared" si="86"/>
        <v>6875808845.0112944</v>
      </c>
      <c r="J170" s="145">
        <f t="shared" si="86"/>
        <v>6875808845.0112944</v>
      </c>
      <c r="K170" s="145">
        <f t="shared" si="86"/>
        <v>6875808845.0112944</v>
      </c>
      <c r="L170" s="145">
        <f t="shared" si="86"/>
        <v>6875808845.0112944</v>
      </c>
      <c r="M170" s="145">
        <f t="shared" si="86"/>
        <v>6875808845.0112944</v>
      </c>
      <c r="N170" s="145">
        <f t="shared" si="86"/>
        <v>6875808845.0112944</v>
      </c>
      <c r="O170" s="145">
        <f t="shared" si="86"/>
        <v>6875808845.0112944</v>
      </c>
      <c r="P170" s="145">
        <f t="shared" si="86"/>
        <v>6875808845.0112944</v>
      </c>
      <c r="Q170" s="145">
        <f t="shared" si="86"/>
        <v>6875808845.0112944</v>
      </c>
      <c r="R170" s="145">
        <f t="shared" si="86"/>
        <v>6875808845.0112944</v>
      </c>
      <c r="S170" s="145">
        <f t="shared" si="86"/>
        <v>6875808845.0112944</v>
      </c>
      <c r="T170" s="145">
        <f t="shared" si="86"/>
        <v>6875808845.0112944</v>
      </c>
      <c r="U170" s="145">
        <f t="shared" si="86"/>
        <v>6875808845.0112944</v>
      </c>
      <c r="V170" s="145">
        <f t="shared" si="86"/>
        <v>6875808845.0112944</v>
      </c>
      <c r="W170" s="145">
        <f t="shared" si="86"/>
        <v>6875808845.0112944</v>
      </c>
    </row>
    <row r="171" spans="2:23" x14ac:dyDescent="0.45">
      <c r="B171" s="44" t="s">
        <v>104</v>
      </c>
      <c r="D171" s="143">
        <f t="shared" ref="D171:W171" si="87">SUM($D167:$W167)</f>
        <v>5843627939.8935614</v>
      </c>
      <c r="E171" s="143">
        <f t="shared" si="87"/>
        <v>5843627939.8935614</v>
      </c>
      <c r="F171" s="143">
        <f t="shared" si="87"/>
        <v>5843627939.8935614</v>
      </c>
      <c r="G171" s="143">
        <f t="shared" si="87"/>
        <v>5843627939.8935614</v>
      </c>
      <c r="H171" s="143">
        <f t="shared" si="87"/>
        <v>5843627939.8935614</v>
      </c>
      <c r="I171" s="145">
        <f t="shared" si="87"/>
        <v>5843627939.8935614</v>
      </c>
      <c r="J171" s="145">
        <f t="shared" si="87"/>
        <v>5843627939.8935614</v>
      </c>
      <c r="K171" s="145">
        <f t="shared" si="87"/>
        <v>5843627939.8935614</v>
      </c>
      <c r="L171" s="145">
        <f t="shared" si="87"/>
        <v>5843627939.8935614</v>
      </c>
      <c r="M171" s="145">
        <f t="shared" si="87"/>
        <v>5843627939.8935614</v>
      </c>
      <c r="N171" s="145">
        <f t="shared" si="87"/>
        <v>5843627939.8935614</v>
      </c>
      <c r="O171" s="145">
        <f t="shared" si="87"/>
        <v>5843627939.8935614</v>
      </c>
      <c r="P171" s="145">
        <f t="shared" si="87"/>
        <v>5843627939.8935614</v>
      </c>
      <c r="Q171" s="145">
        <f t="shared" si="87"/>
        <v>5843627939.8935614</v>
      </c>
      <c r="R171" s="145">
        <f t="shared" si="87"/>
        <v>5843627939.8935614</v>
      </c>
      <c r="S171" s="145">
        <f t="shared" si="87"/>
        <v>5843627939.8935614</v>
      </c>
      <c r="T171" s="145">
        <f t="shared" si="87"/>
        <v>5843627939.8935614</v>
      </c>
      <c r="U171" s="145">
        <f t="shared" si="87"/>
        <v>5843627939.8935614</v>
      </c>
      <c r="V171" s="145">
        <f t="shared" si="87"/>
        <v>5843627939.8935614</v>
      </c>
      <c r="W171" s="145">
        <f t="shared" si="87"/>
        <v>5843627939.8935614</v>
      </c>
    </row>
  </sheetData>
  <mergeCells count="2">
    <mergeCell ref="D11:G11"/>
    <mergeCell ref="D17:G17"/>
  </mergeCells>
  <phoneticPr fontId="63" type="noConversion"/>
  <dataValidations disablePrompts="1" count="1">
    <dataValidation type="list" allowBlank="1" showInputMessage="1" showErrorMessage="1" sqref="B17:C17 B11 C10:C11" xr:uid="{7C57DB7F-DA5E-4E6F-A849-ED0F83198240}">
      <formula1>$D$135:$E$135</formula1>
    </dataValidation>
  </dataValidations>
  <pageMargins left="0.7" right="0.7" top="0.75" bottom="0.75" header="0.3" footer="0.3"/>
  <pageSetup paperSize="9" orientation="portrait" r:id="rId1"/>
  <headerFooter>
    <oddHeader>&amp;L&amp;"Calibri"&amp;12&amp;K000000 Classification: CONFIDENTIAL&amp;1#_x000D_</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3F47D-BB91-4073-B07B-83DBB0E515B0}">
  <dimension ref="A1:W388"/>
  <sheetViews>
    <sheetView topLeftCell="A80" zoomScaleNormal="70" workbookViewId="0">
      <selection activeCell="C93" sqref="C93"/>
    </sheetView>
  </sheetViews>
  <sheetFormatPr defaultRowHeight="14.25" x14ac:dyDescent="0.45"/>
  <cols>
    <col min="1" max="1" width="5.86328125" customWidth="1"/>
    <col min="2" max="2" width="37.86328125" customWidth="1"/>
    <col min="3" max="7" width="15.86328125" customWidth="1"/>
    <col min="8" max="9" width="16.265625" customWidth="1"/>
    <col min="10" max="23" width="17.73046875" customWidth="1"/>
  </cols>
  <sheetData>
    <row r="1" spans="1:23" ht="25.5" x14ac:dyDescent="0.75">
      <c r="A1" s="7" t="s">
        <v>39</v>
      </c>
    </row>
    <row r="2" spans="1:23" x14ac:dyDescent="0.45">
      <c r="A2" s="1" t="s">
        <v>40</v>
      </c>
    </row>
    <row r="3" spans="1:23" x14ac:dyDescent="0.45">
      <c r="A3" s="1" t="s">
        <v>41</v>
      </c>
      <c r="K3" s="53"/>
      <c r="O3" s="44"/>
      <c r="S3" s="12"/>
    </row>
    <row r="4" spans="1:23" x14ac:dyDescent="0.45">
      <c r="O4" s="44"/>
      <c r="S4" s="12"/>
    </row>
    <row r="5" spans="1:23" ht="21" x14ac:dyDescent="0.65">
      <c r="A5" s="40" t="s">
        <v>42</v>
      </c>
      <c r="B5" s="44"/>
      <c r="J5" s="28"/>
      <c r="O5" s="44"/>
      <c r="S5" s="12"/>
    </row>
    <row r="6" spans="1:23" ht="16.5" customHeight="1" x14ac:dyDescent="0.65">
      <c r="A6" s="40"/>
      <c r="B6" s="44"/>
      <c r="J6" s="28"/>
      <c r="O6" s="44"/>
      <c r="S6" s="12"/>
    </row>
    <row r="7" spans="1:23" ht="15.75" x14ac:dyDescent="0.5">
      <c r="A7" s="57" t="str">
        <f>"20-year cost and revenue forecasts for "&amp;ROUND($C$62*MAX($C$36:$V$36)/million,1)&amp;"m FTTP rollout (PV, £m)"</f>
        <v>20-year cost and revenue forecasts for 3.3m FTTP rollout (PV, £m)</v>
      </c>
      <c r="E7" s="12"/>
      <c r="F7" s="94"/>
      <c r="J7" s="28"/>
      <c r="O7" s="44"/>
    </row>
    <row r="8" spans="1:23" x14ac:dyDescent="0.45">
      <c r="J8" s="28"/>
      <c r="O8" s="44"/>
      <c r="S8" s="12"/>
      <c r="U8" s="81"/>
      <c r="V8" s="81"/>
      <c r="W8" s="81"/>
    </row>
    <row r="9" spans="1:23" ht="15.75" x14ac:dyDescent="0.45">
      <c r="B9" s="83" t="s">
        <v>37</v>
      </c>
      <c r="J9" s="28"/>
      <c r="O9" s="44"/>
      <c r="S9" s="12"/>
      <c r="U9" s="81"/>
      <c r="V9" s="81"/>
      <c r="W9" s="81"/>
    </row>
    <row r="10" spans="1:23" ht="18" x14ac:dyDescent="0.55000000000000004">
      <c r="A10" s="56"/>
      <c r="B10" s="84" t="s">
        <v>38</v>
      </c>
      <c r="J10" s="28"/>
      <c r="O10" s="44"/>
      <c r="S10" s="12"/>
    </row>
    <row r="11" spans="1:23" ht="18" x14ac:dyDescent="0.55000000000000004">
      <c r="A11" s="56"/>
      <c r="J11" s="28"/>
      <c r="O11" s="44"/>
      <c r="S11" s="12"/>
    </row>
    <row r="12" spans="1:23" ht="28.5" x14ac:dyDescent="0.45">
      <c r="B12" s="42" t="s">
        <v>17</v>
      </c>
      <c r="D12" s="53" t="s">
        <v>105</v>
      </c>
      <c r="E12" s="53" t="s">
        <v>106</v>
      </c>
      <c r="F12" s="53" t="s">
        <v>107</v>
      </c>
      <c r="G12" s="53" t="s">
        <v>108</v>
      </c>
      <c r="H12" s="53" t="s">
        <v>109</v>
      </c>
      <c r="I12" s="53" t="s">
        <v>110</v>
      </c>
      <c r="T12" s="12"/>
    </row>
    <row r="13" spans="1:23" x14ac:dyDescent="0.45">
      <c r="B13" s="44" t="s">
        <v>23</v>
      </c>
      <c r="D13" s="26">
        <f>SUM(C153:V153)/million</f>
        <v>1563.214856847487</v>
      </c>
      <c r="E13" s="26">
        <f>SUM(C152:V152)/million</f>
        <v>1103.6958485787875</v>
      </c>
      <c r="F13" s="26">
        <f>SUM(C154:V154)/million</f>
        <v>826.6651348033987</v>
      </c>
      <c r="G13" s="91">
        <f>(C157/million)</f>
        <v>3493.5758402296728</v>
      </c>
      <c r="H13" s="91">
        <f>(C189/million)</f>
        <v>2807.1362948255332</v>
      </c>
      <c r="I13" s="91">
        <f>SUM(G13:H13)</f>
        <v>6300.7121350552061</v>
      </c>
      <c r="J13" s="41" t="b">
        <f>I13=C221/million</f>
        <v>1</v>
      </c>
      <c r="T13" s="12"/>
    </row>
    <row r="14" spans="1:23" x14ac:dyDescent="0.45">
      <c r="B14" s="44" t="s">
        <v>24</v>
      </c>
      <c r="D14" s="26">
        <f>SUM(C163:V163)/million</f>
        <v>1932.2249390463908</v>
      </c>
      <c r="E14" s="26">
        <f>SUM(C162:V162)/million</f>
        <v>1103.6958485787875</v>
      </c>
      <c r="F14" s="26">
        <f>SUM(C164:V164)/million</f>
        <v>860.20327170805263</v>
      </c>
      <c r="G14" s="91">
        <f>(C167/million)</f>
        <v>3896.1240593332313</v>
      </c>
      <c r="H14" s="91">
        <f>(C199/million)</f>
        <v>2876.1815189915264</v>
      </c>
      <c r="I14" s="91">
        <f>SUM(G14:H14)</f>
        <v>6772.3055783247582</v>
      </c>
      <c r="J14" s="41" t="b">
        <f>I14=C222/million</f>
        <v>1</v>
      </c>
      <c r="T14" s="12"/>
    </row>
    <row r="15" spans="1:23" x14ac:dyDescent="0.45">
      <c r="B15" s="44" t="s">
        <v>25</v>
      </c>
      <c r="D15" s="26">
        <f>SUM(C173:V173)/million</f>
        <v>1239.6393859056152</v>
      </c>
      <c r="E15" s="26">
        <f>SUM(C172:V172)/million</f>
        <v>1103.6958485787875</v>
      </c>
      <c r="F15" s="26">
        <f>SUM(C174:V174)/million</f>
        <v>802.64336878660663</v>
      </c>
      <c r="G15" s="91">
        <f>(C177/million)</f>
        <v>3145.9786032710099</v>
      </c>
      <c r="H15" s="91">
        <f>(C209/million)</f>
        <v>2746.5444967942149</v>
      </c>
      <c r="I15" s="104">
        <f>SUM(G15:H15)</f>
        <v>5892.5231000652248</v>
      </c>
      <c r="J15" s="41" t="b">
        <f>I15=C223/million</f>
        <v>1</v>
      </c>
    </row>
    <row r="16" spans="1:23" x14ac:dyDescent="0.45">
      <c r="R16" s="92"/>
      <c r="T16" s="12"/>
    </row>
    <row r="17" spans="1:20" ht="28.5" x14ac:dyDescent="0.45">
      <c r="B17" s="42" t="s">
        <v>27</v>
      </c>
      <c r="C17" s="53" t="s">
        <v>111</v>
      </c>
      <c r="D17" s="53" t="s">
        <v>112</v>
      </c>
      <c r="E17" s="53" t="s">
        <v>113</v>
      </c>
      <c r="F17" s="53" t="s">
        <v>114</v>
      </c>
      <c r="G17" s="53" t="s">
        <v>115</v>
      </c>
      <c r="H17" s="53" t="s">
        <v>116</v>
      </c>
      <c r="I17" s="53" t="s">
        <v>117</v>
      </c>
      <c r="R17" s="92"/>
      <c r="S17" s="12"/>
      <c r="T17" s="12"/>
    </row>
    <row r="18" spans="1:20" x14ac:dyDescent="0.45">
      <c r="B18" s="44" t="s">
        <v>29</v>
      </c>
      <c r="C18" s="91">
        <f>SUM($C$306:$G$306)/million</f>
        <v>2476.7215329599885</v>
      </c>
      <c r="D18" s="91">
        <f>SUM($C$238:$G$238)/million</f>
        <v>303.27842239390884</v>
      </c>
      <c r="E18" s="92">
        <f>IF($B$10="5-yr indexation",AVERAGE(C233:V233),AVERAGE(C242:V242))</f>
        <v>18.902932274644119</v>
      </c>
      <c r="F18" s="92">
        <f>IF($B$10="5-yr indexation",AVERAGE(C295:V295),AVERAGE(C311:V311))</f>
        <v>16.19750707397349</v>
      </c>
      <c r="G18" s="91">
        <f>(IF($B$10="5-yr indexation",C239/million,C248/million))</f>
        <v>3364.0408477462438</v>
      </c>
      <c r="H18" s="91">
        <f>(IF($B$10="5-yr indexation",$C$307/million,$C$323/million))</f>
        <v>3602.0752249728789</v>
      </c>
      <c r="I18" s="104">
        <f>SUM(G18:H18)</f>
        <v>6966.1160727191227</v>
      </c>
      <c r="J18" s="41" t="b">
        <f>IF($B$10="5-yr indexation",I18=(C239+$C$307)/million,I18=(C248+$C$323)/million)</f>
        <v>1</v>
      </c>
      <c r="T18" s="12"/>
    </row>
    <row r="19" spans="1:20" x14ac:dyDescent="0.45">
      <c r="B19" s="44" t="s">
        <v>30</v>
      </c>
      <c r="C19" s="91">
        <f>SUM($C$306:$G$306)/million</f>
        <v>2476.7215329599885</v>
      </c>
      <c r="D19" s="91">
        <f>SUM($C$278:$G$278)/million</f>
        <v>336.18104633361611</v>
      </c>
      <c r="E19" s="92">
        <f>IF($B$10="5-yr indexation",AVERAGE(C273:V273),AVERAGE(C282:V282))</f>
        <v>20.255644874979431</v>
      </c>
      <c r="F19" s="92">
        <f>F18</f>
        <v>16.19750707397349</v>
      </c>
      <c r="G19" s="91">
        <f>(IF($B$10="5-yr indexation",C279/million,C288/million))</f>
        <v>3533.322197545735</v>
      </c>
      <c r="H19" s="91">
        <f>H18</f>
        <v>3602.0752249728789</v>
      </c>
      <c r="I19" s="91">
        <f>SUM(G19:H19)</f>
        <v>7135.3974225186139</v>
      </c>
      <c r="J19" s="41" t="b">
        <f>IF($B$10="5-yr indexation",I19=(C279+$C$307)/million,I19=(C288+$C$323)/million)</f>
        <v>1</v>
      </c>
      <c r="O19" s="26"/>
      <c r="P19" s="26"/>
    </row>
    <row r="20" spans="1:20" x14ac:dyDescent="0.45">
      <c r="B20" s="44" t="s">
        <v>31</v>
      </c>
      <c r="C20" s="91" cm="1">
        <f t="array" ref="C20">SUM($C$306:$G$306/million)</f>
        <v>2476.7215329599885</v>
      </c>
      <c r="D20" s="91">
        <f>SUM($C$258:$G$258)/million</f>
        <v>270.37579845420163</v>
      </c>
      <c r="E20" s="92">
        <f>IF($B$10="5-yr indexation",AVERAGE(C253:V253),AVERAGE(C262:V262))</f>
        <v>17.550219674308803</v>
      </c>
      <c r="F20" s="92">
        <f>F18</f>
        <v>16.19750707397349</v>
      </c>
      <c r="G20" s="91">
        <f>(IF($B$10="5-yr indexation",C259/million,C268/million))</f>
        <v>3194.7594979467535</v>
      </c>
      <c r="H20" s="91">
        <f>H19</f>
        <v>3602.0752249728789</v>
      </c>
      <c r="I20" s="91">
        <f>SUM(G20:H20)</f>
        <v>6796.8347229196324</v>
      </c>
      <c r="J20" s="41" t="b">
        <f>IF($B$10="5-yr indexation",I20=(C259+$C$307)/million,I20=(C268+$C$323)/million)</f>
        <v>1</v>
      </c>
      <c r="O20" s="26"/>
      <c r="P20" s="26"/>
      <c r="T20" s="12"/>
    </row>
    <row r="21" spans="1:20" x14ac:dyDescent="0.45">
      <c r="E21" s="85"/>
      <c r="F21" s="85"/>
      <c r="O21" s="26"/>
      <c r="P21" s="26"/>
      <c r="T21" s="12"/>
    </row>
    <row r="22" spans="1:20" ht="32.25" customHeight="1" x14ac:dyDescent="0.45">
      <c r="B22" s="42" t="s">
        <v>32</v>
      </c>
      <c r="E22" s="5"/>
      <c r="F22" s="5"/>
      <c r="G22" s="53" t="s">
        <v>118</v>
      </c>
      <c r="H22" s="53" t="s">
        <v>119</v>
      </c>
      <c r="I22" s="53" t="s">
        <v>33</v>
      </c>
      <c r="O22" s="26"/>
      <c r="P22" s="26"/>
      <c r="T22" s="12"/>
    </row>
    <row r="23" spans="1:20" x14ac:dyDescent="0.45">
      <c r="B23" s="44" t="s">
        <v>34</v>
      </c>
      <c r="E23" s="5"/>
      <c r="F23" s="5"/>
      <c r="G23" s="91">
        <f>G18-G13</f>
        <v>-129.53499248342905</v>
      </c>
      <c r="H23" s="91">
        <f>H18-H13</f>
        <v>794.93893014734567</v>
      </c>
      <c r="I23" s="91">
        <f>I18-I13</f>
        <v>665.40393766391662</v>
      </c>
      <c r="O23" s="26"/>
      <c r="P23" s="26"/>
      <c r="T23" s="12"/>
    </row>
    <row r="24" spans="1:20" x14ac:dyDescent="0.45">
      <c r="B24" s="44" t="s">
        <v>35</v>
      </c>
      <c r="E24" s="5"/>
      <c r="F24" s="5"/>
      <c r="G24" s="91">
        <f>G20-G14</f>
        <v>-701.36456138647782</v>
      </c>
      <c r="H24" s="91">
        <f>H20-H14</f>
        <v>725.89370598135247</v>
      </c>
      <c r="I24" s="91">
        <f>I20-I14</f>
        <v>24.529144594874197</v>
      </c>
      <c r="O24" s="26"/>
      <c r="P24" s="26"/>
      <c r="T24" s="12"/>
    </row>
    <row r="25" spans="1:20" x14ac:dyDescent="0.45">
      <c r="B25" s="44" t="s">
        <v>36</v>
      </c>
      <c r="E25" s="5"/>
      <c r="F25" s="5"/>
      <c r="G25" s="91">
        <f>G19-G15</f>
        <v>387.34359427472509</v>
      </c>
      <c r="H25" s="91">
        <f>H19-H15</f>
        <v>855.53072817866405</v>
      </c>
      <c r="I25" s="91">
        <f>I19-I15</f>
        <v>1242.8743224533891</v>
      </c>
      <c r="O25" s="26"/>
      <c r="P25" s="26"/>
      <c r="T25" s="12"/>
    </row>
    <row r="26" spans="1:20" x14ac:dyDescent="0.45">
      <c r="O26" s="26"/>
      <c r="P26" s="26"/>
      <c r="T26" s="12"/>
    </row>
    <row r="27" spans="1:20" x14ac:dyDescent="0.45">
      <c r="E27" s="12"/>
      <c r="F27" s="5"/>
    </row>
    <row r="28" spans="1:20" x14ac:dyDescent="0.45">
      <c r="B28" s="44"/>
      <c r="F28" s="5"/>
    </row>
    <row r="29" spans="1:20" ht="21" x14ac:dyDescent="0.65">
      <c r="A29" s="40" t="s">
        <v>120</v>
      </c>
      <c r="F29" s="5"/>
    </row>
    <row r="31" spans="1:20" ht="15.75" x14ac:dyDescent="0.5">
      <c r="A31" s="57" t="s">
        <v>121</v>
      </c>
      <c r="C31" s="43" t="s">
        <v>122</v>
      </c>
    </row>
    <row r="32" spans="1:20" x14ac:dyDescent="0.45">
      <c r="A32" s="43" t="s">
        <v>123</v>
      </c>
    </row>
    <row r="33" spans="2:23" ht="15.75" x14ac:dyDescent="0.5">
      <c r="B33" s="57"/>
      <c r="G33" s="26"/>
      <c r="H33" s="26"/>
      <c r="I33" s="26"/>
      <c r="J33" s="26"/>
      <c r="K33" s="26"/>
      <c r="L33" s="26"/>
    </row>
    <row r="34" spans="2:23" x14ac:dyDescent="0.45">
      <c r="B34" s="42" t="s">
        <v>124</v>
      </c>
      <c r="C34" s="47">
        <v>1</v>
      </c>
      <c r="D34" s="47">
        <v>2</v>
      </c>
      <c r="E34" s="47">
        <v>3</v>
      </c>
      <c r="F34" s="47">
        <v>4</v>
      </c>
      <c r="G34" s="47">
        <v>5</v>
      </c>
      <c r="H34" s="47">
        <v>6</v>
      </c>
      <c r="I34" s="47">
        <v>7</v>
      </c>
      <c r="J34" s="47">
        <v>8</v>
      </c>
      <c r="K34" s="47">
        <v>9</v>
      </c>
      <c r="L34" s="47">
        <v>10</v>
      </c>
      <c r="M34" s="47">
        <v>11</v>
      </c>
      <c r="N34" s="47">
        <v>12</v>
      </c>
      <c r="O34" s="47">
        <v>13</v>
      </c>
      <c r="P34" s="47">
        <v>14</v>
      </c>
      <c r="Q34" s="47">
        <v>15</v>
      </c>
      <c r="R34" s="47">
        <v>16</v>
      </c>
      <c r="S34" s="47">
        <v>17</v>
      </c>
      <c r="T34" s="47">
        <v>18</v>
      </c>
      <c r="U34" s="47">
        <v>19</v>
      </c>
      <c r="V34" s="47">
        <v>20</v>
      </c>
      <c r="W34" s="47"/>
    </row>
    <row r="35" spans="2:23" ht="14.65" thickBot="1" x14ac:dyDescent="0.5">
      <c r="B35" s="44"/>
      <c r="C35" s="17" t="s">
        <v>5</v>
      </c>
      <c r="D35" s="17" t="s">
        <v>6</v>
      </c>
      <c r="E35" s="58" t="s">
        <v>7</v>
      </c>
      <c r="F35" s="58" t="s">
        <v>8</v>
      </c>
      <c r="G35" s="17" t="s">
        <v>9</v>
      </c>
      <c r="H35" s="17" t="s">
        <v>10</v>
      </c>
      <c r="I35" s="17" t="s">
        <v>11</v>
      </c>
      <c r="J35" s="17" t="s">
        <v>12</v>
      </c>
      <c r="K35" s="17" t="s">
        <v>13</v>
      </c>
      <c r="L35" s="17" t="s">
        <v>14</v>
      </c>
      <c r="M35" s="17" t="s">
        <v>49</v>
      </c>
      <c r="N35" s="17" t="s">
        <v>50</v>
      </c>
      <c r="O35" s="17" t="s">
        <v>51</v>
      </c>
      <c r="P35" s="17" t="s">
        <v>52</v>
      </c>
      <c r="Q35" s="17" t="s">
        <v>53</v>
      </c>
      <c r="R35" s="17" t="s">
        <v>54</v>
      </c>
      <c r="S35" s="17" t="s">
        <v>55</v>
      </c>
      <c r="T35" s="17" t="s">
        <v>56</v>
      </c>
      <c r="U35" s="17" t="s">
        <v>57</v>
      </c>
      <c r="V35" s="17" t="s">
        <v>58</v>
      </c>
      <c r="W35" s="17"/>
    </row>
    <row r="36" spans="2:23" ht="14.65" thickBot="1" x14ac:dyDescent="0.5">
      <c r="B36" s="44" t="s">
        <v>125</v>
      </c>
      <c r="C36" s="183">
        <v>213208.22327138396</v>
      </c>
      <c r="D36" s="183">
        <v>437659.91159743024</v>
      </c>
      <c r="E36" s="183">
        <v>663210.73669045931</v>
      </c>
      <c r="F36" s="183">
        <v>825320.7774417965</v>
      </c>
      <c r="G36" s="183">
        <v>1482628.3974417965</v>
      </c>
      <c r="H36" s="183">
        <v>1911278.9574417965</v>
      </c>
      <c r="I36" s="183">
        <v>2455076.1294417968</v>
      </c>
      <c r="J36" s="183">
        <v>2761150.7034417968</v>
      </c>
      <c r="K36" s="183">
        <v>3068277.343441797</v>
      </c>
      <c r="L36" s="183">
        <v>3342319</v>
      </c>
      <c r="M36" s="183">
        <v>3342319</v>
      </c>
      <c r="N36" s="183">
        <v>3342319</v>
      </c>
      <c r="O36" s="183">
        <v>3342319</v>
      </c>
      <c r="P36" s="183">
        <v>3342319</v>
      </c>
      <c r="Q36" s="183">
        <v>3342319</v>
      </c>
      <c r="R36" s="183">
        <v>3342319</v>
      </c>
      <c r="S36" s="183">
        <v>3342319</v>
      </c>
      <c r="T36" s="183">
        <v>3342319</v>
      </c>
      <c r="U36" s="183">
        <v>3342319</v>
      </c>
      <c r="V36" s="183">
        <v>3342319</v>
      </c>
      <c r="W36" s="4"/>
    </row>
    <row r="37" spans="2:23" ht="14.65" thickBot="1" x14ac:dyDescent="0.5">
      <c r="B37" s="44" t="s">
        <v>126</v>
      </c>
      <c r="C37" s="183">
        <v>63962</v>
      </c>
      <c r="D37" s="183">
        <v>152619</v>
      </c>
      <c r="E37" s="183">
        <v>264050</v>
      </c>
      <c r="F37" s="183">
        <v>368344</v>
      </c>
      <c r="G37" s="183">
        <v>626185</v>
      </c>
      <c r="H37" s="183">
        <v>869883</v>
      </c>
      <c r="I37" s="183">
        <v>1182884</v>
      </c>
      <c r="J37" s="183">
        <v>1446082</v>
      </c>
      <c r="K37" s="183">
        <v>1718771</v>
      </c>
      <c r="L37" s="183">
        <v>1974397</v>
      </c>
      <c r="M37" s="183">
        <v>2148689</v>
      </c>
      <c r="N37" s="183">
        <v>2296346</v>
      </c>
      <c r="O37" s="183">
        <v>2422196</v>
      </c>
      <c r="P37" s="183">
        <v>2515181</v>
      </c>
      <c r="Q37" s="183">
        <v>2586733</v>
      </c>
      <c r="R37" s="183">
        <v>2631095</v>
      </c>
      <c r="S37" s="183">
        <v>2660153</v>
      </c>
      <c r="T37" s="183">
        <v>2673855</v>
      </c>
      <c r="U37" s="183">
        <v>2673855</v>
      </c>
      <c r="V37" s="183">
        <v>2673855</v>
      </c>
      <c r="W37" s="4"/>
    </row>
    <row r="38" spans="2:23" ht="14.65" thickBot="1" x14ac:dyDescent="0.5">
      <c r="B38" s="44" t="s">
        <v>127</v>
      </c>
      <c r="C38" s="183">
        <v>13291560.949296411</v>
      </c>
      <c r="D38" s="183">
        <v>18452171.442002639</v>
      </c>
      <c r="E38" s="183">
        <v>24484468.297245603</v>
      </c>
      <c r="F38" s="183">
        <v>55493375.23831334</v>
      </c>
      <c r="G38" s="183">
        <v>147886712.55656683</v>
      </c>
      <c r="H38" s="183">
        <v>150516087.57841554</v>
      </c>
      <c r="I38" s="183">
        <v>200871312.44642758</v>
      </c>
      <c r="J38" s="183">
        <v>181407757.86575353</v>
      </c>
      <c r="K38" s="183">
        <v>195859705.06748897</v>
      </c>
      <c r="L38" s="183">
        <v>193259988.14857376</v>
      </c>
      <c r="M38" s="183">
        <v>151729184.30892071</v>
      </c>
      <c r="N38" s="183">
        <v>139357396.27823192</v>
      </c>
      <c r="O38" s="183">
        <v>128812083.11207932</v>
      </c>
      <c r="P38" s="183">
        <v>110116836.94128768</v>
      </c>
      <c r="Q38" s="183">
        <v>104050445.41600886</v>
      </c>
      <c r="R38" s="183">
        <v>87162434.069254294</v>
      </c>
      <c r="S38" s="183">
        <v>79758342.356516376</v>
      </c>
      <c r="T38" s="183">
        <v>67361280.175768778</v>
      </c>
      <c r="U38" s="183">
        <v>57915439.826741584</v>
      </c>
      <c r="V38" s="183">
        <v>54906952.564002819</v>
      </c>
      <c r="W38" s="167"/>
    </row>
    <row r="39" spans="2:23" ht="14.65" thickBot="1" x14ac:dyDescent="0.5">
      <c r="B39" s="44" t="s">
        <v>128</v>
      </c>
      <c r="C39" s="183">
        <v>42258429.566088237</v>
      </c>
      <c r="D39" s="183">
        <v>54148208.527869716</v>
      </c>
      <c r="E39" s="183">
        <v>48100994.553199433</v>
      </c>
      <c r="F39" s="183">
        <v>421660567.65352976</v>
      </c>
      <c r="G39" s="183">
        <v>331751745.80031526</v>
      </c>
      <c r="H39" s="183">
        <v>455960762.30341846</v>
      </c>
      <c r="I39" s="183">
        <v>250091860.97954232</v>
      </c>
      <c r="J39" s="183">
        <v>308158115.90955633</v>
      </c>
      <c r="K39" s="183">
        <v>299921127.85089862</v>
      </c>
      <c r="L39" s="183">
        <v>8407101.9241651744</v>
      </c>
      <c r="M39" s="183">
        <v>6452074.6901821075</v>
      </c>
      <c r="N39" s="183">
        <v>6755965.8564346265</v>
      </c>
      <c r="O39" s="183">
        <v>5602936.003365566</v>
      </c>
      <c r="P39" s="183">
        <v>7135298.2940043025</v>
      </c>
      <c r="Q39" s="183">
        <v>13643909.813482754</v>
      </c>
      <c r="R39" s="183">
        <v>9669874.8969923686</v>
      </c>
      <c r="S39" s="183">
        <v>9178680.797219513</v>
      </c>
      <c r="T39" s="183">
        <v>5545746.314033594</v>
      </c>
      <c r="U39" s="183">
        <v>5230035.6427515764</v>
      </c>
      <c r="V39" s="183">
        <v>17638425.437720124</v>
      </c>
      <c r="W39" s="167"/>
    </row>
    <row r="40" spans="2:23" ht="14.65" thickBot="1" x14ac:dyDescent="0.5">
      <c r="B40" s="44" t="s">
        <v>129</v>
      </c>
      <c r="C40" s="183">
        <v>4630356.2069058362</v>
      </c>
      <c r="D40" s="183">
        <v>6390816.4034002405</v>
      </c>
      <c r="E40" s="183">
        <v>7945229.1828377945</v>
      </c>
      <c r="F40" s="183">
        <v>31780905.648329861</v>
      </c>
      <c r="G40" s="183">
        <v>49092643.230723575</v>
      </c>
      <c r="H40" s="183">
        <v>69362384.006634414</v>
      </c>
      <c r="I40" s="183">
        <v>85568860.874401405</v>
      </c>
      <c r="J40" s="183">
        <v>101698124.63527408</v>
      </c>
      <c r="K40" s="183">
        <v>118198266.49081935</v>
      </c>
      <c r="L40" s="183">
        <v>126070029.04157728</v>
      </c>
      <c r="M40" s="183">
        <v>132251374.60434309</v>
      </c>
      <c r="N40" s="183">
        <v>137865316.88146859</v>
      </c>
      <c r="O40" s="183">
        <v>105401880.44799475</v>
      </c>
      <c r="P40" s="183">
        <v>109127072.50510028</v>
      </c>
      <c r="Q40" s="183">
        <v>112468125.67253233</v>
      </c>
      <c r="R40" s="183">
        <v>115281264.01874118</v>
      </c>
      <c r="S40" s="183">
        <v>117801262.13703193</v>
      </c>
      <c r="T40" s="183">
        <v>120013317.83433105</v>
      </c>
      <c r="U40" s="183">
        <v>121940408.02798614</v>
      </c>
      <c r="V40" s="183">
        <v>123880772.3728106</v>
      </c>
      <c r="W40" s="167"/>
    </row>
    <row r="41" spans="2:23" x14ac:dyDescent="0.45">
      <c r="B41" s="44" t="s">
        <v>130</v>
      </c>
      <c r="C41" s="183">
        <v>1643926.188925002</v>
      </c>
      <c r="D41" s="183">
        <v>2346595.3990893839</v>
      </c>
      <c r="E41" s="183">
        <v>3014259.3536584447</v>
      </c>
      <c r="F41" s="183">
        <v>3056677.7203590544</v>
      </c>
      <c r="G41" s="183">
        <v>6850527.0045516528</v>
      </c>
      <c r="H41" s="183">
        <v>6760017.1329135094</v>
      </c>
      <c r="I41" s="183">
        <v>8572475.2938008942</v>
      </c>
      <c r="J41" s="183">
        <v>7645047.0112889288</v>
      </c>
      <c r="K41" s="183">
        <v>7990131.8963886751</v>
      </c>
      <c r="L41" s="183">
        <v>7725033.2082927441</v>
      </c>
      <c r="M41" s="183">
        <v>6029600.1501560323</v>
      </c>
      <c r="N41" s="183">
        <v>5450473.9377673585</v>
      </c>
      <c r="O41" s="183">
        <v>4953137.5455219774</v>
      </c>
      <c r="P41" s="183">
        <v>4215607.734770773</v>
      </c>
      <c r="Q41" s="183">
        <v>3698402.8229766469</v>
      </c>
      <c r="R41" s="183">
        <v>3063007.199424874</v>
      </c>
      <c r="S41" s="183">
        <v>2656870.4710836485</v>
      </c>
      <c r="T41" s="183">
        <v>2252140.1060262439</v>
      </c>
      <c r="U41" s="183">
        <v>1882244.356150975</v>
      </c>
      <c r="V41" s="183">
        <v>1770582.7783678859</v>
      </c>
      <c r="W41" s="167"/>
    </row>
    <row r="43" spans="2:23" x14ac:dyDescent="0.45">
      <c r="B43" s="42" t="s">
        <v>131</v>
      </c>
      <c r="C43" s="47">
        <v>1</v>
      </c>
      <c r="D43" s="47">
        <v>2</v>
      </c>
      <c r="E43" s="47">
        <v>3</v>
      </c>
      <c r="F43" s="47">
        <v>4</v>
      </c>
      <c r="G43" s="47">
        <v>5</v>
      </c>
      <c r="H43" s="47">
        <v>6</v>
      </c>
      <c r="I43" s="47">
        <v>7</v>
      </c>
      <c r="J43" s="47">
        <v>8</v>
      </c>
      <c r="K43" s="47">
        <v>9</v>
      </c>
      <c r="L43" s="47">
        <v>10</v>
      </c>
      <c r="M43" s="47">
        <v>11</v>
      </c>
      <c r="N43" s="47">
        <v>12</v>
      </c>
      <c r="O43" s="47">
        <v>13</v>
      </c>
      <c r="P43" s="47">
        <v>14</v>
      </c>
      <c r="Q43" s="47">
        <v>15</v>
      </c>
      <c r="R43" s="47">
        <v>16</v>
      </c>
      <c r="S43" s="47">
        <v>17</v>
      </c>
      <c r="T43" s="47">
        <v>18</v>
      </c>
      <c r="U43" s="47">
        <v>19</v>
      </c>
      <c r="V43" s="47">
        <v>20</v>
      </c>
      <c r="W43" s="47"/>
    </row>
    <row r="44" spans="2:23" ht="14.65" thickBot="1" x14ac:dyDescent="0.5">
      <c r="B44" s="44"/>
      <c r="C44" s="17" t="s">
        <v>5</v>
      </c>
      <c r="D44" s="17" t="s">
        <v>6</v>
      </c>
      <c r="E44" s="58" t="s">
        <v>7</v>
      </c>
      <c r="F44" s="58" t="s">
        <v>8</v>
      </c>
      <c r="G44" s="17" t="s">
        <v>9</v>
      </c>
      <c r="H44" s="17" t="s">
        <v>10</v>
      </c>
      <c r="I44" s="17" t="s">
        <v>11</v>
      </c>
      <c r="J44" s="17" t="s">
        <v>12</v>
      </c>
      <c r="K44" s="17" t="s">
        <v>13</v>
      </c>
      <c r="L44" s="17" t="s">
        <v>14</v>
      </c>
      <c r="M44" s="17" t="s">
        <v>49</v>
      </c>
      <c r="N44" s="17" t="s">
        <v>50</v>
      </c>
      <c r="O44" s="17" t="s">
        <v>51</v>
      </c>
      <c r="P44" s="17" t="s">
        <v>52</v>
      </c>
      <c r="Q44" s="17" t="s">
        <v>53</v>
      </c>
      <c r="R44" s="17" t="s">
        <v>54</v>
      </c>
      <c r="S44" s="17" t="s">
        <v>55</v>
      </c>
      <c r="T44" s="17" t="s">
        <v>56</v>
      </c>
      <c r="U44" s="17" t="s">
        <v>57</v>
      </c>
      <c r="V44" s="17" t="s">
        <v>58</v>
      </c>
      <c r="W44" s="17"/>
    </row>
    <row r="45" spans="2:23" ht="14.65" thickBot="1" x14ac:dyDescent="0.5">
      <c r="B45" s="44" t="s">
        <v>125</v>
      </c>
      <c r="C45" s="183">
        <v>213208.22327138396</v>
      </c>
      <c r="D45" s="183">
        <v>437659.91159743024</v>
      </c>
      <c r="E45" s="183">
        <v>663210.73669045931</v>
      </c>
      <c r="F45" s="183">
        <v>825320.7774417965</v>
      </c>
      <c r="G45" s="183">
        <v>1482628.3974417965</v>
      </c>
      <c r="H45" s="183">
        <v>1911278.9574417965</v>
      </c>
      <c r="I45" s="183">
        <v>2455076.1294417968</v>
      </c>
      <c r="J45" s="183">
        <v>2761150.7034417968</v>
      </c>
      <c r="K45" s="183">
        <v>3068277.343441797</v>
      </c>
      <c r="L45" s="183">
        <v>3342319</v>
      </c>
      <c r="M45" s="183">
        <v>3342319</v>
      </c>
      <c r="N45" s="183">
        <v>3342319</v>
      </c>
      <c r="O45" s="183">
        <v>3342319</v>
      </c>
      <c r="P45" s="183">
        <v>3342319</v>
      </c>
      <c r="Q45" s="183">
        <v>3342319</v>
      </c>
      <c r="R45" s="183">
        <v>3342319</v>
      </c>
      <c r="S45" s="183">
        <v>3342319</v>
      </c>
      <c r="T45" s="183">
        <v>3342319</v>
      </c>
      <c r="U45" s="183">
        <v>3342319</v>
      </c>
      <c r="V45" s="183">
        <v>3342319</v>
      </c>
      <c r="W45" s="167"/>
    </row>
    <row r="46" spans="2:23" ht="14.65" thickBot="1" x14ac:dyDescent="0.5">
      <c r="B46" s="44" t="s">
        <v>126</v>
      </c>
      <c r="C46" s="183">
        <v>63962</v>
      </c>
      <c r="D46" s="183">
        <v>152619</v>
      </c>
      <c r="E46" s="183">
        <v>264050</v>
      </c>
      <c r="F46" s="183">
        <v>368344</v>
      </c>
      <c r="G46" s="183">
        <v>626185</v>
      </c>
      <c r="H46" s="183">
        <v>869883</v>
      </c>
      <c r="I46" s="183">
        <v>1182884</v>
      </c>
      <c r="J46" s="183">
        <v>1446082</v>
      </c>
      <c r="K46" s="183">
        <v>1718771</v>
      </c>
      <c r="L46" s="183">
        <v>1974397</v>
      </c>
      <c r="M46" s="183">
        <v>2148689</v>
      </c>
      <c r="N46" s="183">
        <v>2296346</v>
      </c>
      <c r="O46" s="183">
        <v>2422196</v>
      </c>
      <c r="P46" s="183">
        <v>2515181</v>
      </c>
      <c r="Q46" s="183">
        <v>2586733</v>
      </c>
      <c r="R46" s="183">
        <v>2631095</v>
      </c>
      <c r="S46" s="183">
        <v>2660153</v>
      </c>
      <c r="T46" s="183">
        <v>2673855</v>
      </c>
      <c r="U46" s="183">
        <v>2673855</v>
      </c>
      <c r="V46" s="183">
        <v>2673855</v>
      </c>
      <c r="W46" s="167"/>
    </row>
    <row r="47" spans="2:23" ht="14.65" thickBot="1" x14ac:dyDescent="0.5">
      <c r="B47" s="44" t="s">
        <v>127</v>
      </c>
      <c r="C47" s="183">
        <v>13291560.949296411</v>
      </c>
      <c r="D47" s="183">
        <v>18452171.442002639</v>
      </c>
      <c r="E47" s="183">
        <v>24484468.297245603</v>
      </c>
      <c r="F47" s="183">
        <v>55493375.23831334</v>
      </c>
      <c r="G47" s="183">
        <v>147886712.55656683</v>
      </c>
      <c r="H47" s="183">
        <v>150516087.57841554</v>
      </c>
      <c r="I47" s="183">
        <v>200871312.44642758</v>
      </c>
      <c r="J47" s="183">
        <v>181407757.86575353</v>
      </c>
      <c r="K47" s="183">
        <v>195859705.06748897</v>
      </c>
      <c r="L47" s="183">
        <v>193259988.14857376</v>
      </c>
      <c r="M47" s="183">
        <v>151729184.30892071</v>
      </c>
      <c r="N47" s="183">
        <v>139357396.27823192</v>
      </c>
      <c r="O47" s="183">
        <v>128812083.11207932</v>
      </c>
      <c r="P47" s="183">
        <v>110116836.94128768</v>
      </c>
      <c r="Q47" s="183">
        <v>104050445.41600886</v>
      </c>
      <c r="R47" s="183">
        <v>87162434.069254294</v>
      </c>
      <c r="S47" s="183">
        <v>79758342.356516376</v>
      </c>
      <c r="T47" s="183">
        <v>67361280.175768778</v>
      </c>
      <c r="U47" s="183">
        <v>57915439.826741584</v>
      </c>
      <c r="V47" s="183">
        <v>54906952.564002819</v>
      </c>
      <c r="W47" s="167"/>
    </row>
    <row r="48" spans="2:23" ht="14.65" thickBot="1" x14ac:dyDescent="0.5">
      <c r="B48" s="44" t="s">
        <v>128</v>
      </c>
      <c r="C48" s="183">
        <v>55130657.335441969</v>
      </c>
      <c r="D48" s="183">
        <v>70923876.295482755</v>
      </c>
      <c r="E48" s="183">
        <v>61956281.195655361</v>
      </c>
      <c r="F48" s="183">
        <v>535123323.78352958</v>
      </c>
      <c r="G48" s="183">
        <v>413706675.0915004</v>
      </c>
      <c r="H48" s="183">
        <v>565829934.42445326</v>
      </c>
      <c r="I48" s="183">
        <v>309379592.25141788</v>
      </c>
      <c r="J48" s="183">
        <v>363221950.40336925</v>
      </c>
      <c r="K48" s="183">
        <v>359380326.23763329</v>
      </c>
      <c r="L48" s="183">
        <v>8407101.9241651744</v>
      </c>
      <c r="M48" s="183">
        <v>6452074.6901821075</v>
      </c>
      <c r="N48" s="183">
        <v>6755965.8564346265</v>
      </c>
      <c r="O48" s="183">
        <v>5602936.003365566</v>
      </c>
      <c r="P48" s="183">
        <v>7135298.2940043025</v>
      </c>
      <c r="Q48" s="183">
        <v>13643909.813482754</v>
      </c>
      <c r="R48" s="183">
        <v>9669874.8969923686</v>
      </c>
      <c r="S48" s="183">
        <v>9178680.797219513</v>
      </c>
      <c r="T48" s="183">
        <v>5545746.314033594</v>
      </c>
      <c r="U48" s="183">
        <v>5230035.6427515764</v>
      </c>
      <c r="V48" s="183">
        <v>17638425.437720124</v>
      </c>
      <c r="W48" s="167"/>
    </row>
    <row r="49" spans="2:23" ht="14.65" thickBot="1" x14ac:dyDescent="0.5">
      <c r="B49" s="44" t="s">
        <v>129</v>
      </c>
      <c r="C49" s="183">
        <v>5364706.9047144139</v>
      </c>
      <c r="D49" s="183">
        <v>7029997.5285413917</v>
      </c>
      <c r="E49" s="183">
        <v>8376480.0436553992</v>
      </c>
      <c r="F49" s="183">
        <v>34604307.616329335</v>
      </c>
      <c r="G49" s="183">
        <v>52905869.053019114</v>
      </c>
      <c r="H49" s="183">
        <v>74527892.563535616</v>
      </c>
      <c r="I49" s="183">
        <v>91413803.915628597</v>
      </c>
      <c r="J49" s="183">
        <v>108144578.65233555</v>
      </c>
      <c r="K49" s="183">
        <v>125279214.54715832</v>
      </c>
      <c r="L49" s="183">
        <v>133095747.68182325</v>
      </c>
      <c r="M49" s="183">
        <v>139219888.75118759</v>
      </c>
      <c r="N49" s="183">
        <v>144774949.16400364</v>
      </c>
      <c r="O49" s="183">
        <v>106491080.15920781</v>
      </c>
      <c r="P49" s="183">
        <v>110138394.69641162</v>
      </c>
      <c r="Q49" s="183">
        <v>113399743.98967654</v>
      </c>
      <c r="R49" s="183">
        <v>116131314.8553582</v>
      </c>
      <c r="S49" s="183">
        <v>118567843.88766982</v>
      </c>
      <c r="T49" s="183">
        <v>120694490.13250332</v>
      </c>
      <c r="U49" s="183">
        <v>122534190.96898511</v>
      </c>
      <c r="V49" s="183">
        <v>124385145.72097163</v>
      </c>
      <c r="W49" s="167"/>
    </row>
    <row r="50" spans="2:23" x14ac:dyDescent="0.45">
      <c r="B50" s="44" t="s">
        <v>130</v>
      </c>
      <c r="C50" s="183">
        <v>1643926.188925002</v>
      </c>
      <c r="D50" s="183">
        <v>2346595.3990893839</v>
      </c>
      <c r="E50" s="183">
        <v>3014259.3536584447</v>
      </c>
      <c r="F50" s="183">
        <v>3056677.7203590544</v>
      </c>
      <c r="G50" s="183">
        <v>6850527.0045516528</v>
      </c>
      <c r="H50" s="183">
        <v>6760017.1329135094</v>
      </c>
      <c r="I50" s="183">
        <v>8572475.2938008942</v>
      </c>
      <c r="J50" s="183">
        <v>7645047.0112889288</v>
      </c>
      <c r="K50" s="183">
        <v>7990131.8963886751</v>
      </c>
      <c r="L50" s="183">
        <v>7725033.2082927441</v>
      </c>
      <c r="M50" s="183">
        <v>6029600.1501560323</v>
      </c>
      <c r="N50" s="183">
        <v>5450473.9377673585</v>
      </c>
      <c r="O50" s="183">
        <v>4953137.5455219774</v>
      </c>
      <c r="P50" s="183">
        <v>4215607.734770773</v>
      </c>
      <c r="Q50" s="183">
        <v>3698402.8229766469</v>
      </c>
      <c r="R50" s="183">
        <v>3063007.199424874</v>
      </c>
      <c r="S50" s="183">
        <v>2656870.4710836485</v>
      </c>
      <c r="T50" s="183">
        <v>2252140.1060262439</v>
      </c>
      <c r="U50" s="183">
        <v>1882244.356150975</v>
      </c>
      <c r="V50" s="183">
        <v>1770582.7783678859</v>
      </c>
      <c r="W50" s="167"/>
    </row>
    <row r="52" spans="2:23" x14ac:dyDescent="0.45">
      <c r="B52" s="42" t="s">
        <v>132</v>
      </c>
      <c r="C52" s="47">
        <v>1</v>
      </c>
      <c r="D52" s="47">
        <v>2</v>
      </c>
      <c r="E52" s="47">
        <v>3</v>
      </c>
      <c r="F52" s="47">
        <v>4</v>
      </c>
      <c r="G52" s="47">
        <v>5</v>
      </c>
      <c r="H52" s="47">
        <v>6</v>
      </c>
      <c r="I52" s="47">
        <v>7</v>
      </c>
      <c r="J52" s="47">
        <v>8</v>
      </c>
      <c r="K52" s="47">
        <v>9</v>
      </c>
      <c r="L52" s="47">
        <v>10</v>
      </c>
      <c r="M52" s="47">
        <v>11</v>
      </c>
      <c r="N52" s="47">
        <v>12</v>
      </c>
      <c r="O52" s="47">
        <v>13</v>
      </c>
      <c r="P52" s="47">
        <v>14</v>
      </c>
      <c r="Q52" s="47">
        <v>15</v>
      </c>
      <c r="R52" s="47">
        <v>16</v>
      </c>
      <c r="S52" s="47">
        <v>17</v>
      </c>
      <c r="T52" s="47">
        <v>18</v>
      </c>
      <c r="U52" s="47">
        <v>19</v>
      </c>
      <c r="V52" s="47">
        <v>20</v>
      </c>
      <c r="W52" s="47"/>
    </row>
    <row r="53" spans="2:23" ht="14.65" thickBot="1" x14ac:dyDescent="0.5">
      <c r="B53" s="44"/>
      <c r="C53" s="17" t="s">
        <v>5</v>
      </c>
      <c r="D53" s="17" t="s">
        <v>6</v>
      </c>
      <c r="E53" s="58" t="s">
        <v>7</v>
      </c>
      <c r="F53" s="58" t="s">
        <v>8</v>
      </c>
      <c r="G53" s="17" t="s">
        <v>9</v>
      </c>
      <c r="H53" s="17" t="s">
        <v>10</v>
      </c>
      <c r="I53" s="17" t="s">
        <v>11</v>
      </c>
      <c r="J53" s="17" t="s">
        <v>12</v>
      </c>
      <c r="K53" s="17" t="s">
        <v>13</v>
      </c>
      <c r="L53" s="17" t="s">
        <v>14</v>
      </c>
      <c r="M53" s="17" t="s">
        <v>49</v>
      </c>
      <c r="N53" s="17" t="s">
        <v>50</v>
      </c>
      <c r="O53" s="17" t="s">
        <v>51</v>
      </c>
      <c r="P53" s="17" t="s">
        <v>52</v>
      </c>
      <c r="Q53" s="17" t="s">
        <v>53</v>
      </c>
      <c r="R53" s="17" t="s">
        <v>54</v>
      </c>
      <c r="S53" s="17" t="s">
        <v>55</v>
      </c>
      <c r="T53" s="17" t="s">
        <v>56</v>
      </c>
      <c r="U53" s="17" t="s">
        <v>57</v>
      </c>
      <c r="V53" s="17" t="s">
        <v>58</v>
      </c>
      <c r="W53" s="17"/>
    </row>
    <row r="54" spans="2:23" ht="14.65" thickBot="1" x14ac:dyDescent="0.5">
      <c r="B54" s="44" t="s">
        <v>125</v>
      </c>
      <c r="C54" s="183">
        <v>213208.22327138396</v>
      </c>
      <c r="D54" s="183">
        <v>437659.91159743024</v>
      </c>
      <c r="E54" s="183">
        <v>663210.73669045931</v>
      </c>
      <c r="F54" s="183">
        <v>825320.7774417965</v>
      </c>
      <c r="G54" s="183">
        <v>1482628.3974417965</v>
      </c>
      <c r="H54" s="183">
        <v>1911278.9574417965</v>
      </c>
      <c r="I54" s="183">
        <v>2455076.1294417968</v>
      </c>
      <c r="J54" s="183">
        <v>2761150.7034417968</v>
      </c>
      <c r="K54" s="183">
        <v>3068277.343441797</v>
      </c>
      <c r="L54" s="183">
        <v>3342319</v>
      </c>
      <c r="M54" s="183">
        <v>3342319</v>
      </c>
      <c r="N54" s="183">
        <v>3342319</v>
      </c>
      <c r="O54" s="183">
        <v>3342319</v>
      </c>
      <c r="P54" s="183">
        <v>3342319</v>
      </c>
      <c r="Q54" s="183">
        <v>3342319</v>
      </c>
      <c r="R54" s="183">
        <v>3342319</v>
      </c>
      <c r="S54" s="183">
        <v>3342319</v>
      </c>
      <c r="T54" s="183">
        <v>3342319</v>
      </c>
      <c r="U54" s="183">
        <v>3342319</v>
      </c>
      <c r="V54" s="183">
        <v>3342319</v>
      </c>
      <c r="W54" s="4"/>
    </row>
    <row r="55" spans="2:23" ht="14.65" thickBot="1" x14ac:dyDescent="0.5">
      <c r="B55" s="44" t="s">
        <v>126</v>
      </c>
      <c r="C55" s="183">
        <v>63962</v>
      </c>
      <c r="D55" s="183">
        <v>152619</v>
      </c>
      <c r="E55" s="183">
        <v>264050</v>
      </c>
      <c r="F55" s="183">
        <v>368344</v>
      </c>
      <c r="G55" s="183">
        <v>626185</v>
      </c>
      <c r="H55" s="183">
        <v>869883</v>
      </c>
      <c r="I55" s="183">
        <v>1182884</v>
      </c>
      <c r="J55" s="183">
        <v>1446082</v>
      </c>
      <c r="K55" s="183">
        <v>1718771</v>
      </c>
      <c r="L55" s="183">
        <v>1974397</v>
      </c>
      <c r="M55" s="183">
        <v>2148689</v>
      </c>
      <c r="N55" s="183">
        <v>2296346</v>
      </c>
      <c r="O55" s="183">
        <v>2422196</v>
      </c>
      <c r="P55" s="183">
        <v>2515181</v>
      </c>
      <c r="Q55" s="183">
        <v>2586733</v>
      </c>
      <c r="R55" s="183">
        <v>2631095</v>
      </c>
      <c r="S55" s="183">
        <v>2660153</v>
      </c>
      <c r="T55" s="183">
        <v>2673855</v>
      </c>
      <c r="U55" s="183">
        <v>2673855</v>
      </c>
      <c r="V55" s="183">
        <v>2673855</v>
      </c>
      <c r="W55" s="4"/>
    </row>
    <row r="56" spans="2:23" ht="14.65" thickBot="1" x14ac:dyDescent="0.5">
      <c r="B56" s="44" t="s">
        <v>127</v>
      </c>
      <c r="C56" s="183">
        <v>13291560.949296411</v>
      </c>
      <c r="D56" s="183">
        <v>18452171.442002639</v>
      </c>
      <c r="E56" s="183">
        <v>24484468.297245603</v>
      </c>
      <c r="F56" s="183">
        <v>55493375.23831334</v>
      </c>
      <c r="G56" s="183">
        <v>147886712.55656683</v>
      </c>
      <c r="H56" s="183">
        <v>150516087.57841554</v>
      </c>
      <c r="I56" s="183">
        <v>200871312.44642758</v>
      </c>
      <c r="J56" s="183">
        <v>181407757.86575353</v>
      </c>
      <c r="K56" s="183">
        <v>195859705.06748897</v>
      </c>
      <c r="L56" s="183">
        <v>193259988.14857376</v>
      </c>
      <c r="M56" s="183">
        <v>151729184.30892071</v>
      </c>
      <c r="N56" s="183">
        <v>139357396.27823192</v>
      </c>
      <c r="O56" s="183">
        <v>128812083.11207932</v>
      </c>
      <c r="P56" s="183">
        <v>110116836.94128768</v>
      </c>
      <c r="Q56" s="183">
        <v>104050445.41600886</v>
      </c>
      <c r="R56" s="183">
        <v>87162434.069254294</v>
      </c>
      <c r="S56" s="183">
        <v>79758342.356516376</v>
      </c>
      <c r="T56" s="183">
        <v>67361280.175768778</v>
      </c>
      <c r="U56" s="183">
        <v>57915439.826741584</v>
      </c>
      <c r="V56" s="183">
        <v>54906952.564002819</v>
      </c>
      <c r="W56" s="4"/>
    </row>
    <row r="57" spans="2:23" ht="14.65" thickBot="1" x14ac:dyDescent="0.5">
      <c r="B57" s="44" t="s">
        <v>128</v>
      </c>
      <c r="C57" s="183">
        <v>32869557.864458274</v>
      </c>
      <c r="D57" s="183">
        <v>49994868.474958599</v>
      </c>
      <c r="E57" s="183">
        <v>42907099.810928047</v>
      </c>
      <c r="F57" s="183">
        <v>354977682.24352968</v>
      </c>
      <c r="G57" s="183">
        <v>271920592.23936981</v>
      </c>
      <c r="H57" s="183">
        <v>355374198.12573367</v>
      </c>
      <c r="I57" s="183">
        <v>197345144.33465114</v>
      </c>
      <c r="J57" s="183">
        <v>209417699.13506112</v>
      </c>
      <c r="K57" s="183">
        <v>211474734.11783367</v>
      </c>
      <c r="L57" s="183">
        <v>8407101.9241651744</v>
      </c>
      <c r="M57" s="183">
        <v>6452074.6901821075</v>
      </c>
      <c r="N57" s="183">
        <v>6755965.8564346265</v>
      </c>
      <c r="O57" s="183">
        <v>5602936.003365566</v>
      </c>
      <c r="P57" s="183">
        <v>7135298.2940043025</v>
      </c>
      <c r="Q57" s="183">
        <v>13643909.813482754</v>
      </c>
      <c r="R57" s="183">
        <v>9669874.8969923686</v>
      </c>
      <c r="S57" s="183">
        <v>9178680.797219513</v>
      </c>
      <c r="T57" s="183">
        <v>5545746.314033594</v>
      </c>
      <c r="U57" s="183">
        <v>5230035.6427515764</v>
      </c>
      <c r="V57" s="183">
        <v>17638425.437720124</v>
      </c>
      <c r="W57" s="4"/>
    </row>
    <row r="58" spans="2:23" ht="14.65" thickBot="1" x14ac:dyDescent="0.5">
      <c r="B58" s="44" t="s">
        <v>129</v>
      </c>
      <c r="C58" s="183">
        <v>4034593.8159842291</v>
      </c>
      <c r="D58" s="183">
        <v>6018176.2877033744</v>
      </c>
      <c r="E58" s="183">
        <v>7711097.1909423927</v>
      </c>
      <c r="F58" s="183">
        <v>30194555.886893995</v>
      </c>
      <c r="G58" s="183">
        <v>46813393.938444734</v>
      </c>
      <c r="H58" s="183">
        <v>65912405.830461353</v>
      </c>
      <c r="I58" s="183">
        <v>81545377.085351065</v>
      </c>
      <c r="J58" s="183">
        <v>96631271.092851534</v>
      </c>
      <c r="K58" s="183">
        <v>112266283.74222629</v>
      </c>
      <c r="L58" s="183">
        <v>120217937.40525289</v>
      </c>
      <c r="M58" s="183">
        <v>126458887.64954208</v>
      </c>
      <c r="N58" s="183">
        <v>132134103.1471837</v>
      </c>
      <c r="O58" s="183">
        <v>104879613.19630879</v>
      </c>
      <c r="P58" s="183">
        <v>108683399.76286183</v>
      </c>
      <c r="Q58" s="183">
        <v>112104859.4853951</v>
      </c>
      <c r="R58" s="183">
        <v>115000253.32101162</v>
      </c>
      <c r="S58" s="183">
        <v>117604393.49118938</v>
      </c>
      <c r="T58" s="183">
        <v>119902516.18534289</v>
      </c>
      <c r="U58" s="183">
        <v>121917637.47271423</v>
      </c>
      <c r="V58" s="183">
        <v>123948036.94481021</v>
      </c>
      <c r="W58" s="4"/>
    </row>
    <row r="59" spans="2:23" x14ac:dyDescent="0.45">
      <c r="B59" s="44" t="s">
        <v>130</v>
      </c>
      <c r="C59" s="183">
        <v>1643926.188925002</v>
      </c>
      <c r="D59" s="183">
        <v>2346595.3990893839</v>
      </c>
      <c r="E59" s="183">
        <v>3014259.3536584447</v>
      </c>
      <c r="F59" s="183">
        <v>3056677.7203590544</v>
      </c>
      <c r="G59" s="183">
        <v>6850527.0045516528</v>
      </c>
      <c r="H59" s="183">
        <v>6760017.1329135094</v>
      </c>
      <c r="I59" s="183">
        <v>8572475.2938008942</v>
      </c>
      <c r="J59" s="183">
        <v>7645047.0112889288</v>
      </c>
      <c r="K59" s="183">
        <v>7990131.8963886751</v>
      </c>
      <c r="L59" s="183">
        <v>7725033.2082927441</v>
      </c>
      <c r="M59" s="183">
        <v>6029600.1501560323</v>
      </c>
      <c r="N59" s="183">
        <v>5450473.9377673585</v>
      </c>
      <c r="O59" s="183">
        <v>4953137.5455219774</v>
      </c>
      <c r="P59" s="183">
        <v>4215607.734770773</v>
      </c>
      <c r="Q59" s="183">
        <v>3698402.8229766469</v>
      </c>
      <c r="R59" s="183">
        <v>3063007.199424874</v>
      </c>
      <c r="S59" s="183">
        <v>2656870.4710836485</v>
      </c>
      <c r="T59" s="183">
        <v>2252140.1060262439</v>
      </c>
      <c r="U59" s="183">
        <v>1882244.356150975</v>
      </c>
      <c r="V59" s="183">
        <v>1770582.7783678859</v>
      </c>
      <c r="W59" s="4"/>
    </row>
    <row r="62" spans="2:23" x14ac:dyDescent="0.45">
      <c r="B62" s="44" t="s">
        <v>133</v>
      </c>
      <c r="C62" s="60">
        <v>1</v>
      </c>
      <c r="D62" s="43" t="s">
        <v>134</v>
      </c>
    </row>
    <row r="63" spans="2:23" x14ac:dyDescent="0.45">
      <c r="B63" s="1"/>
    </row>
    <row r="64" spans="2:23" x14ac:dyDescent="0.45">
      <c r="C64" s="28"/>
      <c r="D64" s="28"/>
      <c r="E64" s="28"/>
      <c r="F64" s="28"/>
      <c r="G64" s="28"/>
      <c r="H64" s="28"/>
      <c r="I64" s="28"/>
      <c r="J64" s="28"/>
      <c r="K64" s="28"/>
      <c r="L64" s="28"/>
      <c r="M64" s="28"/>
      <c r="N64" s="28"/>
      <c r="O64" s="28"/>
      <c r="P64" s="28"/>
      <c r="Q64" s="28"/>
      <c r="R64" s="28"/>
      <c r="S64" s="28"/>
      <c r="T64" s="28"/>
      <c r="U64" s="28"/>
      <c r="V64" s="28"/>
      <c r="W64" s="28"/>
    </row>
    <row r="65" spans="2:23" x14ac:dyDescent="0.45">
      <c r="B65" s="42" t="str">
        <f>"Central case - "&amp;ROUND($C$62*MAX($C$36:$V$36)/million,1)&amp;"m premises"</f>
        <v>Central case - 3.3m premises</v>
      </c>
      <c r="C65" s="47">
        <v>1</v>
      </c>
      <c r="D65" s="47">
        <v>2</v>
      </c>
      <c r="E65" s="47">
        <v>3</v>
      </c>
      <c r="F65" s="47">
        <v>4</v>
      </c>
      <c r="G65" s="47">
        <v>5</v>
      </c>
      <c r="H65" s="47">
        <v>6</v>
      </c>
      <c r="I65" s="47">
        <v>7</v>
      </c>
      <c r="J65" s="47">
        <v>8</v>
      </c>
      <c r="K65" s="47">
        <v>9</v>
      </c>
      <c r="L65" s="47">
        <v>10</v>
      </c>
      <c r="M65" s="47">
        <v>11</v>
      </c>
      <c r="N65" s="47">
        <v>12</v>
      </c>
      <c r="O65" s="47">
        <v>13</v>
      </c>
      <c r="P65" s="47">
        <v>14</v>
      </c>
      <c r="Q65" s="47">
        <v>15</v>
      </c>
      <c r="R65" s="47">
        <v>16</v>
      </c>
      <c r="S65" s="47">
        <v>17</v>
      </c>
      <c r="T65" s="47">
        <v>18</v>
      </c>
      <c r="U65" s="47">
        <v>19</v>
      </c>
      <c r="V65" s="47">
        <v>20</v>
      </c>
      <c r="W65" s="47"/>
    </row>
    <row r="66" spans="2:23" x14ac:dyDescent="0.45">
      <c r="B66" s="44"/>
      <c r="C66" s="17" t="s">
        <v>5</v>
      </c>
      <c r="D66" s="17" t="s">
        <v>6</v>
      </c>
      <c r="E66" s="58" t="s">
        <v>7</v>
      </c>
      <c r="F66" s="58" t="s">
        <v>8</v>
      </c>
      <c r="G66" s="17" t="s">
        <v>9</v>
      </c>
      <c r="H66" s="17" t="s">
        <v>10</v>
      </c>
      <c r="I66" s="17" t="s">
        <v>11</v>
      </c>
      <c r="J66" s="17" t="s">
        <v>12</v>
      </c>
      <c r="K66" s="17" t="s">
        <v>13</v>
      </c>
      <c r="L66" s="17" t="s">
        <v>14</v>
      </c>
      <c r="M66" s="17" t="s">
        <v>49</v>
      </c>
      <c r="N66" s="17" t="s">
        <v>50</v>
      </c>
      <c r="O66" s="17" t="s">
        <v>51</v>
      </c>
      <c r="P66" s="17" t="s">
        <v>52</v>
      </c>
      <c r="Q66" s="17" t="s">
        <v>53</v>
      </c>
      <c r="R66" s="17" t="s">
        <v>54</v>
      </c>
      <c r="S66" s="17" t="s">
        <v>55</v>
      </c>
      <c r="T66" s="17" t="s">
        <v>56</v>
      </c>
      <c r="U66" s="17" t="s">
        <v>57</v>
      </c>
      <c r="V66" s="17" t="s">
        <v>58</v>
      </c>
      <c r="W66" s="17"/>
    </row>
    <row r="67" spans="2:23" x14ac:dyDescent="0.45">
      <c r="B67" s="44" t="s">
        <v>125</v>
      </c>
      <c r="C67" s="3">
        <f t="shared" ref="C67:V67" si="0">C36*$C$62</f>
        <v>213208.22327138396</v>
      </c>
      <c r="D67" s="3">
        <f t="shared" si="0"/>
        <v>437659.91159743024</v>
      </c>
      <c r="E67" s="3">
        <f t="shared" si="0"/>
        <v>663210.73669045931</v>
      </c>
      <c r="F67" s="3">
        <f t="shared" si="0"/>
        <v>825320.7774417965</v>
      </c>
      <c r="G67" s="3">
        <f t="shared" si="0"/>
        <v>1482628.3974417965</v>
      </c>
      <c r="H67" s="3">
        <f t="shared" si="0"/>
        <v>1911278.9574417965</v>
      </c>
      <c r="I67" s="3">
        <f t="shared" si="0"/>
        <v>2455076.1294417968</v>
      </c>
      <c r="J67" s="3">
        <f t="shared" si="0"/>
        <v>2761150.7034417968</v>
      </c>
      <c r="K67" s="3">
        <f t="shared" si="0"/>
        <v>3068277.343441797</v>
      </c>
      <c r="L67" s="3">
        <f t="shared" si="0"/>
        <v>3342319</v>
      </c>
      <c r="M67" s="3">
        <f t="shared" si="0"/>
        <v>3342319</v>
      </c>
      <c r="N67" s="3">
        <f t="shared" si="0"/>
        <v>3342319</v>
      </c>
      <c r="O67" s="3">
        <f t="shared" si="0"/>
        <v>3342319</v>
      </c>
      <c r="P67" s="3">
        <f t="shared" si="0"/>
        <v>3342319</v>
      </c>
      <c r="Q67" s="3">
        <f t="shared" si="0"/>
        <v>3342319</v>
      </c>
      <c r="R67" s="3">
        <f t="shared" si="0"/>
        <v>3342319</v>
      </c>
      <c r="S67" s="3">
        <f t="shared" si="0"/>
        <v>3342319</v>
      </c>
      <c r="T67" s="3">
        <f t="shared" si="0"/>
        <v>3342319</v>
      </c>
      <c r="U67" s="3">
        <f t="shared" si="0"/>
        <v>3342319</v>
      </c>
      <c r="V67" s="3">
        <f t="shared" si="0"/>
        <v>3342319</v>
      </c>
      <c r="W67" s="3"/>
    </row>
    <row r="68" spans="2:23" x14ac:dyDescent="0.45">
      <c r="B68" s="44" t="s">
        <v>126</v>
      </c>
      <c r="C68" s="3">
        <f t="shared" ref="C68:V68" si="1">C37*$C$62</f>
        <v>63962</v>
      </c>
      <c r="D68" s="3">
        <f t="shared" si="1"/>
        <v>152619</v>
      </c>
      <c r="E68" s="3">
        <f t="shared" si="1"/>
        <v>264050</v>
      </c>
      <c r="F68" s="3">
        <f t="shared" si="1"/>
        <v>368344</v>
      </c>
      <c r="G68" s="3">
        <f t="shared" si="1"/>
        <v>626185</v>
      </c>
      <c r="H68" s="3">
        <f t="shared" si="1"/>
        <v>869883</v>
      </c>
      <c r="I68" s="3">
        <f t="shared" si="1"/>
        <v>1182884</v>
      </c>
      <c r="J68" s="3">
        <f t="shared" si="1"/>
        <v>1446082</v>
      </c>
      <c r="K68" s="3">
        <f t="shared" si="1"/>
        <v>1718771</v>
      </c>
      <c r="L68" s="3">
        <f t="shared" si="1"/>
        <v>1974397</v>
      </c>
      <c r="M68" s="3">
        <f t="shared" si="1"/>
        <v>2148689</v>
      </c>
      <c r="N68" s="3">
        <f t="shared" si="1"/>
        <v>2296346</v>
      </c>
      <c r="O68" s="3">
        <f t="shared" si="1"/>
        <v>2422196</v>
      </c>
      <c r="P68" s="3">
        <f t="shared" si="1"/>
        <v>2515181</v>
      </c>
      <c r="Q68" s="3">
        <f t="shared" si="1"/>
        <v>2586733</v>
      </c>
      <c r="R68" s="3">
        <f t="shared" si="1"/>
        <v>2631095</v>
      </c>
      <c r="S68" s="3">
        <f t="shared" si="1"/>
        <v>2660153</v>
      </c>
      <c r="T68" s="3">
        <f t="shared" si="1"/>
        <v>2673855</v>
      </c>
      <c r="U68" s="3">
        <f t="shared" si="1"/>
        <v>2673855</v>
      </c>
      <c r="V68" s="3">
        <f t="shared" si="1"/>
        <v>2673855</v>
      </c>
      <c r="W68" s="3"/>
    </row>
    <row r="69" spans="2:23" x14ac:dyDescent="0.45">
      <c r="B69" s="44" t="s">
        <v>127</v>
      </c>
      <c r="C69" s="3">
        <f t="shared" ref="C69:V69" si="2">C38*$C$62</f>
        <v>13291560.949296411</v>
      </c>
      <c r="D69" s="3">
        <f t="shared" si="2"/>
        <v>18452171.442002639</v>
      </c>
      <c r="E69" s="3">
        <f t="shared" si="2"/>
        <v>24484468.297245603</v>
      </c>
      <c r="F69" s="3">
        <f t="shared" si="2"/>
        <v>55493375.23831334</v>
      </c>
      <c r="G69" s="3">
        <f t="shared" si="2"/>
        <v>147886712.55656683</v>
      </c>
      <c r="H69" s="3">
        <f t="shared" si="2"/>
        <v>150516087.57841554</v>
      </c>
      <c r="I69" s="3">
        <f t="shared" si="2"/>
        <v>200871312.44642758</v>
      </c>
      <c r="J69" s="3">
        <f t="shared" si="2"/>
        <v>181407757.86575353</v>
      </c>
      <c r="K69" s="3">
        <f t="shared" si="2"/>
        <v>195859705.06748897</v>
      </c>
      <c r="L69" s="3">
        <f t="shared" si="2"/>
        <v>193259988.14857376</v>
      </c>
      <c r="M69" s="3">
        <f t="shared" si="2"/>
        <v>151729184.30892071</v>
      </c>
      <c r="N69" s="3">
        <f t="shared" si="2"/>
        <v>139357396.27823192</v>
      </c>
      <c r="O69" s="3">
        <f t="shared" si="2"/>
        <v>128812083.11207932</v>
      </c>
      <c r="P69" s="3">
        <f t="shared" si="2"/>
        <v>110116836.94128768</v>
      </c>
      <c r="Q69" s="3">
        <f t="shared" si="2"/>
        <v>104050445.41600886</v>
      </c>
      <c r="R69" s="3">
        <f t="shared" si="2"/>
        <v>87162434.069254294</v>
      </c>
      <c r="S69" s="3">
        <f t="shared" si="2"/>
        <v>79758342.356516376</v>
      </c>
      <c r="T69" s="3">
        <f t="shared" si="2"/>
        <v>67361280.175768778</v>
      </c>
      <c r="U69" s="3">
        <f t="shared" si="2"/>
        <v>57915439.826741584</v>
      </c>
      <c r="V69" s="3">
        <f t="shared" si="2"/>
        <v>54906952.564002819</v>
      </c>
      <c r="W69" s="3"/>
    </row>
    <row r="70" spans="2:23" x14ac:dyDescent="0.45">
      <c r="B70" s="44" t="s">
        <v>128</v>
      </c>
      <c r="C70" s="3">
        <f t="shared" ref="C70:V70" si="3">C39*$C$62</f>
        <v>42258429.566088237</v>
      </c>
      <c r="D70" s="3">
        <f t="shared" si="3"/>
        <v>54148208.527869716</v>
      </c>
      <c r="E70" s="3">
        <f t="shared" si="3"/>
        <v>48100994.553199433</v>
      </c>
      <c r="F70" s="3">
        <f t="shared" si="3"/>
        <v>421660567.65352976</v>
      </c>
      <c r="G70" s="3">
        <f t="shared" si="3"/>
        <v>331751745.80031526</v>
      </c>
      <c r="H70" s="3">
        <f t="shared" si="3"/>
        <v>455960762.30341846</v>
      </c>
      <c r="I70" s="3">
        <f t="shared" si="3"/>
        <v>250091860.97954232</v>
      </c>
      <c r="J70" s="3">
        <f t="shared" si="3"/>
        <v>308158115.90955633</v>
      </c>
      <c r="K70" s="3">
        <f t="shared" si="3"/>
        <v>299921127.85089862</v>
      </c>
      <c r="L70" s="3">
        <f t="shared" si="3"/>
        <v>8407101.9241651744</v>
      </c>
      <c r="M70" s="3">
        <f t="shared" si="3"/>
        <v>6452074.6901821075</v>
      </c>
      <c r="N70" s="3">
        <f t="shared" si="3"/>
        <v>6755965.8564346265</v>
      </c>
      <c r="O70" s="3">
        <f t="shared" si="3"/>
        <v>5602936.003365566</v>
      </c>
      <c r="P70" s="3">
        <f t="shared" si="3"/>
        <v>7135298.2940043025</v>
      </c>
      <c r="Q70" s="3">
        <f t="shared" si="3"/>
        <v>13643909.813482754</v>
      </c>
      <c r="R70" s="3">
        <f t="shared" si="3"/>
        <v>9669874.8969923686</v>
      </c>
      <c r="S70" s="3">
        <f t="shared" si="3"/>
        <v>9178680.797219513</v>
      </c>
      <c r="T70" s="3">
        <f t="shared" si="3"/>
        <v>5545746.314033594</v>
      </c>
      <c r="U70" s="3">
        <f t="shared" si="3"/>
        <v>5230035.6427515764</v>
      </c>
      <c r="V70" s="3">
        <f t="shared" si="3"/>
        <v>17638425.437720124</v>
      </c>
      <c r="W70" s="3"/>
    </row>
    <row r="71" spans="2:23" x14ac:dyDescent="0.45">
      <c r="B71" s="44" t="s">
        <v>129</v>
      </c>
      <c r="C71" s="3">
        <f t="shared" ref="C71:V71" si="4">C40*$C$62</f>
        <v>4630356.2069058362</v>
      </c>
      <c r="D71" s="3">
        <f t="shared" si="4"/>
        <v>6390816.4034002405</v>
      </c>
      <c r="E71" s="3">
        <f t="shared" si="4"/>
        <v>7945229.1828377945</v>
      </c>
      <c r="F71" s="3">
        <f t="shared" si="4"/>
        <v>31780905.648329861</v>
      </c>
      <c r="G71" s="3">
        <f t="shared" si="4"/>
        <v>49092643.230723575</v>
      </c>
      <c r="H71" s="3">
        <f t="shared" si="4"/>
        <v>69362384.006634414</v>
      </c>
      <c r="I71" s="3">
        <f t="shared" si="4"/>
        <v>85568860.874401405</v>
      </c>
      <c r="J71" s="3">
        <f t="shared" si="4"/>
        <v>101698124.63527408</v>
      </c>
      <c r="K71" s="3">
        <f t="shared" si="4"/>
        <v>118198266.49081935</v>
      </c>
      <c r="L71" s="3">
        <f t="shared" si="4"/>
        <v>126070029.04157728</v>
      </c>
      <c r="M71" s="3">
        <f t="shared" si="4"/>
        <v>132251374.60434309</v>
      </c>
      <c r="N71" s="3">
        <f t="shared" si="4"/>
        <v>137865316.88146859</v>
      </c>
      <c r="O71" s="3">
        <f t="shared" si="4"/>
        <v>105401880.44799475</v>
      </c>
      <c r="P71" s="3">
        <f t="shared" si="4"/>
        <v>109127072.50510028</v>
      </c>
      <c r="Q71" s="3">
        <f t="shared" si="4"/>
        <v>112468125.67253233</v>
      </c>
      <c r="R71" s="3">
        <f t="shared" si="4"/>
        <v>115281264.01874118</v>
      </c>
      <c r="S71" s="3">
        <f t="shared" si="4"/>
        <v>117801262.13703193</v>
      </c>
      <c r="T71" s="3">
        <f t="shared" si="4"/>
        <v>120013317.83433105</v>
      </c>
      <c r="U71" s="3">
        <f t="shared" si="4"/>
        <v>121940408.02798614</v>
      </c>
      <c r="V71" s="3">
        <f t="shared" si="4"/>
        <v>123880772.3728106</v>
      </c>
      <c r="W71" s="3"/>
    </row>
    <row r="72" spans="2:23" x14ac:dyDescent="0.45">
      <c r="B72" s="44" t="s">
        <v>130</v>
      </c>
      <c r="C72" s="3">
        <f t="shared" ref="C72:V72" si="5">C41*$C$62</f>
        <v>1643926.188925002</v>
      </c>
      <c r="D72" s="3">
        <f t="shared" si="5"/>
        <v>2346595.3990893839</v>
      </c>
      <c r="E72" s="3">
        <f t="shared" si="5"/>
        <v>3014259.3536584447</v>
      </c>
      <c r="F72" s="3">
        <f t="shared" si="5"/>
        <v>3056677.7203590544</v>
      </c>
      <c r="G72" s="3">
        <f t="shared" si="5"/>
        <v>6850527.0045516528</v>
      </c>
      <c r="H72" s="3">
        <f t="shared" si="5"/>
        <v>6760017.1329135094</v>
      </c>
      <c r="I72" s="3">
        <f t="shared" si="5"/>
        <v>8572475.2938008942</v>
      </c>
      <c r="J72" s="3">
        <f t="shared" si="5"/>
        <v>7645047.0112889288</v>
      </c>
      <c r="K72" s="3">
        <f t="shared" si="5"/>
        <v>7990131.8963886751</v>
      </c>
      <c r="L72" s="3">
        <f t="shared" si="5"/>
        <v>7725033.2082927441</v>
      </c>
      <c r="M72" s="3">
        <f t="shared" si="5"/>
        <v>6029600.1501560323</v>
      </c>
      <c r="N72" s="3">
        <f t="shared" si="5"/>
        <v>5450473.9377673585</v>
      </c>
      <c r="O72" s="3">
        <f t="shared" si="5"/>
        <v>4953137.5455219774</v>
      </c>
      <c r="P72" s="3">
        <f t="shared" si="5"/>
        <v>4215607.734770773</v>
      </c>
      <c r="Q72" s="3">
        <f t="shared" si="5"/>
        <v>3698402.8229766469</v>
      </c>
      <c r="R72" s="3">
        <f t="shared" si="5"/>
        <v>3063007.199424874</v>
      </c>
      <c r="S72" s="3">
        <f t="shared" si="5"/>
        <v>2656870.4710836485</v>
      </c>
      <c r="T72" s="3">
        <f t="shared" si="5"/>
        <v>2252140.1060262439</v>
      </c>
      <c r="U72" s="3">
        <f t="shared" si="5"/>
        <v>1882244.356150975</v>
      </c>
      <c r="V72" s="3">
        <f t="shared" si="5"/>
        <v>1770582.7783678859</v>
      </c>
      <c r="W72" s="3"/>
    </row>
    <row r="74" spans="2:23" x14ac:dyDescent="0.45">
      <c r="B74" s="42" t="str">
        <f>"High case - "&amp;ROUND($C$62*MAX($C$36:$V$36)/million,1)&amp;"m premises"</f>
        <v>High case - 3.3m premises</v>
      </c>
      <c r="C74" s="47">
        <v>1</v>
      </c>
      <c r="D74" s="47">
        <v>2</v>
      </c>
      <c r="E74" s="47">
        <v>3</v>
      </c>
      <c r="F74" s="47">
        <v>4</v>
      </c>
      <c r="G74" s="47">
        <v>5</v>
      </c>
      <c r="H74" s="47">
        <v>6</v>
      </c>
      <c r="I74" s="47">
        <v>7</v>
      </c>
      <c r="J74" s="47">
        <v>8</v>
      </c>
      <c r="K74" s="47">
        <v>9</v>
      </c>
      <c r="L74" s="47">
        <v>10</v>
      </c>
      <c r="M74" s="47">
        <v>11</v>
      </c>
      <c r="N74" s="47">
        <v>12</v>
      </c>
      <c r="O74" s="47">
        <v>13</v>
      </c>
      <c r="P74" s="47">
        <v>14</v>
      </c>
      <c r="Q74" s="47">
        <v>15</v>
      </c>
      <c r="R74" s="47">
        <v>16</v>
      </c>
      <c r="S74" s="47">
        <v>17</v>
      </c>
      <c r="T74" s="47">
        <v>18</v>
      </c>
      <c r="U74" s="47">
        <v>19</v>
      </c>
      <c r="V74" s="47">
        <v>20</v>
      </c>
      <c r="W74" s="47"/>
    </row>
    <row r="75" spans="2:23" x14ac:dyDescent="0.45">
      <c r="B75" s="44"/>
      <c r="C75" s="17" t="s">
        <v>5</v>
      </c>
      <c r="D75" s="17" t="s">
        <v>6</v>
      </c>
      <c r="E75" s="58" t="s">
        <v>7</v>
      </c>
      <c r="F75" s="58" t="s">
        <v>8</v>
      </c>
      <c r="G75" s="17" t="s">
        <v>9</v>
      </c>
      <c r="H75" s="17" t="s">
        <v>10</v>
      </c>
      <c r="I75" s="17" t="s">
        <v>11</v>
      </c>
      <c r="J75" s="17" t="s">
        <v>12</v>
      </c>
      <c r="K75" s="17" t="s">
        <v>13</v>
      </c>
      <c r="L75" s="17" t="s">
        <v>14</v>
      </c>
      <c r="M75" s="17" t="s">
        <v>49</v>
      </c>
      <c r="N75" s="17" t="s">
        <v>50</v>
      </c>
      <c r="O75" s="17" t="s">
        <v>51</v>
      </c>
      <c r="P75" s="17" t="s">
        <v>52</v>
      </c>
      <c r="Q75" s="17" t="s">
        <v>53</v>
      </c>
      <c r="R75" s="17" t="s">
        <v>54</v>
      </c>
      <c r="S75" s="17" t="s">
        <v>55</v>
      </c>
      <c r="T75" s="17" t="s">
        <v>56</v>
      </c>
      <c r="U75" s="17" t="s">
        <v>57</v>
      </c>
      <c r="V75" s="17" t="s">
        <v>58</v>
      </c>
      <c r="W75" s="17"/>
    </row>
    <row r="76" spans="2:23" x14ac:dyDescent="0.45">
      <c r="B76" s="44" t="s">
        <v>125</v>
      </c>
      <c r="C76" s="3">
        <f t="shared" ref="C76:V76" si="6">C45*$C$62</f>
        <v>213208.22327138396</v>
      </c>
      <c r="D76" s="3">
        <f t="shared" si="6"/>
        <v>437659.91159743024</v>
      </c>
      <c r="E76" s="3">
        <f t="shared" si="6"/>
        <v>663210.73669045931</v>
      </c>
      <c r="F76" s="3">
        <f t="shared" si="6"/>
        <v>825320.7774417965</v>
      </c>
      <c r="G76" s="3">
        <f t="shared" si="6"/>
        <v>1482628.3974417965</v>
      </c>
      <c r="H76" s="3">
        <f t="shared" si="6"/>
        <v>1911278.9574417965</v>
      </c>
      <c r="I76" s="3">
        <f t="shared" si="6"/>
        <v>2455076.1294417968</v>
      </c>
      <c r="J76" s="3">
        <f t="shared" si="6"/>
        <v>2761150.7034417968</v>
      </c>
      <c r="K76" s="3">
        <f t="shared" si="6"/>
        <v>3068277.343441797</v>
      </c>
      <c r="L76" s="3">
        <f t="shared" si="6"/>
        <v>3342319</v>
      </c>
      <c r="M76" s="3">
        <f t="shared" si="6"/>
        <v>3342319</v>
      </c>
      <c r="N76" s="3">
        <f t="shared" si="6"/>
        <v>3342319</v>
      </c>
      <c r="O76" s="3">
        <f t="shared" si="6"/>
        <v>3342319</v>
      </c>
      <c r="P76" s="3">
        <f t="shared" si="6"/>
        <v>3342319</v>
      </c>
      <c r="Q76" s="3">
        <f t="shared" si="6"/>
        <v>3342319</v>
      </c>
      <c r="R76" s="3">
        <f t="shared" si="6"/>
        <v>3342319</v>
      </c>
      <c r="S76" s="3">
        <f t="shared" si="6"/>
        <v>3342319</v>
      </c>
      <c r="T76" s="3">
        <f t="shared" si="6"/>
        <v>3342319</v>
      </c>
      <c r="U76" s="3">
        <f t="shared" si="6"/>
        <v>3342319</v>
      </c>
      <c r="V76" s="3">
        <f t="shared" si="6"/>
        <v>3342319</v>
      </c>
      <c r="W76" s="3"/>
    </row>
    <row r="77" spans="2:23" x14ac:dyDescent="0.45">
      <c r="B77" s="44" t="s">
        <v>126</v>
      </c>
      <c r="C77" s="3">
        <f t="shared" ref="C77:V77" si="7">C46*$C$62</f>
        <v>63962</v>
      </c>
      <c r="D77" s="3">
        <f t="shared" si="7"/>
        <v>152619</v>
      </c>
      <c r="E77" s="3">
        <f t="shared" si="7"/>
        <v>264050</v>
      </c>
      <c r="F77" s="3">
        <f t="shared" si="7"/>
        <v>368344</v>
      </c>
      <c r="G77" s="3">
        <f t="shared" si="7"/>
        <v>626185</v>
      </c>
      <c r="H77" s="3">
        <f t="shared" si="7"/>
        <v>869883</v>
      </c>
      <c r="I77" s="3">
        <f t="shared" si="7"/>
        <v>1182884</v>
      </c>
      <c r="J77" s="3">
        <f t="shared" si="7"/>
        <v>1446082</v>
      </c>
      <c r="K77" s="3">
        <f t="shared" si="7"/>
        <v>1718771</v>
      </c>
      <c r="L77" s="3">
        <f t="shared" si="7"/>
        <v>1974397</v>
      </c>
      <c r="M77" s="3">
        <f t="shared" si="7"/>
        <v>2148689</v>
      </c>
      <c r="N77" s="3">
        <f t="shared" si="7"/>
        <v>2296346</v>
      </c>
      <c r="O77" s="3">
        <f t="shared" si="7"/>
        <v>2422196</v>
      </c>
      <c r="P77" s="3">
        <f t="shared" si="7"/>
        <v>2515181</v>
      </c>
      <c r="Q77" s="3">
        <f t="shared" si="7"/>
        <v>2586733</v>
      </c>
      <c r="R77" s="3">
        <f t="shared" si="7"/>
        <v>2631095</v>
      </c>
      <c r="S77" s="3">
        <f t="shared" si="7"/>
        <v>2660153</v>
      </c>
      <c r="T77" s="3">
        <f t="shared" si="7"/>
        <v>2673855</v>
      </c>
      <c r="U77" s="3">
        <f t="shared" si="7"/>
        <v>2673855</v>
      </c>
      <c r="V77" s="3">
        <f t="shared" si="7"/>
        <v>2673855</v>
      </c>
      <c r="W77" s="3"/>
    </row>
    <row r="78" spans="2:23" x14ac:dyDescent="0.45">
      <c r="B78" s="44" t="s">
        <v>127</v>
      </c>
      <c r="C78" s="3">
        <f t="shared" ref="C78:V78" si="8">C47*$C$62</f>
        <v>13291560.949296411</v>
      </c>
      <c r="D78" s="3">
        <f t="shared" si="8"/>
        <v>18452171.442002639</v>
      </c>
      <c r="E78" s="3">
        <f t="shared" si="8"/>
        <v>24484468.297245603</v>
      </c>
      <c r="F78" s="3">
        <f t="shared" si="8"/>
        <v>55493375.23831334</v>
      </c>
      <c r="G78" s="3">
        <f t="shared" si="8"/>
        <v>147886712.55656683</v>
      </c>
      <c r="H78" s="3">
        <f t="shared" si="8"/>
        <v>150516087.57841554</v>
      </c>
      <c r="I78" s="3">
        <f t="shared" si="8"/>
        <v>200871312.44642758</v>
      </c>
      <c r="J78" s="3">
        <f t="shared" si="8"/>
        <v>181407757.86575353</v>
      </c>
      <c r="K78" s="3">
        <f t="shared" si="8"/>
        <v>195859705.06748897</v>
      </c>
      <c r="L78" s="3">
        <f t="shared" si="8"/>
        <v>193259988.14857376</v>
      </c>
      <c r="M78" s="3">
        <f t="shared" si="8"/>
        <v>151729184.30892071</v>
      </c>
      <c r="N78" s="3">
        <f t="shared" si="8"/>
        <v>139357396.27823192</v>
      </c>
      <c r="O78" s="3">
        <f t="shared" si="8"/>
        <v>128812083.11207932</v>
      </c>
      <c r="P78" s="3">
        <f t="shared" si="8"/>
        <v>110116836.94128768</v>
      </c>
      <c r="Q78" s="3">
        <f t="shared" si="8"/>
        <v>104050445.41600886</v>
      </c>
      <c r="R78" s="3">
        <f t="shared" si="8"/>
        <v>87162434.069254294</v>
      </c>
      <c r="S78" s="3">
        <f t="shared" si="8"/>
        <v>79758342.356516376</v>
      </c>
      <c r="T78" s="3">
        <f t="shared" si="8"/>
        <v>67361280.175768778</v>
      </c>
      <c r="U78" s="3">
        <f t="shared" si="8"/>
        <v>57915439.826741584</v>
      </c>
      <c r="V78" s="3">
        <f t="shared" si="8"/>
        <v>54906952.564002819</v>
      </c>
      <c r="W78" s="3"/>
    </row>
    <row r="79" spans="2:23" x14ac:dyDescent="0.45">
      <c r="B79" s="44" t="s">
        <v>128</v>
      </c>
      <c r="C79" s="3">
        <f t="shared" ref="C79:V79" si="9">C48*$C$62</f>
        <v>55130657.335441969</v>
      </c>
      <c r="D79" s="3">
        <f t="shared" si="9"/>
        <v>70923876.295482755</v>
      </c>
      <c r="E79" s="3">
        <f t="shared" si="9"/>
        <v>61956281.195655361</v>
      </c>
      <c r="F79" s="3">
        <f t="shared" si="9"/>
        <v>535123323.78352958</v>
      </c>
      <c r="G79" s="3">
        <f t="shared" si="9"/>
        <v>413706675.0915004</v>
      </c>
      <c r="H79" s="3">
        <f t="shared" si="9"/>
        <v>565829934.42445326</v>
      </c>
      <c r="I79" s="3">
        <f t="shared" si="9"/>
        <v>309379592.25141788</v>
      </c>
      <c r="J79" s="3">
        <f t="shared" si="9"/>
        <v>363221950.40336925</v>
      </c>
      <c r="K79" s="3">
        <f t="shared" si="9"/>
        <v>359380326.23763329</v>
      </c>
      <c r="L79" s="3">
        <f t="shared" si="9"/>
        <v>8407101.9241651744</v>
      </c>
      <c r="M79" s="3">
        <f t="shared" si="9"/>
        <v>6452074.6901821075</v>
      </c>
      <c r="N79" s="3">
        <f t="shared" si="9"/>
        <v>6755965.8564346265</v>
      </c>
      <c r="O79" s="3">
        <f t="shared" si="9"/>
        <v>5602936.003365566</v>
      </c>
      <c r="P79" s="3">
        <f t="shared" si="9"/>
        <v>7135298.2940043025</v>
      </c>
      <c r="Q79" s="3">
        <f t="shared" si="9"/>
        <v>13643909.813482754</v>
      </c>
      <c r="R79" s="3">
        <f t="shared" si="9"/>
        <v>9669874.8969923686</v>
      </c>
      <c r="S79" s="3">
        <f t="shared" si="9"/>
        <v>9178680.797219513</v>
      </c>
      <c r="T79" s="3">
        <f t="shared" si="9"/>
        <v>5545746.314033594</v>
      </c>
      <c r="U79" s="3">
        <f t="shared" si="9"/>
        <v>5230035.6427515764</v>
      </c>
      <c r="V79" s="3">
        <f t="shared" si="9"/>
        <v>17638425.437720124</v>
      </c>
      <c r="W79" s="3"/>
    </row>
    <row r="80" spans="2:23" x14ac:dyDescent="0.45">
      <c r="B80" s="44" t="s">
        <v>129</v>
      </c>
      <c r="C80" s="3">
        <f t="shared" ref="C80:V80" si="10">C49*$C$62</f>
        <v>5364706.9047144139</v>
      </c>
      <c r="D80" s="3">
        <f t="shared" si="10"/>
        <v>7029997.5285413917</v>
      </c>
      <c r="E80" s="3">
        <f t="shared" si="10"/>
        <v>8376480.0436553992</v>
      </c>
      <c r="F80" s="3">
        <f t="shared" si="10"/>
        <v>34604307.616329335</v>
      </c>
      <c r="G80" s="3">
        <f t="shared" si="10"/>
        <v>52905869.053019114</v>
      </c>
      <c r="H80" s="3">
        <f t="shared" si="10"/>
        <v>74527892.563535616</v>
      </c>
      <c r="I80" s="3">
        <f t="shared" si="10"/>
        <v>91413803.915628597</v>
      </c>
      <c r="J80" s="3">
        <f t="shared" si="10"/>
        <v>108144578.65233555</v>
      </c>
      <c r="K80" s="3">
        <f t="shared" si="10"/>
        <v>125279214.54715832</v>
      </c>
      <c r="L80" s="3">
        <f t="shared" si="10"/>
        <v>133095747.68182325</v>
      </c>
      <c r="M80" s="3">
        <f t="shared" si="10"/>
        <v>139219888.75118759</v>
      </c>
      <c r="N80" s="3">
        <f t="shared" si="10"/>
        <v>144774949.16400364</v>
      </c>
      <c r="O80" s="3">
        <f t="shared" si="10"/>
        <v>106491080.15920781</v>
      </c>
      <c r="P80" s="3">
        <f t="shared" si="10"/>
        <v>110138394.69641162</v>
      </c>
      <c r="Q80" s="3">
        <f t="shared" si="10"/>
        <v>113399743.98967654</v>
      </c>
      <c r="R80" s="3">
        <f t="shared" si="10"/>
        <v>116131314.8553582</v>
      </c>
      <c r="S80" s="3">
        <f t="shared" si="10"/>
        <v>118567843.88766982</v>
      </c>
      <c r="T80" s="3">
        <f t="shared" si="10"/>
        <v>120694490.13250332</v>
      </c>
      <c r="U80" s="3">
        <f t="shared" si="10"/>
        <v>122534190.96898511</v>
      </c>
      <c r="V80" s="3">
        <f t="shared" si="10"/>
        <v>124385145.72097163</v>
      </c>
      <c r="W80" s="3"/>
    </row>
    <row r="81" spans="1:23" x14ac:dyDescent="0.45">
      <c r="B81" s="44" t="s">
        <v>130</v>
      </c>
      <c r="C81" s="3">
        <f t="shared" ref="C81:V81" si="11">C50*$C$62</f>
        <v>1643926.188925002</v>
      </c>
      <c r="D81" s="3">
        <f t="shared" si="11"/>
        <v>2346595.3990893839</v>
      </c>
      <c r="E81" s="3">
        <f t="shared" si="11"/>
        <v>3014259.3536584447</v>
      </c>
      <c r="F81" s="3">
        <f t="shared" si="11"/>
        <v>3056677.7203590544</v>
      </c>
      <c r="G81" s="3">
        <f t="shared" si="11"/>
        <v>6850527.0045516528</v>
      </c>
      <c r="H81" s="3">
        <f t="shared" si="11"/>
        <v>6760017.1329135094</v>
      </c>
      <c r="I81" s="3">
        <f t="shared" si="11"/>
        <v>8572475.2938008942</v>
      </c>
      <c r="J81" s="3">
        <f t="shared" si="11"/>
        <v>7645047.0112889288</v>
      </c>
      <c r="K81" s="3">
        <f t="shared" si="11"/>
        <v>7990131.8963886751</v>
      </c>
      <c r="L81" s="3">
        <f t="shared" si="11"/>
        <v>7725033.2082927441</v>
      </c>
      <c r="M81" s="3">
        <f t="shared" si="11"/>
        <v>6029600.1501560323</v>
      </c>
      <c r="N81" s="3">
        <f t="shared" si="11"/>
        <v>5450473.9377673585</v>
      </c>
      <c r="O81" s="3">
        <f t="shared" si="11"/>
        <v>4953137.5455219774</v>
      </c>
      <c r="P81" s="3">
        <f t="shared" si="11"/>
        <v>4215607.734770773</v>
      </c>
      <c r="Q81" s="3">
        <f t="shared" si="11"/>
        <v>3698402.8229766469</v>
      </c>
      <c r="R81" s="3">
        <f t="shared" si="11"/>
        <v>3063007.199424874</v>
      </c>
      <c r="S81" s="3">
        <f t="shared" si="11"/>
        <v>2656870.4710836485</v>
      </c>
      <c r="T81" s="3">
        <f t="shared" si="11"/>
        <v>2252140.1060262439</v>
      </c>
      <c r="U81" s="3">
        <f t="shared" si="11"/>
        <v>1882244.356150975</v>
      </c>
      <c r="V81" s="3">
        <f t="shared" si="11"/>
        <v>1770582.7783678859</v>
      </c>
      <c r="W81" s="3"/>
    </row>
    <row r="83" spans="1:23" x14ac:dyDescent="0.45">
      <c r="B83" s="42" t="str">
        <f>"Low case - "&amp;ROUND($C$62*MAX($C$36:$V$36)/million,1)&amp;"m premises"</f>
        <v>Low case - 3.3m premises</v>
      </c>
      <c r="C83" s="47">
        <v>1</v>
      </c>
      <c r="D83" s="47">
        <v>2</v>
      </c>
      <c r="E83" s="47">
        <v>3</v>
      </c>
      <c r="F83" s="47">
        <v>4</v>
      </c>
      <c r="G83" s="47">
        <v>5</v>
      </c>
      <c r="H83" s="47">
        <v>6</v>
      </c>
      <c r="I83" s="47">
        <v>7</v>
      </c>
      <c r="J83" s="47">
        <v>8</v>
      </c>
      <c r="K83" s="47">
        <v>9</v>
      </c>
      <c r="L83" s="47">
        <v>10</v>
      </c>
      <c r="M83" s="47">
        <v>11</v>
      </c>
      <c r="N83" s="47">
        <v>12</v>
      </c>
      <c r="O83" s="47">
        <v>13</v>
      </c>
      <c r="P83" s="47">
        <v>14</v>
      </c>
      <c r="Q83" s="47">
        <v>15</v>
      </c>
      <c r="R83" s="47">
        <v>16</v>
      </c>
      <c r="S83" s="47">
        <v>17</v>
      </c>
      <c r="T83" s="47">
        <v>18</v>
      </c>
      <c r="U83" s="47">
        <v>19</v>
      </c>
      <c r="V83" s="47">
        <v>20</v>
      </c>
      <c r="W83" s="47"/>
    </row>
    <row r="84" spans="1:23" x14ac:dyDescent="0.45">
      <c r="B84" s="44"/>
      <c r="C84" s="17" t="s">
        <v>5</v>
      </c>
      <c r="D84" s="17" t="s">
        <v>6</v>
      </c>
      <c r="E84" s="58" t="s">
        <v>7</v>
      </c>
      <c r="F84" s="58" t="s">
        <v>8</v>
      </c>
      <c r="G84" s="17" t="s">
        <v>9</v>
      </c>
      <c r="H84" s="17" t="s">
        <v>10</v>
      </c>
      <c r="I84" s="17" t="s">
        <v>11</v>
      </c>
      <c r="J84" s="17" t="s">
        <v>12</v>
      </c>
      <c r="K84" s="17" t="s">
        <v>13</v>
      </c>
      <c r="L84" s="17" t="s">
        <v>14</v>
      </c>
      <c r="M84" s="17" t="s">
        <v>49</v>
      </c>
      <c r="N84" s="17" t="s">
        <v>50</v>
      </c>
      <c r="O84" s="17" t="s">
        <v>51</v>
      </c>
      <c r="P84" s="17" t="s">
        <v>52</v>
      </c>
      <c r="Q84" s="17" t="s">
        <v>53</v>
      </c>
      <c r="R84" s="17" t="s">
        <v>54</v>
      </c>
      <c r="S84" s="17" t="s">
        <v>55</v>
      </c>
      <c r="T84" s="17" t="s">
        <v>56</v>
      </c>
      <c r="U84" s="17" t="s">
        <v>57</v>
      </c>
      <c r="V84" s="17" t="s">
        <v>58</v>
      </c>
      <c r="W84" s="17"/>
    </row>
    <row r="85" spans="1:23" x14ac:dyDescent="0.45">
      <c r="B85" s="44" t="s">
        <v>125</v>
      </c>
      <c r="C85" s="3">
        <f t="shared" ref="C85:V85" si="12">C54*$C$62</f>
        <v>213208.22327138396</v>
      </c>
      <c r="D85" s="3">
        <f t="shared" si="12"/>
        <v>437659.91159743024</v>
      </c>
      <c r="E85" s="3">
        <f t="shared" si="12"/>
        <v>663210.73669045931</v>
      </c>
      <c r="F85" s="3">
        <f t="shared" si="12"/>
        <v>825320.7774417965</v>
      </c>
      <c r="G85" s="3">
        <f t="shared" si="12"/>
        <v>1482628.3974417965</v>
      </c>
      <c r="H85" s="3">
        <f t="shared" si="12"/>
        <v>1911278.9574417965</v>
      </c>
      <c r="I85" s="3">
        <f t="shared" si="12"/>
        <v>2455076.1294417968</v>
      </c>
      <c r="J85" s="3">
        <f t="shared" si="12"/>
        <v>2761150.7034417968</v>
      </c>
      <c r="K85" s="3">
        <f t="shared" si="12"/>
        <v>3068277.343441797</v>
      </c>
      <c r="L85" s="3">
        <f t="shared" si="12"/>
        <v>3342319</v>
      </c>
      <c r="M85" s="3">
        <f t="shared" si="12"/>
        <v>3342319</v>
      </c>
      <c r="N85" s="3">
        <f t="shared" si="12"/>
        <v>3342319</v>
      </c>
      <c r="O85" s="3">
        <f t="shared" si="12"/>
        <v>3342319</v>
      </c>
      <c r="P85" s="3">
        <f t="shared" si="12"/>
        <v>3342319</v>
      </c>
      <c r="Q85" s="3">
        <f t="shared" si="12"/>
        <v>3342319</v>
      </c>
      <c r="R85" s="3">
        <f t="shared" si="12"/>
        <v>3342319</v>
      </c>
      <c r="S85" s="3">
        <f t="shared" si="12"/>
        <v>3342319</v>
      </c>
      <c r="T85" s="3">
        <f t="shared" si="12"/>
        <v>3342319</v>
      </c>
      <c r="U85" s="3">
        <f t="shared" si="12"/>
        <v>3342319</v>
      </c>
      <c r="V85" s="3">
        <f t="shared" si="12"/>
        <v>3342319</v>
      </c>
      <c r="W85" s="3"/>
    </row>
    <row r="86" spans="1:23" x14ac:dyDescent="0.45">
      <c r="B86" s="44" t="s">
        <v>126</v>
      </c>
      <c r="C86" s="3">
        <f t="shared" ref="C86:V86" si="13">C55*$C$62</f>
        <v>63962</v>
      </c>
      <c r="D86" s="3">
        <f t="shared" si="13"/>
        <v>152619</v>
      </c>
      <c r="E86" s="3">
        <f t="shared" si="13"/>
        <v>264050</v>
      </c>
      <c r="F86" s="3">
        <f t="shared" si="13"/>
        <v>368344</v>
      </c>
      <c r="G86" s="3">
        <f t="shared" si="13"/>
        <v>626185</v>
      </c>
      <c r="H86" s="3">
        <f t="shared" si="13"/>
        <v>869883</v>
      </c>
      <c r="I86" s="3">
        <f t="shared" si="13"/>
        <v>1182884</v>
      </c>
      <c r="J86" s="3">
        <f t="shared" si="13"/>
        <v>1446082</v>
      </c>
      <c r="K86" s="3">
        <f t="shared" si="13"/>
        <v>1718771</v>
      </c>
      <c r="L86" s="3">
        <f t="shared" si="13"/>
        <v>1974397</v>
      </c>
      <c r="M86" s="3">
        <f t="shared" si="13"/>
        <v>2148689</v>
      </c>
      <c r="N86" s="3">
        <f t="shared" si="13"/>
        <v>2296346</v>
      </c>
      <c r="O86" s="3">
        <f t="shared" si="13"/>
        <v>2422196</v>
      </c>
      <c r="P86" s="3">
        <f t="shared" si="13"/>
        <v>2515181</v>
      </c>
      <c r="Q86" s="3">
        <f t="shared" si="13"/>
        <v>2586733</v>
      </c>
      <c r="R86" s="3">
        <f t="shared" si="13"/>
        <v>2631095</v>
      </c>
      <c r="S86" s="3">
        <f t="shared" si="13"/>
        <v>2660153</v>
      </c>
      <c r="T86" s="3">
        <f t="shared" si="13"/>
        <v>2673855</v>
      </c>
      <c r="U86" s="3">
        <f t="shared" si="13"/>
        <v>2673855</v>
      </c>
      <c r="V86" s="3">
        <f t="shared" si="13"/>
        <v>2673855</v>
      </c>
      <c r="W86" s="3"/>
    </row>
    <row r="87" spans="1:23" x14ac:dyDescent="0.45">
      <c r="B87" s="44" t="s">
        <v>127</v>
      </c>
      <c r="C87" s="3">
        <f t="shared" ref="C87:V87" si="14">C56*$C$62</f>
        <v>13291560.949296411</v>
      </c>
      <c r="D87" s="3">
        <f t="shared" si="14"/>
        <v>18452171.442002639</v>
      </c>
      <c r="E87" s="3">
        <f t="shared" si="14"/>
        <v>24484468.297245603</v>
      </c>
      <c r="F87" s="3">
        <f t="shared" si="14"/>
        <v>55493375.23831334</v>
      </c>
      <c r="G87" s="3">
        <f t="shared" si="14"/>
        <v>147886712.55656683</v>
      </c>
      <c r="H87" s="3">
        <f t="shared" si="14"/>
        <v>150516087.57841554</v>
      </c>
      <c r="I87" s="3">
        <f t="shared" si="14"/>
        <v>200871312.44642758</v>
      </c>
      <c r="J87" s="3">
        <f t="shared" si="14"/>
        <v>181407757.86575353</v>
      </c>
      <c r="K87" s="3">
        <f t="shared" si="14"/>
        <v>195859705.06748897</v>
      </c>
      <c r="L87" s="3">
        <f t="shared" si="14"/>
        <v>193259988.14857376</v>
      </c>
      <c r="M87" s="3">
        <f t="shared" si="14"/>
        <v>151729184.30892071</v>
      </c>
      <c r="N87" s="3">
        <f t="shared" si="14"/>
        <v>139357396.27823192</v>
      </c>
      <c r="O87" s="3">
        <f t="shared" si="14"/>
        <v>128812083.11207932</v>
      </c>
      <c r="P87" s="3">
        <f t="shared" si="14"/>
        <v>110116836.94128768</v>
      </c>
      <c r="Q87" s="3">
        <f t="shared" si="14"/>
        <v>104050445.41600886</v>
      </c>
      <c r="R87" s="3">
        <f t="shared" si="14"/>
        <v>87162434.069254294</v>
      </c>
      <c r="S87" s="3">
        <f t="shared" si="14"/>
        <v>79758342.356516376</v>
      </c>
      <c r="T87" s="3">
        <f t="shared" si="14"/>
        <v>67361280.175768778</v>
      </c>
      <c r="U87" s="3">
        <f t="shared" si="14"/>
        <v>57915439.826741584</v>
      </c>
      <c r="V87" s="3">
        <f t="shared" si="14"/>
        <v>54906952.564002819</v>
      </c>
      <c r="W87" s="3"/>
    </row>
    <row r="88" spans="1:23" x14ac:dyDescent="0.45">
      <c r="B88" s="44" t="s">
        <v>128</v>
      </c>
      <c r="C88" s="3">
        <f t="shared" ref="C88:V88" si="15">C57*$C$62</f>
        <v>32869557.864458274</v>
      </c>
      <c r="D88" s="3">
        <f t="shared" si="15"/>
        <v>49994868.474958599</v>
      </c>
      <c r="E88" s="3">
        <f t="shared" si="15"/>
        <v>42907099.810928047</v>
      </c>
      <c r="F88" s="3">
        <f t="shared" si="15"/>
        <v>354977682.24352968</v>
      </c>
      <c r="G88" s="3">
        <f t="shared" si="15"/>
        <v>271920592.23936981</v>
      </c>
      <c r="H88" s="3">
        <f t="shared" si="15"/>
        <v>355374198.12573367</v>
      </c>
      <c r="I88" s="3">
        <f t="shared" si="15"/>
        <v>197345144.33465114</v>
      </c>
      <c r="J88" s="3">
        <f t="shared" si="15"/>
        <v>209417699.13506112</v>
      </c>
      <c r="K88" s="3">
        <f t="shared" si="15"/>
        <v>211474734.11783367</v>
      </c>
      <c r="L88" s="3">
        <f t="shared" si="15"/>
        <v>8407101.9241651744</v>
      </c>
      <c r="M88" s="3">
        <f t="shared" si="15"/>
        <v>6452074.6901821075</v>
      </c>
      <c r="N88" s="3">
        <f t="shared" si="15"/>
        <v>6755965.8564346265</v>
      </c>
      <c r="O88" s="3">
        <f t="shared" si="15"/>
        <v>5602936.003365566</v>
      </c>
      <c r="P88" s="3">
        <f t="shared" si="15"/>
        <v>7135298.2940043025</v>
      </c>
      <c r="Q88" s="3">
        <f t="shared" si="15"/>
        <v>13643909.813482754</v>
      </c>
      <c r="R88" s="3">
        <f t="shared" si="15"/>
        <v>9669874.8969923686</v>
      </c>
      <c r="S88" s="3">
        <f t="shared" si="15"/>
        <v>9178680.797219513</v>
      </c>
      <c r="T88" s="3">
        <f t="shared" si="15"/>
        <v>5545746.314033594</v>
      </c>
      <c r="U88" s="3">
        <f t="shared" si="15"/>
        <v>5230035.6427515764</v>
      </c>
      <c r="V88" s="3">
        <f t="shared" si="15"/>
        <v>17638425.437720124</v>
      </c>
      <c r="W88" s="3"/>
    </row>
    <row r="89" spans="1:23" x14ac:dyDescent="0.45">
      <c r="B89" s="44" t="s">
        <v>129</v>
      </c>
      <c r="C89" s="3">
        <f t="shared" ref="C89:V89" si="16">C58*$C$62</f>
        <v>4034593.8159842291</v>
      </c>
      <c r="D89" s="3">
        <f t="shared" si="16"/>
        <v>6018176.2877033744</v>
      </c>
      <c r="E89" s="3">
        <f t="shared" si="16"/>
        <v>7711097.1909423927</v>
      </c>
      <c r="F89" s="3">
        <f t="shared" si="16"/>
        <v>30194555.886893995</v>
      </c>
      <c r="G89" s="3">
        <f t="shared" si="16"/>
        <v>46813393.938444734</v>
      </c>
      <c r="H89" s="3">
        <f t="shared" si="16"/>
        <v>65912405.830461353</v>
      </c>
      <c r="I89" s="3">
        <f t="shared" si="16"/>
        <v>81545377.085351065</v>
      </c>
      <c r="J89" s="3">
        <f t="shared" si="16"/>
        <v>96631271.092851534</v>
      </c>
      <c r="K89" s="3">
        <f t="shared" si="16"/>
        <v>112266283.74222629</v>
      </c>
      <c r="L89" s="3">
        <f t="shared" si="16"/>
        <v>120217937.40525289</v>
      </c>
      <c r="M89" s="3">
        <f t="shared" si="16"/>
        <v>126458887.64954208</v>
      </c>
      <c r="N89" s="3">
        <f t="shared" si="16"/>
        <v>132134103.1471837</v>
      </c>
      <c r="O89" s="3">
        <f t="shared" si="16"/>
        <v>104879613.19630879</v>
      </c>
      <c r="P89" s="3">
        <f t="shared" si="16"/>
        <v>108683399.76286183</v>
      </c>
      <c r="Q89" s="3">
        <f t="shared" si="16"/>
        <v>112104859.4853951</v>
      </c>
      <c r="R89" s="3">
        <f t="shared" si="16"/>
        <v>115000253.32101162</v>
      </c>
      <c r="S89" s="3">
        <f t="shared" si="16"/>
        <v>117604393.49118938</v>
      </c>
      <c r="T89" s="3">
        <f t="shared" si="16"/>
        <v>119902516.18534289</v>
      </c>
      <c r="U89" s="3">
        <f t="shared" si="16"/>
        <v>121917637.47271423</v>
      </c>
      <c r="V89" s="3">
        <f t="shared" si="16"/>
        <v>123948036.94481021</v>
      </c>
      <c r="W89" s="3"/>
    </row>
    <row r="90" spans="1:23" x14ac:dyDescent="0.45">
      <c r="B90" s="44" t="s">
        <v>130</v>
      </c>
      <c r="C90" s="3">
        <f t="shared" ref="C90:V90" si="17">C59*$C$62</f>
        <v>1643926.188925002</v>
      </c>
      <c r="D90" s="3">
        <f t="shared" si="17"/>
        <v>2346595.3990893839</v>
      </c>
      <c r="E90" s="3">
        <f t="shared" si="17"/>
        <v>3014259.3536584447</v>
      </c>
      <c r="F90" s="3">
        <f t="shared" si="17"/>
        <v>3056677.7203590544</v>
      </c>
      <c r="G90" s="3">
        <f t="shared" si="17"/>
        <v>6850527.0045516528</v>
      </c>
      <c r="H90" s="3">
        <f t="shared" si="17"/>
        <v>6760017.1329135094</v>
      </c>
      <c r="I90" s="3">
        <f t="shared" si="17"/>
        <v>8572475.2938008942</v>
      </c>
      <c r="J90" s="3">
        <f t="shared" si="17"/>
        <v>7645047.0112889288</v>
      </c>
      <c r="K90" s="3">
        <f t="shared" si="17"/>
        <v>7990131.8963886751</v>
      </c>
      <c r="L90" s="3">
        <f t="shared" si="17"/>
        <v>7725033.2082927441</v>
      </c>
      <c r="M90" s="3">
        <f t="shared" si="17"/>
        <v>6029600.1501560323</v>
      </c>
      <c r="N90" s="3">
        <f t="shared" si="17"/>
        <v>5450473.9377673585</v>
      </c>
      <c r="O90" s="3">
        <f t="shared" si="17"/>
        <v>4953137.5455219774</v>
      </c>
      <c r="P90" s="3">
        <f t="shared" si="17"/>
        <v>4215607.734770773</v>
      </c>
      <c r="Q90" s="3">
        <f t="shared" si="17"/>
        <v>3698402.8229766469</v>
      </c>
      <c r="R90" s="3">
        <f t="shared" si="17"/>
        <v>3063007.199424874</v>
      </c>
      <c r="S90" s="3">
        <f t="shared" si="17"/>
        <v>2656870.4710836485</v>
      </c>
      <c r="T90" s="3">
        <f t="shared" si="17"/>
        <v>2252140.1060262439</v>
      </c>
      <c r="U90" s="3">
        <f t="shared" si="17"/>
        <v>1882244.356150975</v>
      </c>
      <c r="V90" s="3">
        <f t="shared" si="17"/>
        <v>1770582.7783678859</v>
      </c>
      <c r="W90" s="3"/>
    </row>
    <row r="91" spans="1:23" x14ac:dyDescent="0.45">
      <c r="C91" s="67"/>
      <c r="D91" s="67"/>
      <c r="E91" s="67"/>
      <c r="F91" s="67"/>
      <c r="G91" s="67"/>
      <c r="H91" s="67"/>
      <c r="I91" s="67"/>
      <c r="J91" s="67"/>
      <c r="K91" s="67"/>
      <c r="L91" s="67"/>
      <c r="M91" s="3"/>
      <c r="N91" s="3"/>
      <c r="O91" s="3"/>
      <c r="P91" s="3"/>
      <c r="Q91" s="3"/>
      <c r="R91" s="3"/>
      <c r="S91" s="3"/>
      <c r="T91" s="3"/>
      <c r="U91" s="3"/>
    </row>
    <row r="92" spans="1:23" ht="14.65" thickBot="1" x14ac:dyDescent="0.5">
      <c r="B92" s="44" t="s">
        <v>135</v>
      </c>
      <c r="C92" s="3">
        <f>C67</f>
        <v>213208.22327138396</v>
      </c>
      <c r="D92" s="3">
        <f t="shared" ref="D92:V92" si="18">D67-C67</f>
        <v>224451.68832604628</v>
      </c>
      <c r="E92" s="3">
        <f t="shared" si="18"/>
        <v>225550.82509302907</v>
      </c>
      <c r="F92" s="3">
        <f t="shared" si="18"/>
        <v>162110.04075133719</v>
      </c>
      <c r="G92" s="3">
        <f t="shared" si="18"/>
        <v>657307.62</v>
      </c>
      <c r="H92" s="3">
        <f t="shared" si="18"/>
        <v>428650.56000000006</v>
      </c>
      <c r="I92" s="3">
        <f t="shared" si="18"/>
        <v>543797.17200000025</v>
      </c>
      <c r="J92" s="3">
        <f t="shared" si="18"/>
        <v>306074.57400000002</v>
      </c>
      <c r="K92" s="3">
        <f t="shared" si="18"/>
        <v>307126.64000000013</v>
      </c>
      <c r="L92" s="3">
        <f t="shared" si="18"/>
        <v>274041.65655820305</v>
      </c>
      <c r="M92" s="3">
        <f t="shared" si="18"/>
        <v>0</v>
      </c>
      <c r="N92" s="3">
        <f t="shared" si="18"/>
        <v>0</v>
      </c>
      <c r="O92" s="3">
        <f t="shared" si="18"/>
        <v>0</v>
      </c>
      <c r="P92" s="3">
        <f t="shared" si="18"/>
        <v>0</v>
      </c>
      <c r="Q92" s="3">
        <f t="shared" si="18"/>
        <v>0</v>
      </c>
      <c r="R92" s="3">
        <f t="shared" si="18"/>
        <v>0</v>
      </c>
      <c r="S92" s="3">
        <f t="shared" si="18"/>
        <v>0</v>
      </c>
      <c r="T92" s="3">
        <f t="shared" si="18"/>
        <v>0</v>
      </c>
      <c r="U92" s="3">
        <f t="shared" si="18"/>
        <v>0</v>
      </c>
      <c r="V92" s="3">
        <f t="shared" si="18"/>
        <v>0</v>
      </c>
      <c r="W92" s="3"/>
    </row>
    <row r="93" spans="1:23" x14ac:dyDescent="0.45">
      <c r="A93" s="43"/>
      <c r="B93" s="44" t="s">
        <v>136</v>
      </c>
      <c r="C93" s="183">
        <v>68881</v>
      </c>
      <c r="D93" s="183">
        <v>99083</v>
      </c>
      <c r="E93" s="183">
        <v>128110</v>
      </c>
      <c r="F93" s="183">
        <v>127688</v>
      </c>
      <c r="G93" s="183">
        <v>295222</v>
      </c>
      <c r="H93" s="183">
        <v>293299</v>
      </c>
      <c r="I93" s="183">
        <v>378180</v>
      </c>
      <c r="J93" s="183">
        <v>339133</v>
      </c>
      <c r="K93" s="183">
        <v>359094</v>
      </c>
      <c r="L93" s="183">
        <v>350737</v>
      </c>
      <c r="M93" s="183">
        <v>273177</v>
      </c>
      <c r="N93" s="183">
        <v>248701</v>
      </c>
      <c r="O93" s="183">
        <v>227710</v>
      </c>
      <c r="P93" s="183">
        <v>193968</v>
      </c>
      <c r="Q93" s="183">
        <v>170681</v>
      </c>
      <c r="R93" s="183">
        <v>140541</v>
      </c>
      <c r="S93" s="183">
        <v>121746</v>
      </c>
      <c r="T93" s="183">
        <v>102449</v>
      </c>
      <c r="U93" s="183">
        <v>84473</v>
      </c>
      <c r="V93" s="183">
        <v>80338</v>
      </c>
      <c r="W93" s="4"/>
    </row>
    <row r="94" spans="1:23" x14ac:dyDescent="0.45">
      <c r="B94" s="43"/>
      <c r="C94" s="43" t="s">
        <v>122</v>
      </c>
      <c r="D94" s="3"/>
      <c r="E94" s="3"/>
      <c r="F94" s="3"/>
      <c r="G94" s="3"/>
      <c r="H94" s="3"/>
      <c r="I94" s="3"/>
      <c r="J94" s="3"/>
      <c r="K94" s="3"/>
      <c r="L94" s="3"/>
      <c r="M94" s="3"/>
      <c r="N94" s="3"/>
      <c r="O94" s="3"/>
      <c r="P94" s="3"/>
      <c r="Q94" s="3"/>
      <c r="R94" s="3"/>
      <c r="S94" s="3"/>
      <c r="T94" s="3"/>
      <c r="U94" s="3"/>
      <c r="V94" s="3"/>
      <c r="W94" s="3"/>
    </row>
    <row r="95" spans="1:23" x14ac:dyDescent="0.45">
      <c r="B95" s="44" t="s">
        <v>137</v>
      </c>
      <c r="C95" s="86">
        <f>SUM(C70:L70)/SUM(C92:L92)</f>
        <v>664.34679486565574</v>
      </c>
      <c r="E95" s="3"/>
      <c r="H95" s="3"/>
    </row>
    <row r="96" spans="1:23" x14ac:dyDescent="0.45">
      <c r="B96" s="44" t="s">
        <v>138</v>
      </c>
      <c r="C96" s="86">
        <f>SUM(C79:L79)/SUM(C92:L92)</f>
        <v>820.70553975926566</v>
      </c>
      <c r="D96" s="3"/>
      <c r="E96" s="3"/>
      <c r="H96" s="3"/>
    </row>
    <row r="97" spans="2:23" x14ac:dyDescent="0.45">
      <c r="B97" s="44" t="s">
        <v>139</v>
      </c>
      <c r="C97" s="86">
        <f>SUM(C88:L88)/SUM(C92:L92)</f>
        <v>519.0075149232282</v>
      </c>
      <c r="D97" s="3"/>
      <c r="E97" s="3"/>
      <c r="H97" s="3"/>
    </row>
    <row r="99" spans="2:23" x14ac:dyDescent="0.45">
      <c r="B99" s="44" t="s">
        <v>140</v>
      </c>
      <c r="C99" s="86">
        <f>SUM(C69:T69)/SUM(C93:T93)</f>
        <v>523.13983826259505</v>
      </c>
    </row>
    <row r="100" spans="2:23" x14ac:dyDescent="0.45">
      <c r="B100" s="44" t="s">
        <v>141</v>
      </c>
      <c r="C100" s="86">
        <f>SUM(C78:T78)/SUM(C93:T93)</f>
        <v>523.13983826259505</v>
      </c>
      <c r="E100" s="6"/>
    </row>
    <row r="101" spans="2:23" x14ac:dyDescent="0.45">
      <c r="B101" s="44" t="s">
        <v>142</v>
      </c>
      <c r="C101" s="86">
        <f>SUM(C87:T87)/SUM(C93:T93)</f>
        <v>523.13983826259505</v>
      </c>
      <c r="E101" s="3"/>
    </row>
    <row r="102" spans="2:23" x14ac:dyDescent="0.45">
      <c r="E102" s="3"/>
    </row>
    <row r="103" spans="2:23" x14ac:dyDescent="0.45">
      <c r="B103" s="44" t="s">
        <v>143</v>
      </c>
      <c r="C103" s="86">
        <f>SUM(C71:V71)/SUM(C68:V68)</f>
        <v>52.925307529138628</v>
      </c>
      <c r="E103" s="3"/>
    </row>
    <row r="104" spans="2:23" x14ac:dyDescent="0.45">
      <c r="B104" s="44" t="s">
        <v>144</v>
      </c>
      <c r="C104" s="86">
        <f>SUM(C80:V80)/SUM(C68:V68)</f>
        <v>54.701824975296603</v>
      </c>
    </row>
    <row r="105" spans="2:23" x14ac:dyDescent="0.45">
      <c r="B105" s="44" t="s">
        <v>145</v>
      </c>
      <c r="C105" s="86">
        <f>SUM(C89:V89)/SUM(C68:V68)</f>
        <v>51.664903772436958</v>
      </c>
    </row>
    <row r="107" spans="2:23" x14ac:dyDescent="0.45">
      <c r="B107" s="44" t="s">
        <v>146</v>
      </c>
      <c r="C107" s="86">
        <f>SUM(C72:O72)/SUM(C93:O93)</f>
        <v>22.589389464368669</v>
      </c>
    </row>
    <row r="108" spans="2:23" x14ac:dyDescent="0.45">
      <c r="B108" s="44" t="s">
        <v>147</v>
      </c>
      <c r="C108" s="86">
        <f>SUM(C81:O81)/SUM(C93:O93)</f>
        <v>22.589389464368669</v>
      </c>
    </row>
    <row r="109" spans="2:23" x14ac:dyDescent="0.45">
      <c r="B109" s="44" t="s">
        <v>148</v>
      </c>
      <c r="C109" s="86">
        <f>SUM(C90:O90)/SUM(C93:O93)</f>
        <v>22.589389464368669</v>
      </c>
    </row>
    <row r="112" spans="2:23" x14ac:dyDescent="0.45">
      <c r="B112" s="44" t="s">
        <v>62</v>
      </c>
      <c r="C112" s="87">
        <f t="shared" ref="C112:V112" si="19">C37</f>
        <v>63962</v>
      </c>
      <c r="D112" s="87">
        <f t="shared" si="19"/>
        <v>152619</v>
      </c>
      <c r="E112" s="87">
        <f t="shared" si="19"/>
        <v>264050</v>
      </c>
      <c r="F112" s="87">
        <f t="shared" si="19"/>
        <v>368344</v>
      </c>
      <c r="G112" s="87">
        <f t="shared" si="19"/>
        <v>626185</v>
      </c>
      <c r="H112" s="87">
        <f t="shared" si="19"/>
        <v>869883</v>
      </c>
      <c r="I112" s="87">
        <f t="shared" si="19"/>
        <v>1182884</v>
      </c>
      <c r="J112" s="87">
        <f t="shared" si="19"/>
        <v>1446082</v>
      </c>
      <c r="K112" s="87">
        <f t="shared" si="19"/>
        <v>1718771</v>
      </c>
      <c r="L112" s="87">
        <f t="shared" si="19"/>
        <v>1974397</v>
      </c>
      <c r="M112" s="87">
        <f t="shared" si="19"/>
        <v>2148689</v>
      </c>
      <c r="N112" s="87">
        <f t="shared" si="19"/>
        <v>2296346</v>
      </c>
      <c r="O112" s="87">
        <f t="shared" si="19"/>
        <v>2422196</v>
      </c>
      <c r="P112" s="87">
        <f t="shared" si="19"/>
        <v>2515181</v>
      </c>
      <c r="Q112" s="87">
        <f t="shared" si="19"/>
        <v>2586733</v>
      </c>
      <c r="R112" s="87">
        <f t="shared" si="19"/>
        <v>2631095</v>
      </c>
      <c r="S112" s="87">
        <f t="shared" si="19"/>
        <v>2660153</v>
      </c>
      <c r="T112" s="87">
        <f t="shared" si="19"/>
        <v>2673855</v>
      </c>
      <c r="U112" s="87">
        <f t="shared" si="19"/>
        <v>2673855</v>
      </c>
      <c r="V112" s="87">
        <f t="shared" si="19"/>
        <v>2673855</v>
      </c>
      <c r="W112" s="87"/>
    </row>
    <row r="113" spans="1:23" x14ac:dyDescent="0.45">
      <c r="B113" s="44" t="s">
        <v>63</v>
      </c>
      <c r="C113" s="3">
        <f t="shared" ref="C113:V113" si="20">C185</f>
        <v>4481286.7119855089</v>
      </c>
      <c r="D113" s="3">
        <f t="shared" si="20"/>
        <v>4208486.1202214025</v>
      </c>
      <c r="E113" s="3">
        <f t="shared" si="20"/>
        <v>3738776.8279626556</v>
      </c>
      <c r="F113" s="3">
        <f t="shared" si="20"/>
        <v>3467721.8484063833</v>
      </c>
      <c r="G113" s="3">
        <f t="shared" si="20"/>
        <v>2880567.9331319034</v>
      </c>
      <c r="H113" s="3">
        <f t="shared" si="20"/>
        <v>2403567.9247276555</v>
      </c>
      <c r="I113" s="3">
        <f t="shared" si="20"/>
        <v>2130968.9056820534</v>
      </c>
      <c r="J113" s="3">
        <f t="shared" si="20"/>
        <v>1734332.9654457518</v>
      </c>
      <c r="K113" s="3">
        <f t="shared" si="20"/>
        <v>1313527.3767920588</v>
      </c>
      <c r="L113" s="3">
        <f t="shared" si="20"/>
        <v>918680.63014986145</v>
      </c>
      <c r="M113" s="3">
        <f t="shared" si="20"/>
        <v>546331.5207746441</v>
      </c>
      <c r="N113" s="3">
        <f t="shared" si="20"/>
        <v>198657.13064183827</v>
      </c>
      <c r="O113" s="3">
        <f t="shared" si="20"/>
        <v>0</v>
      </c>
      <c r="P113" s="3">
        <f t="shared" si="20"/>
        <v>0</v>
      </c>
      <c r="Q113" s="3">
        <f t="shared" si="20"/>
        <v>0</v>
      </c>
      <c r="R113" s="3">
        <f t="shared" si="20"/>
        <v>0</v>
      </c>
      <c r="S113" s="3">
        <f t="shared" si="20"/>
        <v>0</v>
      </c>
      <c r="T113" s="3">
        <f t="shared" si="20"/>
        <v>0</v>
      </c>
      <c r="U113" s="3">
        <f t="shared" si="20"/>
        <v>0</v>
      </c>
      <c r="V113" s="3">
        <f t="shared" si="20"/>
        <v>0</v>
      </c>
      <c r="W113" s="3"/>
    </row>
    <row r="114" spans="1:23" x14ac:dyDescent="0.45">
      <c r="B114" s="44" t="s">
        <v>149</v>
      </c>
      <c r="C114" s="87">
        <f t="shared" ref="C114:V114" si="21">SUM(C112:C113)</f>
        <v>4545248.7119855089</v>
      </c>
      <c r="D114" s="87">
        <f t="shared" si="21"/>
        <v>4361105.1202214025</v>
      </c>
      <c r="E114" s="87">
        <f t="shared" si="21"/>
        <v>4002826.8279626556</v>
      </c>
      <c r="F114" s="87">
        <f t="shared" si="21"/>
        <v>3836065.8484063833</v>
      </c>
      <c r="G114" s="87">
        <f t="shared" si="21"/>
        <v>3506752.9331319034</v>
      </c>
      <c r="H114" s="87">
        <f t="shared" si="21"/>
        <v>3273450.9247276555</v>
      </c>
      <c r="I114" s="87">
        <f t="shared" si="21"/>
        <v>3313852.9056820534</v>
      </c>
      <c r="J114" s="87">
        <f t="shared" si="21"/>
        <v>3180414.9654457518</v>
      </c>
      <c r="K114" s="87">
        <f t="shared" si="21"/>
        <v>3032298.3767920588</v>
      </c>
      <c r="L114" s="87">
        <f t="shared" si="21"/>
        <v>2893077.6301498613</v>
      </c>
      <c r="M114" s="87">
        <f t="shared" si="21"/>
        <v>2695020.5207746439</v>
      </c>
      <c r="N114" s="87">
        <f t="shared" si="21"/>
        <v>2495003.1306418381</v>
      </c>
      <c r="O114" s="87">
        <f t="shared" si="21"/>
        <v>2422196</v>
      </c>
      <c r="P114" s="87">
        <f t="shared" si="21"/>
        <v>2515181</v>
      </c>
      <c r="Q114" s="87">
        <f t="shared" si="21"/>
        <v>2586733</v>
      </c>
      <c r="R114" s="87">
        <f t="shared" si="21"/>
        <v>2631095</v>
      </c>
      <c r="S114" s="87">
        <f t="shared" si="21"/>
        <v>2660153</v>
      </c>
      <c r="T114" s="87">
        <f t="shared" si="21"/>
        <v>2673855</v>
      </c>
      <c r="U114" s="87">
        <f t="shared" si="21"/>
        <v>2673855</v>
      </c>
      <c r="V114" s="87">
        <f t="shared" si="21"/>
        <v>2673855</v>
      </c>
      <c r="W114" s="87"/>
    </row>
    <row r="117" spans="1:23" x14ac:dyDescent="0.45">
      <c r="B117" s="44" t="s">
        <v>150</v>
      </c>
      <c r="C117" s="80" t="s">
        <v>151</v>
      </c>
      <c r="D117" s="80" t="s">
        <v>38</v>
      </c>
    </row>
    <row r="120" spans="1:23" ht="15.75" x14ac:dyDescent="0.45">
      <c r="A120" s="62" t="s">
        <v>152</v>
      </c>
      <c r="C120" s="43"/>
    </row>
    <row r="121" spans="1:23" x14ac:dyDescent="0.45">
      <c r="C121" s="88"/>
      <c r="D121" s="152" t="s">
        <v>153</v>
      </c>
    </row>
    <row r="122" spans="1:23" x14ac:dyDescent="0.45">
      <c r="B122" s="44" t="s">
        <v>154</v>
      </c>
      <c r="C122" s="61">
        <v>7.9000000000000001E-2</v>
      </c>
      <c r="D122" s="61">
        <v>7.8E-2</v>
      </c>
      <c r="E122" s="43"/>
    </row>
    <row r="123" spans="1:23" x14ac:dyDescent="0.45">
      <c r="B123" s="44" t="s">
        <v>155</v>
      </c>
      <c r="C123" s="61">
        <v>7.4999999999999997E-2</v>
      </c>
      <c r="D123" s="89"/>
      <c r="F123" s="43"/>
    </row>
    <row r="126" spans="1:23" x14ac:dyDescent="0.45">
      <c r="B126" s="44"/>
      <c r="C126" s="47">
        <v>1</v>
      </c>
      <c r="D126" s="47">
        <v>2</v>
      </c>
      <c r="E126" s="47">
        <v>3</v>
      </c>
      <c r="F126" s="47">
        <v>4</v>
      </c>
      <c r="G126" s="47">
        <v>5</v>
      </c>
      <c r="H126" s="47">
        <v>6</v>
      </c>
      <c r="I126" s="47">
        <v>7</v>
      </c>
      <c r="J126" s="47">
        <v>8</v>
      </c>
      <c r="K126" s="47">
        <v>9</v>
      </c>
      <c r="L126" s="47">
        <v>10</v>
      </c>
      <c r="M126" s="47">
        <v>11</v>
      </c>
      <c r="N126" s="47">
        <v>12</v>
      </c>
      <c r="O126" s="47">
        <v>13</v>
      </c>
      <c r="P126" s="47">
        <v>14</v>
      </c>
      <c r="Q126" s="47">
        <v>15</v>
      </c>
      <c r="R126" s="47">
        <v>16</v>
      </c>
      <c r="S126" s="47">
        <v>17</v>
      </c>
      <c r="T126" s="47">
        <v>18</v>
      </c>
      <c r="U126" s="47">
        <v>19</v>
      </c>
      <c r="V126" s="47">
        <v>20</v>
      </c>
      <c r="W126" s="47"/>
    </row>
    <row r="127" spans="1:23" x14ac:dyDescent="0.45">
      <c r="B127" s="44"/>
      <c r="C127" s="17" t="s">
        <v>5</v>
      </c>
      <c r="D127" s="17" t="s">
        <v>6</v>
      </c>
      <c r="E127" s="58" t="s">
        <v>7</v>
      </c>
      <c r="F127" s="58" t="s">
        <v>8</v>
      </c>
      <c r="G127" s="17" t="s">
        <v>9</v>
      </c>
      <c r="H127" s="17" t="s">
        <v>10</v>
      </c>
      <c r="I127" s="17" t="s">
        <v>11</v>
      </c>
      <c r="J127" s="17" t="s">
        <v>12</v>
      </c>
      <c r="K127" s="17" t="s">
        <v>13</v>
      </c>
      <c r="L127" s="59" t="s">
        <v>14</v>
      </c>
      <c r="M127" s="17" t="s">
        <v>49</v>
      </c>
      <c r="N127" s="17" t="s">
        <v>50</v>
      </c>
      <c r="O127" s="17" t="s">
        <v>51</v>
      </c>
      <c r="P127" s="17" t="s">
        <v>52</v>
      </c>
      <c r="Q127" s="17" t="s">
        <v>53</v>
      </c>
      <c r="R127" s="17" t="s">
        <v>54</v>
      </c>
      <c r="S127" s="17" t="s">
        <v>55</v>
      </c>
      <c r="T127" s="17" t="s">
        <v>56</v>
      </c>
      <c r="U127" s="17" t="s">
        <v>57</v>
      </c>
      <c r="V127" s="17" t="s">
        <v>58</v>
      </c>
      <c r="W127" s="17"/>
    </row>
    <row r="128" spans="1:23" x14ac:dyDescent="0.45">
      <c r="B128" s="44" t="s">
        <v>59</v>
      </c>
      <c r="C128" s="63">
        <f>1/(1+$D122)^(C$126-1)</f>
        <v>1</v>
      </c>
      <c r="D128" s="63">
        <f>1/(1+$D122)^(D$126-1)</f>
        <v>0.92764378478664189</v>
      </c>
      <c r="E128" s="63">
        <f>1/(1+$D122)^(E$126-1)</f>
        <v>0.86052299145328559</v>
      </c>
      <c r="F128" s="63">
        <f>1/(1+$D122)^(F$126-1)</f>
        <v>0.79825880468764887</v>
      </c>
      <c r="G128" s="63">
        <f>1/(1+$D122)^(G$126-1)</f>
        <v>0.74049981881971139</v>
      </c>
      <c r="H128" s="63">
        <f t="shared" ref="H128:V128" si="22">1/(1+$C122)^(H$126-1)</f>
        <v>0.6837428164685847</v>
      </c>
      <c r="I128" s="63">
        <f t="shared" si="22"/>
        <v>0.6336819429736652</v>
      </c>
      <c r="J128" s="63">
        <f t="shared" si="22"/>
        <v>0.58728632342322995</v>
      </c>
      <c r="K128" s="63">
        <f t="shared" si="22"/>
        <v>0.54428760280188138</v>
      </c>
      <c r="L128" s="63">
        <f t="shared" si="22"/>
        <v>0.50443707395911164</v>
      </c>
      <c r="M128" s="63">
        <f t="shared" si="22"/>
        <v>0.46750423907239264</v>
      </c>
      <c r="N128" s="63">
        <f t="shared" si="22"/>
        <v>0.43327547643409886</v>
      </c>
      <c r="O128" s="63">
        <f t="shared" si="22"/>
        <v>0.40155280485087941</v>
      </c>
      <c r="P128" s="63">
        <f t="shared" si="22"/>
        <v>0.37215273850869274</v>
      </c>
      <c r="Q128" s="63">
        <f t="shared" si="22"/>
        <v>0.34490522567997478</v>
      </c>
      <c r="R128" s="63">
        <f t="shared" si="22"/>
        <v>0.31965266513436025</v>
      </c>
      <c r="S128" s="63">
        <f t="shared" si="22"/>
        <v>0.29624899456381865</v>
      </c>
      <c r="T128" s="63">
        <f t="shared" si="22"/>
        <v>0.27455884574960027</v>
      </c>
      <c r="U128" s="63">
        <f t="shared" si="22"/>
        <v>0.25445676158443026</v>
      </c>
      <c r="V128" s="63">
        <f t="shared" si="22"/>
        <v>0.23582647042115873</v>
      </c>
      <c r="W128" s="63"/>
    </row>
    <row r="129" spans="1:23" x14ac:dyDescent="0.45">
      <c r="B129" s="44" t="s">
        <v>60</v>
      </c>
      <c r="C129" s="63">
        <f t="shared" ref="C129:V129" si="23">1/(1+$C123)^(C$126-1)</f>
        <v>1</v>
      </c>
      <c r="D129" s="63">
        <f>1/(1+$C123)^(D$126-1)</f>
        <v>0.93023255813953487</v>
      </c>
      <c r="E129" s="63">
        <f t="shared" si="23"/>
        <v>0.86533261222282321</v>
      </c>
      <c r="F129" s="63">
        <f t="shared" si="23"/>
        <v>0.80496056950960304</v>
      </c>
      <c r="G129" s="63">
        <f t="shared" si="23"/>
        <v>0.7488005297763749</v>
      </c>
      <c r="H129" s="63">
        <f t="shared" si="23"/>
        <v>0.69655863235011617</v>
      </c>
      <c r="I129" s="63">
        <f t="shared" si="23"/>
        <v>0.64796151846522443</v>
      </c>
      <c r="J129" s="63">
        <f t="shared" si="23"/>
        <v>0.60275490089788319</v>
      </c>
      <c r="K129" s="63">
        <f t="shared" si="23"/>
        <v>0.56070223339337966</v>
      </c>
      <c r="L129" s="63">
        <f t="shared" si="23"/>
        <v>0.52158347292407414</v>
      </c>
      <c r="M129" s="63">
        <f t="shared" si="23"/>
        <v>0.48519392830146441</v>
      </c>
      <c r="N129" s="63">
        <f t="shared" si="23"/>
        <v>0.45134318911764126</v>
      </c>
      <c r="O129" s="63">
        <f t="shared" si="23"/>
        <v>0.41985412941175931</v>
      </c>
      <c r="P129" s="63">
        <f t="shared" si="23"/>
        <v>0.39056198084814819</v>
      </c>
      <c r="Q129" s="63">
        <f t="shared" si="23"/>
        <v>0.36331347055641694</v>
      </c>
      <c r="R129" s="63">
        <f t="shared" si="23"/>
        <v>0.33796601912224833</v>
      </c>
      <c r="S129" s="63">
        <f t="shared" si="23"/>
        <v>0.31438699453232405</v>
      </c>
      <c r="T129" s="63">
        <f t="shared" si="23"/>
        <v>0.29245301816960378</v>
      </c>
      <c r="U129" s="63">
        <f t="shared" si="23"/>
        <v>0.27204931922753844</v>
      </c>
      <c r="V129" s="63">
        <f t="shared" si="23"/>
        <v>0.25306913416515198</v>
      </c>
      <c r="W129" s="63"/>
    </row>
    <row r="130" spans="1:23" x14ac:dyDescent="0.45">
      <c r="B130" s="44"/>
    </row>
    <row r="131" spans="1:23" x14ac:dyDescent="0.45">
      <c r="B131" s="44"/>
    </row>
    <row r="132" spans="1:23" ht="15.75" x14ac:dyDescent="0.45">
      <c r="A132" s="62" t="s">
        <v>156</v>
      </c>
      <c r="C132" s="43"/>
    </row>
    <row r="133" spans="1:23" x14ac:dyDescent="0.45">
      <c r="A133" s="1" t="s">
        <v>157</v>
      </c>
      <c r="D133" s="66"/>
    </row>
    <row r="135" spans="1:23" x14ac:dyDescent="0.45">
      <c r="C135" s="47">
        <v>1</v>
      </c>
      <c r="D135" s="47">
        <v>2</v>
      </c>
      <c r="E135" s="47">
        <v>3</v>
      </c>
      <c r="F135" s="47">
        <v>4</v>
      </c>
      <c r="G135" s="47">
        <v>5</v>
      </c>
      <c r="H135" s="47">
        <v>6</v>
      </c>
      <c r="I135" s="47">
        <v>7</v>
      </c>
      <c r="J135" s="47">
        <v>8</v>
      </c>
      <c r="K135" s="47">
        <v>9</v>
      </c>
      <c r="L135" s="47">
        <v>10</v>
      </c>
      <c r="M135" s="47">
        <v>11</v>
      </c>
      <c r="N135" s="47">
        <v>12</v>
      </c>
      <c r="O135" s="47">
        <v>13</v>
      </c>
      <c r="P135" s="47">
        <v>14</v>
      </c>
      <c r="Q135" s="47">
        <v>15</v>
      </c>
      <c r="R135" s="47">
        <v>16</v>
      </c>
      <c r="S135" s="47">
        <v>17</v>
      </c>
      <c r="T135" s="47">
        <v>18</v>
      </c>
      <c r="U135" s="47">
        <v>19</v>
      </c>
      <c r="V135" s="47">
        <v>20</v>
      </c>
      <c r="W135" s="47"/>
    </row>
    <row r="136" spans="1:23" x14ac:dyDescent="0.45">
      <c r="C136" s="17" t="s">
        <v>5</v>
      </c>
      <c r="D136" s="17" t="s">
        <v>6</v>
      </c>
      <c r="E136" s="58" t="s">
        <v>7</v>
      </c>
      <c r="F136" s="58" t="s">
        <v>8</v>
      </c>
      <c r="G136" s="17" t="s">
        <v>9</v>
      </c>
      <c r="H136" s="17" t="s">
        <v>10</v>
      </c>
      <c r="I136" s="17" t="s">
        <v>11</v>
      </c>
      <c r="J136" s="17" t="s">
        <v>12</v>
      </c>
      <c r="K136" s="17" t="s">
        <v>13</v>
      </c>
      <c r="L136" s="17" t="s">
        <v>14</v>
      </c>
      <c r="M136" s="17" t="s">
        <v>49</v>
      </c>
      <c r="N136" s="17" t="s">
        <v>50</v>
      </c>
      <c r="O136" s="17" t="s">
        <v>51</v>
      </c>
      <c r="P136" s="17" t="s">
        <v>52</v>
      </c>
      <c r="Q136" s="17" t="s">
        <v>53</v>
      </c>
      <c r="R136" s="17" t="s">
        <v>54</v>
      </c>
      <c r="S136" s="17" t="s">
        <v>55</v>
      </c>
      <c r="T136" s="17" t="s">
        <v>56</v>
      </c>
      <c r="U136" s="17" t="s">
        <v>57</v>
      </c>
      <c r="V136" s="17" t="s">
        <v>58</v>
      </c>
      <c r="W136" s="17"/>
    </row>
    <row r="137" spans="1:23" x14ac:dyDescent="0.45">
      <c r="B137" s="44" t="s">
        <v>158</v>
      </c>
      <c r="C137" s="64">
        <f t="shared" ref="C137:G137" si="24">C139*0.5</f>
        <v>3.665227987947774</v>
      </c>
      <c r="D137" s="64">
        <f t="shared" si="24"/>
        <v>2.9306561100584529</v>
      </c>
      <c r="E137" s="64">
        <f t="shared" si="24"/>
        <v>2.4185393833788531</v>
      </c>
      <c r="F137" s="64">
        <f t="shared" si="24"/>
        <v>2.2732153301922731</v>
      </c>
      <c r="G137" s="64">
        <f t="shared" si="24"/>
        <v>1.8861611728605672</v>
      </c>
      <c r="H137" s="64">
        <f>H139*0.5</f>
        <v>1.8025279507529754</v>
      </c>
      <c r="I137" s="64">
        <f>I139*0.5</f>
        <v>1.3586383774856383</v>
      </c>
      <c r="J137" s="64">
        <f>J139*0.5</f>
        <v>1.1121521316596379</v>
      </c>
      <c r="K137" s="64">
        <f>K139*0.5</f>
        <v>0.78618194484582382</v>
      </c>
      <c r="L137" s="148">
        <f>K137*(1+'Top Down inputs'!L$140)</f>
        <v>0.80190469250220497</v>
      </c>
      <c r="M137" s="149">
        <f t="shared" ref="M137:V137" si="25">L137</f>
        <v>0.80190469250220497</v>
      </c>
      <c r="N137" s="149">
        <f t="shared" si="25"/>
        <v>0.80190469250220497</v>
      </c>
      <c r="O137" s="149">
        <f t="shared" si="25"/>
        <v>0.80190469250220497</v>
      </c>
      <c r="P137" s="149">
        <f t="shared" si="25"/>
        <v>0.80190469250220497</v>
      </c>
      <c r="Q137" s="149">
        <f t="shared" si="25"/>
        <v>0.80190469250220497</v>
      </c>
      <c r="R137" s="149">
        <f t="shared" si="25"/>
        <v>0.80190469250220497</v>
      </c>
      <c r="S137" s="149">
        <f t="shared" si="25"/>
        <v>0.80190469250220497</v>
      </c>
      <c r="T137" s="149">
        <f t="shared" si="25"/>
        <v>0.80190469250220497</v>
      </c>
      <c r="U137" s="149">
        <f t="shared" si="25"/>
        <v>0.80190469250220497</v>
      </c>
      <c r="V137" s="149">
        <f t="shared" si="25"/>
        <v>0.80190469250220497</v>
      </c>
      <c r="W137" s="149"/>
    </row>
    <row r="138" spans="1:23" x14ac:dyDescent="0.45">
      <c r="B138" s="44" t="s">
        <v>159</v>
      </c>
      <c r="C138" s="64">
        <f t="shared" ref="C138:G138" si="26">C139*1.5</f>
        <v>10.995683963843323</v>
      </c>
      <c r="D138" s="64">
        <f t="shared" si="26"/>
        <v>8.7919683301753579</v>
      </c>
      <c r="E138" s="64">
        <f t="shared" si="26"/>
        <v>7.2556181501365593</v>
      </c>
      <c r="F138" s="64">
        <f t="shared" si="26"/>
        <v>6.8196459905768192</v>
      </c>
      <c r="G138" s="64">
        <f t="shared" si="26"/>
        <v>5.6584835185817015</v>
      </c>
      <c r="H138" s="64">
        <f>H139*1.5</f>
        <v>5.4075838522589263</v>
      </c>
      <c r="I138" s="64">
        <f>I139*1.5</f>
        <v>4.0759151324569149</v>
      </c>
      <c r="J138" s="64">
        <f>J139*1.5</f>
        <v>3.3364563949789137</v>
      </c>
      <c r="K138" s="64">
        <f>K139*1.5</f>
        <v>2.3585458345374715</v>
      </c>
      <c r="L138" s="148">
        <f>K138*(1+'Top Down inputs'!L$140)</f>
        <v>2.405714077506615</v>
      </c>
      <c r="M138" s="149">
        <f t="shared" ref="M138:V138" si="27">L138</f>
        <v>2.405714077506615</v>
      </c>
      <c r="N138" s="149">
        <f t="shared" si="27"/>
        <v>2.405714077506615</v>
      </c>
      <c r="O138" s="149">
        <f t="shared" si="27"/>
        <v>2.405714077506615</v>
      </c>
      <c r="P138" s="149">
        <f t="shared" si="27"/>
        <v>2.405714077506615</v>
      </c>
      <c r="Q138" s="149">
        <f t="shared" si="27"/>
        <v>2.405714077506615</v>
      </c>
      <c r="R138" s="149">
        <f t="shared" si="27"/>
        <v>2.405714077506615</v>
      </c>
      <c r="S138" s="149">
        <f t="shared" si="27"/>
        <v>2.405714077506615</v>
      </c>
      <c r="T138" s="149">
        <f t="shared" si="27"/>
        <v>2.405714077506615</v>
      </c>
      <c r="U138" s="149">
        <f t="shared" si="27"/>
        <v>2.405714077506615</v>
      </c>
      <c r="V138" s="149">
        <f t="shared" si="27"/>
        <v>2.405714077506615</v>
      </c>
      <c r="W138" s="149"/>
    </row>
    <row r="139" spans="1:23" x14ac:dyDescent="0.45">
      <c r="B139" s="44" t="s">
        <v>4</v>
      </c>
      <c r="C139" s="64">
        <f>'Fibre Premium Calculation'!C53</f>
        <v>7.3304559758955481</v>
      </c>
      <c r="D139" s="64">
        <f>'Fibre Premium Calculation'!D53</f>
        <v>5.8613122201169059</v>
      </c>
      <c r="E139" s="64">
        <f>'Fibre Premium Calculation'!E53</f>
        <v>4.8370787667577062</v>
      </c>
      <c r="F139" s="64">
        <f>'Fibre Premium Calculation'!F53</f>
        <v>4.5464306603845461</v>
      </c>
      <c r="G139" s="64">
        <f>'Fibre Premium Calculation'!G53</f>
        <v>3.7723223457211343</v>
      </c>
      <c r="H139" s="64">
        <f>'Fibre Premium Calculation'!H53</f>
        <v>3.6050559015059509</v>
      </c>
      <c r="I139" s="64">
        <f>'Fibre Premium Calculation'!I53</f>
        <v>2.7172767549712766</v>
      </c>
      <c r="J139" s="64">
        <f>'Fibre Premium Calculation'!J53</f>
        <v>2.2243042633192758</v>
      </c>
      <c r="K139" s="64">
        <f>'Fibre Premium Calculation'!K53</f>
        <v>1.5723638896916476</v>
      </c>
      <c r="L139" s="148">
        <f>K139*(1+'Top Down inputs'!L$140)</f>
        <v>1.6038093850044099</v>
      </c>
      <c r="M139" s="149">
        <f t="shared" ref="M139:V139" si="28">AVERAGE(M137:M138)</f>
        <v>1.6038093850044099</v>
      </c>
      <c r="N139" s="149">
        <f t="shared" si="28"/>
        <v>1.6038093850044099</v>
      </c>
      <c r="O139" s="149">
        <f t="shared" si="28"/>
        <v>1.6038093850044099</v>
      </c>
      <c r="P139" s="149">
        <f t="shared" si="28"/>
        <v>1.6038093850044099</v>
      </c>
      <c r="Q139" s="149">
        <f t="shared" si="28"/>
        <v>1.6038093850044099</v>
      </c>
      <c r="R139" s="149">
        <f t="shared" si="28"/>
        <v>1.6038093850044099</v>
      </c>
      <c r="S139" s="149">
        <f t="shared" si="28"/>
        <v>1.6038093850044099</v>
      </c>
      <c r="T139" s="149">
        <f t="shared" si="28"/>
        <v>1.6038093850044099</v>
      </c>
      <c r="U139" s="149">
        <f t="shared" si="28"/>
        <v>1.6038093850044099</v>
      </c>
      <c r="V139" s="149">
        <f t="shared" si="28"/>
        <v>1.6038093850044099</v>
      </c>
      <c r="W139" s="149"/>
    </row>
    <row r="140" spans="1:23" x14ac:dyDescent="0.45">
      <c r="B140" s="44"/>
      <c r="K140" s="92"/>
    </row>
    <row r="142" spans="1:23" ht="15.75" x14ac:dyDescent="0.45">
      <c r="A142" s="62" t="s">
        <v>160</v>
      </c>
      <c r="B142" s="44"/>
      <c r="C142" s="43" t="s">
        <v>161</v>
      </c>
    </row>
    <row r="143" spans="1:23" x14ac:dyDescent="0.45">
      <c r="B143" s="44" t="s">
        <v>162</v>
      </c>
      <c r="C143" s="64">
        <v>78</v>
      </c>
      <c r="D143" s="64">
        <v>78</v>
      </c>
      <c r="E143" s="64">
        <v>78</v>
      </c>
      <c r="F143" s="80">
        <v>81.58</v>
      </c>
      <c r="G143" s="80">
        <v>83.45</v>
      </c>
      <c r="H143" s="80">
        <v>83.45</v>
      </c>
      <c r="I143" s="150">
        <f>H143*(1+'Top Down inputs'!I140)</f>
        <v>85.113640923473184</v>
      </c>
      <c r="J143" s="150">
        <f>I143*(1+'Top Down inputs'!J140)</f>
        <v>86.897401526455965</v>
      </c>
      <c r="K143" s="150">
        <f>J143*(1+'Top Down inputs'!K140)</f>
        <v>88.643590914629854</v>
      </c>
      <c r="L143" s="150">
        <f>K143*(1+'Top Down inputs'!L140)</f>
        <v>90.416362243764766</v>
      </c>
      <c r="M143" s="151">
        <f>L143</f>
        <v>90.416362243764766</v>
      </c>
      <c r="N143" s="151">
        <f t="shared" ref="N143:V143" si="29">M143</f>
        <v>90.416362243764766</v>
      </c>
      <c r="O143" s="151">
        <f t="shared" si="29"/>
        <v>90.416362243764766</v>
      </c>
      <c r="P143" s="151">
        <f t="shared" si="29"/>
        <v>90.416362243764766</v>
      </c>
      <c r="Q143" s="151">
        <f t="shared" si="29"/>
        <v>90.416362243764766</v>
      </c>
      <c r="R143" s="151">
        <f t="shared" si="29"/>
        <v>90.416362243764766</v>
      </c>
      <c r="S143" s="151">
        <f t="shared" si="29"/>
        <v>90.416362243764766</v>
      </c>
      <c r="T143" s="151">
        <f t="shared" si="29"/>
        <v>90.416362243764766</v>
      </c>
      <c r="U143" s="151">
        <f t="shared" si="29"/>
        <v>90.416362243764766</v>
      </c>
      <c r="V143" s="151">
        <f t="shared" si="29"/>
        <v>90.416362243764766</v>
      </c>
    </row>
    <row r="144" spans="1:23" x14ac:dyDescent="0.45">
      <c r="B144" s="44"/>
    </row>
    <row r="145" spans="1:23" x14ac:dyDescent="0.45">
      <c r="B145" s="44"/>
    </row>
    <row r="146" spans="1:23" ht="21" x14ac:dyDescent="0.65">
      <c r="A146" s="40" t="s">
        <v>163</v>
      </c>
      <c r="B146" s="44"/>
    </row>
    <row r="147" spans="1:23" ht="18" x14ac:dyDescent="0.55000000000000004">
      <c r="A147" s="56"/>
      <c r="B147" s="44"/>
    </row>
    <row r="148" spans="1:23" ht="15.75" x14ac:dyDescent="0.45">
      <c r="A148" s="62" t="s">
        <v>164</v>
      </c>
    </row>
    <row r="149" spans="1:23" x14ac:dyDescent="0.45">
      <c r="B149" s="44"/>
    </row>
    <row r="150" spans="1:23" x14ac:dyDescent="0.45">
      <c r="B150" s="42" t="s">
        <v>4</v>
      </c>
      <c r="C150" s="47">
        <v>1</v>
      </c>
      <c r="D150" s="47">
        <v>2</v>
      </c>
      <c r="E150" s="47">
        <v>3</v>
      </c>
      <c r="F150" s="47">
        <v>4</v>
      </c>
      <c r="G150" s="47">
        <v>5</v>
      </c>
      <c r="H150" s="47">
        <v>6</v>
      </c>
      <c r="I150" s="47">
        <v>7</v>
      </c>
      <c r="J150" s="47">
        <v>8</v>
      </c>
      <c r="K150" s="47">
        <v>9</v>
      </c>
      <c r="L150" s="47">
        <v>10</v>
      </c>
      <c r="M150" s="47">
        <v>11</v>
      </c>
      <c r="N150" s="47">
        <v>12</v>
      </c>
      <c r="O150" s="47">
        <v>13</v>
      </c>
      <c r="P150" s="47">
        <v>14</v>
      </c>
      <c r="Q150" s="47">
        <v>15</v>
      </c>
      <c r="R150" s="47">
        <v>16</v>
      </c>
      <c r="S150" s="47">
        <v>17</v>
      </c>
      <c r="T150" s="47">
        <v>18</v>
      </c>
      <c r="U150" s="47">
        <v>19</v>
      </c>
      <c r="V150" s="47">
        <v>20</v>
      </c>
      <c r="W150" s="47"/>
    </row>
    <row r="151" spans="1:23" x14ac:dyDescent="0.45">
      <c r="B151" s="44"/>
      <c r="C151" s="17" t="s">
        <v>5</v>
      </c>
      <c r="D151" s="17" t="s">
        <v>6</v>
      </c>
      <c r="E151" s="58" t="s">
        <v>7</v>
      </c>
      <c r="F151" s="58" t="s">
        <v>8</v>
      </c>
      <c r="G151" s="17" t="s">
        <v>9</v>
      </c>
      <c r="H151" s="17" t="s">
        <v>10</v>
      </c>
      <c r="I151" s="17" t="s">
        <v>11</v>
      </c>
      <c r="J151" s="17" t="s">
        <v>12</v>
      </c>
      <c r="K151" s="17" t="s">
        <v>13</v>
      </c>
      <c r="L151" s="17" t="s">
        <v>14</v>
      </c>
      <c r="M151" s="17" t="s">
        <v>49</v>
      </c>
      <c r="N151" s="17" t="s">
        <v>50</v>
      </c>
      <c r="O151" s="17" t="s">
        <v>51</v>
      </c>
      <c r="P151" s="17" t="s">
        <v>52</v>
      </c>
      <c r="Q151" s="17" t="s">
        <v>53</v>
      </c>
      <c r="R151" s="17" t="s">
        <v>54</v>
      </c>
      <c r="S151" s="17" t="s">
        <v>55</v>
      </c>
      <c r="T151" s="17" t="s">
        <v>56</v>
      </c>
      <c r="U151" s="17" t="s">
        <v>57</v>
      </c>
      <c r="V151" s="17" t="s">
        <v>58</v>
      </c>
      <c r="W151" s="17"/>
    </row>
    <row r="152" spans="1:23" x14ac:dyDescent="0.45">
      <c r="B152" s="44" t="s">
        <v>165</v>
      </c>
      <c r="C152" s="3">
        <f>C69*C$128</f>
        <v>13291560.949296411</v>
      </c>
      <c r="D152" s="3">
        <f t="shared" ref="D152:V152" si="30">D69*D$128</f>
        <v>17117042.153991316</v>
      </c>
      <c r="E152" s="3">
        <f t="shared" si="30"/>
        <v>21069447.903288919</v>
      </c>
      <c r="F152" s="3">
        <f t="shared" si="30"/>
        <v>44298075.385819182</v>
      </c>
      <c r="G152" s="3">
        <f t="shared" si="30"/>
        <v>109510083.85398048</v>
      </c>
      <c r="H152" s="3">
        <f t="shared" si="30"/>
        <v>102914293.64469799</v>
      </c>
      <c r="I152" s="3">
        <f t="shared" si="30"/>
        <v>127288523.55872241</v>
      </c>
      <c r="J152" s="3">
        <f t="shared" si="30"/>
        <v>106538295.15742992</v>
      </c>
      <c r="K152" s="3">
        <f t="shared" si="30"/>
        <v>106604009.35666707</v>
      </c>
      <c r="L152" s="3">
        <f t="shared" si="30"/>
        <v>97487502.935039133</v>
      </c>
      <c r="M152" s="3">
        <f t="shared" si="30"/>
        <v>70934036.85541679</v>
      </c>
      <c r="N152" s="3">
        <f t="shared" si="30"/>
        <v>60380142.267066449</v>
      </c>
      <c r="O152" s="3">
        <f t="shared" si="30"/>
        <v>51724853.272340044</v>
      </c>
      <c r="P152" s="3">
        <f t="shared" si="30"/>
        <v>40980282.423615389</v>
      </c>
      <c r="Q152" s="3">
        <f t="shared" si="30"/>
        <v>35887542.358310431</v>
      </c>
      <c r="R152" s="3">
        <f t="shared" si="30"/>
        <v>27861704.349835094</v>
      </c>
      <c r="S152" s="3">
        <f t="shared" si="30"/>
        <v>23628328.731194805</v>
      </c>
      <c r="T152" s="3">
        <f t="shared" si="30"/>
        <v>18494635.333274506</v>
      </c>
      <c r="U152" s="3">
        <f t="shared" si="30"/>
        <v>14736975.264050599</v>
      </c>
      <c r="V152" s="3">
        <f t="shared" si="30"/>
        <v>12948512.824750775</v>
      </c>
      <c r="W152" s="3"/>
    </row>
    <row r="153" spans="1:23" x14ac:dyDescent="0.45">
      <c r="B153" s="44" t="s">
        <v>166</v>
      </c>
      <c r="C153" s="3">
        <f t="shared" ref="C153:V153" si="31">C70*C$128</f>
        <v>42258429.566088237</v>
      </c>
      <c r="D153" s="3">
        <f t="shared" si="31"/>
        <v>50230249.098209381</v>
      </c>
      <c r="E153" s="3">
        <f t="shared" si="31"/>
        <v>41392011.724797376</v>
      </c>
      <c r="F153" s="3">
        <f t="shared" si="31"/>
        <v>336594260.71902215</v>
      </c>
      <c r="G153" s="3">
        <f t="shared" si="31"/>
        <v>245662107.65825641</v>
      </c>
      <c r="H153" s="3">
        <f t="shared" si="31"/>
        <v>311759895.81650221</v>
      </c>
      <c r="I153" s="3">
        <f t="shared" si="31"/>
        <v>158478696.38741612</v>
      </c>
      <c r="J153" s="3">
        <f t="shared" si="31"/>
        <v>180977046.92555287</v>
      </c>
      <c r="K153" s="3">
        <f t="shared" si="31"/>
        <v>163243351.7076022</v>
      </c>
      <c r="L153" s="3">
        <f t="shared" si="31"/>
        <v>4240853.8951018974</v>
      </c>
      <c r="M153" s="3">
        <f t="shared" si="31"/>
        <v>3016372.2684718296</v>
      </c>
      <c r="N153" s="3">
        <f t="shared" si="31"/>
        <v>2927194.3252192177</v>
      </c>
      <c r="O153" s="3">
        <f t="shared" si="31"/>
        <v>2249874.6675514192</v>
      </c>
      <c r="P153" s="3">
        <f t="shared" si="31"/>
        <v>2655420.8001901046</v>
      </c>
      <c r="Q153" s="3">
        <f t="shared" si="31"/>
        <v>4705855.7933764914</v>
      </c>
      <c r="R153" s="3">
        <f t="shared" si="31"/>
        <v>3091001.2823394579</v>
      </c>
      <c r="S153" s="3">
        <f t="shared" si="31"/>
        <v>2719174.9575985102</v>
      </c>
      <c r="T153" s="3">
        <f t="shared" si="31"/>
        <v>1522633.7068011637</v>
      </c>
      <c r="U153" s="3">
        <f t="shared" si="31"/>
        <v>1330817.9326257103</v>
      </c>
      <c r="V153" s="3">
        <f t="shared" si="31"/>
        <v>4159607.6147643183</v>
      </c>
      <c r="W153" s="3"/>
    </row>
    <row r="154" spans="1:23" x14ac:dyDescent="0.45">
      <c r="B154" s="44" t="s">
        <v>167</v>
      </c>
      <c r="C154" s="3">
        <f t="shared" ref="C154:V154" si="32">SUM(C71:C72)*C$128</f>
        <v>6274282.395830838</v>
      </c>
      <c r="D154" s="3">
        <f t="shared" si="32"/>
        <v>8105205.7537009493</v>
      </c>
      <c r="E154" s="3">
        <f t="shared" si="32"/>
        <v>9430891.8602237348</v>
      </c>
      <c r="F154" s="3">
        <f t="shared" si="32"/>
        <v>27809407.658095933</v>
      </c>
      <c r="G154" s="3">
        <f t="shared" si="32"/>
        <v>41425907.423421577</v>
      </c>
      <c r="H154" s="3">
        <f t="shared" si="32"/>
        <v>52048144.951505899</v>
      </c>
      <c r="I154" s="3">
        <f t="shared" si="32"/>
        <v>59655664.81720341</v>
      </c>
      <c r="J154" s="3">
        <f t="shared" si="32"/>
        <v>64215749.267745152</v>
      </c>
      <c r="K154" s="3">
        <f t="shared" si="32"/>
        <v>68682780.859582245</v>
      </c>
      <c r="L154" s="3">
        <f t="shared" si="32"/>
        <v>67491189.711501628</v>
      </c>
      <c r="M154" s="3">
        <f t="shared" si="32"/>
        <v>64646941.880790845</v>
      </c>
      <c r="N154" s="3">
        <f t="shared" si="32"/>
        <v>62095217.547734112</v>
      </c>
      <c r="O154" s="3">
        <f t="shared" si="32"/>
        <v>44313367.004665911</v>
      </c>
      <c r="P154" s="3">
        <f t="shared" si="32"/>
        <v>42180788.841183111</v>
      </c>
      <c r="Q154" s="3">
        <f t="shared" si="32"/>
        <v>40066442.727202751</v>
      </c>
      <c r="R154" s="3">
        <f t="shared" si="32"/>
        <v>37829061.698270343</v>
      </c>
      <c r="S154" s="3">
        <f t="shared" si="32"/>
        <v>35685600.672189377</v>
      </c>
      <c r="T154" s="3">
        <f t="shared" si="32"/>
        <v>33569063.007150799</v>
      </c>
      <c r="U154" s="3">
        <f t="shared" si="32"/>
        <v>31507511.136462159</v>
      </c>
      <c r="V154" s="3">
        <f t="shared" si="32"/>
        <v>29631915.588937905</v>
      </c>
      <c r="W154" s="3"/>
    </row>
    <row r="155" spans="1:23" ht="14.65" thickBot="1" x14ac:dyDescent="0.5">
      <c r="B155" s="44"/>
      <c r="C155" s="65">
        <f>SUM(C152:C154)</f>
        <v>61824272.911215484</v>
      </c>
      <c r="D155" s="65">
        <f t="shared" ref="D155:V155" si="33">SUM(D152:D154)</f>
        <v>75452497.005901635</v>
      </c>
      <c r="E155" s="65">
        <f t="shared" si="33"/>
        <v>71892351.488310039</v>
      </c>
      <c r="F155" s="65">
        <f t="shared" si="33"/>
        <v>408701743.76293731</v>
      </c>
      <c r="G155" s="65">
        <f>SUM(G152:G154)</f>
        <v>396598098.93565845</v>
      </c>
      <c r="H155" s="65">
        <f t="shared" si="33"/>
        <v>466722334.41270614</v>
      </c>
      <c r="I155" s="65">
        <f t="shared" si="33"/>
        <v>345422884.7633419</v>
      </c>
      <c r="J155" s="65">
        <f t="shared" si="33"/>
        <v>351731091.35072792</v>
      </c>
      <c r="K155" s="65">
        <f t="shared" si="33"/>
        <v>338530141.92385155</v>
      </c>
      <c r="L155" s="65">
        <f t="shared" si="33"/>
        <v>169219546.54164267</v>
      </c>
      <c r="M155" s="65">
        <f t="shared" si="33"/>
        <v>138597351.00467944</v>
      </c>
      <c r="N155" s="65">
        <f t="shared" si="33"/>
        <v>125402554.14001977</v>
      </c>
      <c r="O155" s="65">
        <f t="shared" si="33"/>
        <v>98288094.944557369</v>
      </c>
      <c r="P155" s="65">
        <f t="shared" si="33"/>
        <v>85816492.064988613</v>
      </c>
      <c r="Q155" s="65">
        <f t="shared" si="33"/>
        <v>80659840.87888968</v>
      </c>
      <c r="R155" s="65">
        <f t="shared" si="33"/>
        <v>68781767.330444902</v>
      </c>
      <c r="S155" s="65">
        <f t="shared" si="33"/>
        <v>62033104.360982694</v>
      </c>
      <c r="T155" s="65">
        <f t="shared" si="33"/>
        <v>53586332.047226474</v>
      </c>
      <c r="U155" s="65">
        <f t="shared" si="33"/>
        <v>47575304.333138466</v>
      </c>
      <c r="V155" s="65">
        <f t="shared" si="33"/>
        <v>46740036.028453</v>
      </c>
      <c r="W155" s="134"/>
    </row>
    <row r="156" spans="1:23" ht="14.65" thickTop="1" x14ac:dyDescent="0.45">
      <c r="B156" s="44"/>
    </row>
    <row r="157" spans="1:23" x14ac:dyDescent="0.45">
      <c r="B157" s="44" t="s">
        <v>168</v>
      </c>
      <c r="C157" s="93">
        <f>SUM(C155:V155)</f>
        <v>3493575840.2296729</v>
      </c>
    </row>
    <row r="158" spans="1:23" x14ac:dyDescent="0.45">
      <c r="B158" s="44"/>
    </row>
    <row r="159" spans="1:23" x14ac:dyDescent="0.45">
      <c r="B159" s="44"/>
    </row>
    <row r="160" spans="1:23" x14ac:dyDescent="0.45">
      <c r="B160" s="42" t="s">
        <v>1</v>
      </c>
      <c r="C160" s="47">
        <v>1</v>
      </c>
      <c r="D160" s="47">
        <v>2</v>
      </c>
      <c r="E160" s="47">
        <v>3</v>
      </c>
      <c r="F160" s="47">
        <v>4</v>
      </c>
      <c r="G160" s="47">
        <v>5</v>
      </c>
      <c r="H160" s="47">
        <v>6</v>
      </c>
      <c r="I160" s="47">
        <v>7</v>
      </c>
      <c r="J160" s="47">
        <v>8</v>
      </c>
      <c r="K160" s="47">
        <v>9</v>
      </c>
      <c r="L160" s="47">
        <v>10</v>
      </c>
      <c r="M160" s="47">
        <v>11</v>
      </c>
      <c r="N160" s="47">
        <v>12</v>
      </c>
      <c r="O160" s="47">
        <v>13</v>
      </c>
      <c r="P160" s="47">
        <v>14</v>
      </c>
      <c r="Q160" s="47">
        <v>15</v>
      </c>
      <c r="R160" s="47">
        <v>16</v>
      </c>
      <c r="S160" s="47">
        <v>17</v>
      </c>
      <c r="T160" s="47">
        <v>18</v>
      </c>
      <c r="U160" s="47">
        <v>19</v>
      </c>
      <c r="V160" s="47">
        <v>20</v>
      </c>
      <c r="W160" s="47"/>
    </row>
    <row r="161" spans="2:23" x14ac:dyDescent="0.45">
      <c r="B161" s="44"/>
      <c r="C161" s="17" t="s">
        <v>5</v>
      </c>
      <c r="D161" s="17" t="s">
        <v>6</v>
      </c>
      <c r="E161" s="58" t="s">
        <v>7</v>
      </c>
      <c r="F161" s="58" t="s">
        <v>8</v>
      </c>
      <c r="G161" s="17" t="s">
        <v>9</v>
      </c>
      <c r="H161" s="17" t="s">
        <v>10</v>
      </c>
      <c r="I161" s="17" t="s">
        <v>11</v>
      </c>
      <c r="J161" s="17" t="s">
        <v>12</v>
      </c>
      <c r="K161" s="17" t="s">
        <v>13</v>
      </c>
      <c r="L161" s="17" t="s">
        <v>14</v>
      </c>
      <c r="M161" s="17" t="s">
        <v>49</v>
      </c>
      <c r="N161" s="17" t="s">
        <v>50</v>
      </c>
      <c r="O161" s="17" t="s">
        <v>51</v>
      </c>
      <c r="P161" s="17" t="s">
        <v>52</v>
      </c>
      <c r="Q161" s="17" t="s">
        <v>53</v>
      </c>
      <c r="R161" s="17" t="s">
        <v>54</v>
      </c>
      <c r="S161" s="17" t="s">
        <v>55</v>
      </c>
      <c r="T161" s="17" t="s">
        <v>56</v>
      </c>
      <c r="U161" s="17" t="s">
        <v>57</v>
      </c>
      <c r="V161" s="17" t="s">
        <v>58</v>
      </c>
      <c r="W161" s="17"/>
    </row>
    <row r="162" spans="2:23" x14ac:dyDescent="0.45">
      <c r="B162" s="44" t="s">
        <v>165</v>
      </c>
      <c r="C162" s="3">
        <f t="shared" ref="C162:V162" si="34">C78*C$128</f>
        <v>13291560.949296411</v>
      </c>
      <c r="D162" s="3">
        <f t="shared" si="34"/>
        <v>17117042.153991316</v>
      </c>
      <c r="E162" s="3">
        <f t="shared" si="34"/>
        <v>21069447.903288919</v>
      </c>
      <c r="F162" s="3">
        <f t="shared" si="34"/>
        <v>44298075.385819182</v>
      </c>
      <c r="G162" s="3">
        <f t="shared" si="34"/>
        <v>109510083.85398048</v>
      </c>
      <c r="H162" s="3">
        <f t="shared" si="34"/>
        <v>102914293.64469799</v>
      </c>
      <c r="I162" s="3">
        <f t="shared" si="34"/>
        <v>127288523.55872241</v>
      </c>
      <c r="J162" s="3">
        <f t="shared" si="34"/>
        <v>106538295.15742992</v>
      </c>
      <c r="K162" s="3">
        <f t="shared" si="34"/>
        <v>106604009.35666707</v>
      </c>
      <c r="L162" s="3">
        <f t="shared" si="34"/>
        <v>97487502.935039133</v>
      </c>
      <c r="M162" s="3">
        <f t="shared" si="34"/>
        <v>70934036.85541679</v>
      </c>
      <c r="N162" s="3">
        <f t="shared" si="34"/>
        <v>60380142.267066449</v>
      </c>
      <c r="O162" s="3">
        <f t="shared" si="34"/>
        <v>51724853.272340044</v>
      </c>
      <c r="P162" s="3">
        <f t="shared" si="34"/>
        <v>40980282.423615389</v>
      </c>
      <c r="Q162" s="3">
        <f t="shared" si="34"/>
        <v>35887542.358310431</v>
      </c>
      <c r="R162" s="3">
        <f t="shared" si="34"/>
        <v>27861704.349835094</v>
      </c>
      <c r="S162" s="3">
        <f t="shared" si="34"/>
        <v>23628328.731194805</v>
      </c>
      <c r="T162" s="3">
        <f t="shared" si="34"/>
        <v>18494635.333274506</v>
      </c>
      <c r="U162" s="3">
        <f t="shared" si="34"/>
        <v>14736975.264050599</v>
      </c>
      <c r="V162" s="3">
        <f t="shared" si="34"/>
        <v>12948512.824750775</v>
      </c>
      <c r="W162" s="3"/>
    </row>
    <row r="163" spans="2:23" x14ac:dyDescent="0.45">
      <c r="B163" s="44" t="s">
        <v>166</v>
      </c>
      <c r="C163" s="3">
        <f t="shared" ref="C163:V163" si="35">C79*C$128</f>
        <v>55130657.335441969</v>
      </c>
      <c r="D163" s="3">
        <f t="shared" si="35"/>
        <v>65792093.038481213</v>
      </c>
      <c r="E163" s="3">
        <f t="shared" si="35"/>
        <v>53314804.4338063</v>
      </c>
      <c r="F163" s="3">
        <f t="shared" si="35"/>
        <v>427166904.803922</v>
      </c>
      <c r="G163" s="3">
        <f t="shared" si="35"/>
        <v>306349717.94976127</v>
      </c>
      <c r="H163" s="3">
        <f t="shared" si="35"/>
        <v>386882153.00561029</v>
      </c>
      <c r="I163" s="3">
        <f t="shared" si="35"/>
        <v>196048261.13427877</v>
      </c>
      <c r="J163" s="3">
        <f t="shared" si="35"/>
        <v>213315283.83900949</v>
      </c>
      <c r="K163" s="3">
        <f t="shared" si="35"/>
        <v>195606256.26203948</v>
      </c>
      <c r="L163" s="3">
        <f t="shared" si="35"/>
        <v>4240853.8951018974</v>
      </c>
      <c r="M163" s="3">
        <f t="shared" si="35"/>
        <v>3016372.2684718296</v>
      </c>
      <c r="N163" s="3">
        <f t="shared" si="35"/>
        <v>2927194.3252192177</v>
      </c>
      <c r="O163" s="3">
        <f t="shared" si="35"/>
        <v>2249874.6675514192</v>
      </c>
      <c r="P163" s="3">
        <f t="shared" si="35"/>
        <v>2655420.8001901046</v>
      </c>
      <c r="Q163" s="3">
        <f t="shared" si="35"/>
        <v>4705855.7933764914</v>
      </c>
      <c r="R163" s="3">
        <f t="shared" si="35"/>
        <v>3091001.2823394579</v>
      </c>
      <c r="S163" s="3">
        <f t="shared" si="35"/>
        <v>2719174.9575985102</v>
      </c>
      <c r="T163" s="3">
        <f t="shared" si="35"/>
        <v>1522633.7068011637</v>
      </c>
      <c r="U163" s="3">
        <f t="shared" si="35"/>
        <v>1330817.9326257103</v>
      </c>
      <c r="V163" s="3">
        <f t="shared" si="35"/>
        <v>4159607.6147643183</v>
      </c>
      <c r="W163" s="3"/>
    </row>
    <row r="164" spans="2:23" x14ac:dyDescent="0.45">
      <c r="B164" s="44" t="s">
        <v>167</v>
      </c>
      <c r="C164" s="3">
        <f t="shared" ref="C164:V164" si="36">SUM(C80:C81)*C$128</f>
        <v>7008633.0936394157</v>
      </c>
      <c r="D164" s="3">
        <f t="shared" si="36"/>
        <v>8698138.1517910715</v>
      </c>
      <c r="E164" s="3">
        <f t="shared" si="36"/>
        <v>9801993.1410413049</v>
      </c>
      <c r="F164" s="3">
        <f t="shared" si="36"/>
        <v>30063213.138223946</v>
      </c>
      <c r="G164" s="3">
        <f t="shared" si="36"/>
        <v>44249600.45395007</v>
      </c>
      <c r="H164" s="3">
        <f t="shared" si="36"/>
        <v>55580024.320694104</v>
      </c>
      <c r="I164" s="3">
        <f t="shared" si="36"/>
        <v>63359499.680138662</v>
      </c>
      <c r="J164" s="3">
        <f t="shared" si="36"/>
        <v>68001663.546542093</v>
      </c>
      <c r="K164" s="3">
        <f t="shared" si="36"/>
        <v>72536853.10273163</v>
      </c>
      <c r="L164" s="3">
        <f t="shared" si="36"/>
        <v>71035222.664847299</v>
      </c>
      <c r="M164" s="3">
        <f t="shared" si="36"/>
        <v>67904751.784476578</v>
      </c>
      <c r="N164" s="3">
        <f t="shared" si="36"/>
        <v>65088991.766933911</v>
      </c>
      <c r="O164" s="3">
        <f t="shared" si="36"/>
        <v>44750738.203746274</v>
      </c>
      <c r="P164" s="3">
        <f t="shared" si="36"/>
        <v>42557155.164194234</v>
      </c>
      <c r="Q164" s="3">
        <f t="shared" si="36"/>
        <v>40387762.753124967</v>
      </c>
      <c r="R164" s="3">
        <f t="shared" si="36"/>
        <v>38100782.713694662</v>
      </c>
      <c r="S164" s="3">
        <f t="shared" si="36"/>
        <v>35912699.745066829</v>
      </c>
      <c r="T164" s="3">
        <f t="shared" si="36"/>
        <v>33756084.887093581</v>
      </c>
      <c r="U164" s="3">
        <f t="shared" si="36"/>
        <v>31658603.220712837</v>
      </c>
      <c r="V164" s="3">
        <f t="shared" si="36"/>
        <v>29750860.175409224</v>
      </c>
      <c r="W164" s="3"/>
    </row>
    <row r="165" spans="2:23" ht="14.65" thickBot="1" x14ac:dyDescent="0.5">
      <c r="B165" s="44"/>
      <c r="C165" s="65">
        <f t="shared" ref="C165:V165" si="37">SUM(C162:C164)</f>
        <v>75430851.378377795</v>
      </c>
      <c r="D165" s="65">
        <f t="shared" si="37"/>
        <v>91607273.344263598</v>
      </c>
      <c r="E165" s="65">
        <f t="shared" si="37"/>
        <v>84186245.478136525</v>
      </c>
      <c r="F165" s="65">
        <f t="shared" si="37"/>
        <v>501528193.32796514</v>
      </c>
      <c r="G165" s="65">
        <f t="shared" si="37"/>
        <v>460109402.2576918</v>
      </c>
      <c r="H165" s="65">
        <f t="shared" si="37"/>
        <v>545376470.97100234</v>
      </c>
      <c r="I165" s="65">
        <f t="shared" si="37"/>
        <v>386696284.3731398</v>
      </c>
      <c r="J165" s="65">
        <f t="shared" si="37"/>
        <v>387855242.54298151</v>
      </c>
      <c r="K165" s="65">
        <f t="shared" si="37"/>
        <v>374747118.72143823</v>
      </c>
      <c r="L165" s="65">
        <f t="shared" si="37"/>
        <v>172763579.49498832</v>
      </c>
      <c r="M165" s="65">
        <f t="shared" si="37"/>
        <v>141855160.90836519</v>
      </c>
      <c r="N165" s="65">
        <f t="shared" si="37"/>
        <v>128396328.35921958</v>
      </c>
      <c r="O165" s="65">
        <f t="shared" si="37"/>
        <v>98725466.143637747</v>
      </c>
      <c r="P165" s="65">
        <f t="shared" si="37"/>
        <v>86192858.387999728</v>
      </c>
      <c r="Q165" s="65">
        <f t="shared" si="37"/>
        <v>80981160.904811889</v>
      </c>
      <c r="R165" s="65">
        <f t="shared" si="37"/>
        <v>69053488.345869213</v>
      </c>
      <c r="S165" s="65">
        <f t="shared" si="37"/>
        <v>62260203.433860146</v>
      </c>
      <c r="T165" s="65">
        <f t="shared" si="37"/>
        <v>53773353.927169248</v>
      </c>
      <c r="U165" s="65">
        <f t="shared" si="37"/>
        <v>47726396.417389147</v>
      </c>
      <c r="V165" s="65">
        <f t="shared" si="37"/>
        <v>46858980.614924319</v>
      </c>
      <c r="W165" s="134"/>
    </row>
    <row r="166" spans="2:23" ht="14.65" thickTop="1" x14ac:dyDescent="0.45">
      <c r="B166" s="44"/>
    </row>
    <row r="167" spans="2:23" x14ac:dyDescent="0.45">
      <c r="B167" s="44" t="s">
        <v>169</v>
      </c>
      <c r="C167" s="93">
        <f>SUM(C165:V165)</f>
        <v>3896124059.3332314</v>
      </c>
    </row>
    <row r="168" spans="2:23" x14ac:dyDescent="0.45">
      <c r="B168" s="44"/>
    </row>
    <row r="169" spans="2:23" x14ac:dyDescent="0.45">
      <c r="B169" s="44"/>
    </row>
    <row r="170" spans="2:23" x14ac:dyDescent="0.45">
      <c r="B170" s="42" t="s">
        <v>0</v>
      </c>
      <c r="C170" s="47">
        <v>1</v>
      </c>
      <c r="D170" s="47">
        <v>2</v>
      </c>
      <c r="E170" s="47">
        <v>3</v>
      </c>
      <c r="F170" s="47">
        <v>4</v>
      </c>
      <c r="G170" s="47">
        <v>5</v>
      </c>
      <c r="H170" s="47">
        <v>6</v>
      </c>
      <c r="I170" s="47">
        <v>7</v>
      </c>
      <c r="J170" s="47">
        <v>8</v>
      </c>
      <c r="K170" s="47">
        <v>9</v>
      </c>
      <c r="L170" s="47">
        <v>10</v>
      </c>
      <c r="M170" s="47">
        <v>11</v>
      </c>
      <c r="N170" s="47">
        <v>12</v>
      </c>
      <c r="O170" s="47">
        <v>13</v>
      </c>
      <c r="P170" s="47">
        <v>14</v>
      </c>
      <c r="Q170" s="47">
        <v>15</v>
      </c>
      <c r="R170" s="47">
        <v>16</v>
      </c>
      <c r="S170" s="47">
        <v>17</v>
      </c>
      <c r="T170" s="47">
        <v>18</v>
      </c>
      <c r="U170" s="47">
        <v>19</v>
      </c>
      <c r="V170" s="47">
        <v>20</v>
      </c>
      <c r="W170" s="47"/>
    </row>
    <row r="171" spans="2:23" x14ac:dyDescent="0.45">
      <c r="B171" s="44"/>
      <c r="C171" s="17" t="s">
        <v>5</v>
      </c>
      <c r="D171" s="17" t="s">
        <v>6</v>
      </c>
      <c r="E171" s="58" t="s">
        <v>7</v>
      </c>
      <c r="F171" s="58" t="s">
        <v>8</v>
      </c>
      <c r="G171" s="17" t="s">
        <v>9</v>
      </c>
      <c r="H171" s="17" t="s">
        <v>10</v>
      </c>
      <c r="I171" s="17" t="s">
        <v>11</v>
      </c>
      <c r="J171" s="17" t="s">
        <v>12</v>
      </c>
      <c r="K171" s="17" t="s">
        <v>13</v>
      </c>
      <c r="L171" s="17" t="s">
        <v>14</v>
      </c>
      <c r="M171" s="17" t="s">
        <v>49</v>
      </c>
      <c r="N171" s="17" t="s">
        <v>50</v>
      </c>
      <c r="O171" s="17" t="s">
        <v>51</v>
      </c>
      <c r="P171" s="17" t="s">
        <v>52</v>
      </c>
      <c r="Q171" s="17" t="s">
        <v>53</v>
      </c>
      <c r="R171" s="17" t="s">
        <v>54</v>
      </c>
      <c r="S171" s="17" t="s">
        <v>55</v>
      </c>
      <c r="T171" s="17" t="s">
        <v>56</v>
      </c>
      <c r="U171" s="17" t="s">
        <v>57</v>
      </c>
      <c r="V171" s="17" t="s">
        <v>58</v>
      </c>
      <c r="W171" s="17"/>
    </row>
    <row r="172" spans="2:23" x14ac:dyDescent="0.45">
      <c r="B172" s="44" t="s">
        <v>165</v>
      </c>
      <c r="C172" s="3">
        <f t="shared" ref="C172:V172" si="38">C87*C$128</f>
        <v>13291560.949296411</v>
      </c>
      <c r="D172" s="3">
        <f t="shared" si="38"/>
        <v>17117042.153991316</v>
      </c>
      <c r="E172" s="3">
        <f t="shared" si="38"/>
        <v>21069447.903288919</v>
      </c>
      <c r="F172" s="3">
        <f t="shared" si="38"/>
        <v>44298075.385819182</v>
      </c>
      <c r="G172" s="3">
        <f t="shared" si="38"/>
        <v>109510083.85398048</v>
      </c>
      <c r="H172" s="3">
        <f t="shared" si="38"/>
        <v>102914293.64469799</v>
      </c>
      <c r="I172" s="3">
        <f t="shared" si="38"/>
        <v>127288523.55872241</v>
      </c>
      <c r="J172" s="3">
        <f t="shared" si="38"/>
        <v>106538295.15742992</v>
      </c>
      <c r="K172" s="3">
        <f t="shared" si="38"/>
        <v>106604009.35666707</v>
      </c>
      <c r="L172" s="3">
        <f t="shared" si="38"/>
        <v>97487502.935039133</v>
      </c>
      <c r="M172" s="3">
        <f t="shared" si="38"/>
        <v>70934036.85541679</v>
      </c>
      <c r="N172" s="3">
        <f t="shared" si="38"/>
        <v>60380142.267066449</v>
      </c>
      <c r="O172" s="3">
        <f t="shared" si="38"/>
        <v>51724853.272340044</v>
      </c>
      <c r="P172" s="3">
        <f t="shared" si="38"/>
        <v>40980282.423615389</v>
      </c>
      <c r="Q172" s="3">
        <f t="shared" si="38"/>
        <v>35887542.358310431</v>
      </c>
      <c r="R172" s="3">
        <f t="shared" si="38"/>
        <v>27861704.349835094</v>
      </c>
      <c r="S172" s="3">
        <f t="shared" si="38"/>
        <v>23628328.731194805</v>
      </c>
      <c r="T172" s="3">
        <f t="shared" si="38"/>
        <v>18494635.333274506</v>
      </c>
      <c r="U172" s="3">
        <f t="shared" si="38"/>
        <v>14736975.264050599</v>
      </c>
      <c r="V172" s="3">
        <f t="shared" si="38"/>
        <v>12948512.824750775</v>
      </c>
      <c r="W172" s="3"/>
    </row>
    <row r="173" spans="2:23" x14ac:dyDescent="0.45">
      <c r="B173" s="44" t="s">
        <v>166</v>
      </c>
      <c r="C173" s="3">
        <f t="shared" ref="C173:V173" si="39">C88*C$128</f>
        <v>32869557.864458274</v>
      </c>
      <c r="D173" s="3">
        <f t="shared" si="39"/>
        <v>46377429.01202096</v>
      </c>
      <c r="E173" s="3">
        <f t="shared" si="39"/>
        <v>36922545.883884504</v>
      </c>
      <c r="F173" s="3">
        <f t="shared" si="39"/>
        <v>283364060.31851202</v>
      </c>
      <c r="G173" s="3">
        <f t="shared" si="39"/>
        <v>201357149.28660196</v>
      </c>
      <c r="H173" s="3">
        <f t="shared" si="39"/>
        <v>242984555.12675399</v>
      </c>
      <c r="I173" s="3">
        <f t="shared" si="39"/>
        <v>125054054.49840014</v>
      </c>
      <c r="J173" s="3">
        <f t="shared" si="39"/>
        <v>122988150.58478217</v>
      </c>
      <c r="K173" s="3">
        <f t="shared" si="39"/>
        <v>115103076.08616093</v>
      </c>
      <c r="L173" s="3">
        <f t="shared" si="39"/>
        <v>4240853.8951018974</v>
      </c>
      <c r="M173" s="3">
        <f t="shared" si="39"/>
        <v>3016372.2684718296</v>
      </c>
      <c r="N173" s="3">
        <f t="shared" si="39"/>
        <v>2927194.3252192177</v>
      </c>
      <c r="O173" s="3">
        <f t="shared" si="39"/>
        <v>2249874.6675514192</v>
      </c>
      <c r="P173" s="3">
        <f t="shared" si="39"/>
        <v>2655420.8001901046</v>
      </c>
      <c r="Q173" s="3">
        <f t="shared" si="39"/>
        <v>4705855.7933764914</v>
      </c>
      <c r="R173" s="3">
        <f t="shared" si="39"/>
        <v>3091001.2823394579</v>
      </c>
      <c r="S173" s="3">
        <f t="shared" si="39"/>
        <v>2719174.9575985102</v>
      </c>
      <c r="T173" s="3">
        <f t="shared" si="39"/>
        <v>1522633.7068011637</v>
      </c>
      <c r="U173" s="3">
        <f t="shared" si="39"/>
        <v>1330817.9326257103</v>
      </c>
      <c r="V173" s="3">
        <f t="shared" si="39"/>
        <v>4159607.6147643183</v>
      </c>
      <c r="W173" s="3"/>
    </row>
    <row r="174" spans="2:23" x14ac:dyDescent="0.45">
      <c r="B174" s="44" t="s">
        <v>167</v>
      </c>
      <c r="C174" s="3">
        <f t="shared" ref="C174:V174" si="40">SUM(C89:C90)*C$128</f>
        <v>5678520.0049092313</v>
      </c>
      <c r="D174" s="3">
        <f t="shared" si="40"/>
        <v>7759528.4664125768</v>
      </c>
      <c r="E174" s="3">
        <f t="shared" si="40"/>
        <v>9229415.8981629871</v>
      </c>
      <c r="F174" s="3">
        <f t="shared" si="40"/>
        <v>26543089.993715599</v>
      </c>
      <c r="G174" s="3">
        <f t="shared" si="40"/>
        <v>39738123.735444136</v>
      </c>
      <c r="H174" s="3">
        <f t="shared" si="40"/>
        <v>49689247.156574182</v>
      </c>
      <c r="I174" s="3">
        <f t="shared" si="40"/>
        <v>57106055.79223495</v>
      </c>
      <c r="J174" s="3">
        <f t="shared" si="40"/>
        <v>61240055.479491845</v>
      </c>
      <c r="K174" s="3">
        <f t="shared" si="40"/>
        <v>65454076.189488418</v>
      </c>
      <c r="L174" s="3">
        <f t="shared" si="40"/>
        <v>64539177.72993356</v>
      </c>
      <c r="M174" s="3">
        <f t="shared" si="40"/>
        <v>61938929.674649842</v>
      </c>
      <c r="N174" s="3">
        <f t="shared" si="40"/>
        <v>59612023.18646618</v>
      </c>
      <c r="O174" s="3">
        <f t="shared" si="40"/>
        <v>44103649.124869652</v>
      </c>
      <c r="P174" s="3">
        <f t="shared" si="40"/>
        <v>42015674.815157406</v>
      </c>
      <c r="Q174" s="3">
        <f t="shared" si="40"/>
        <v>39941150.320946276</v>
      </c>
      <c r="R174" s="3">
        <f t="shared" si="40"/>
        <v>37739235.879809819</v>
      </c>
      <c r="S174" s="3">
        <f t="shared" si="40"/>
        <v>35627278.533797383</v>
      </c>
      <c r="T174" s="3">
        <f t="shared" si="40"/>
        <v>33538641.434297457</v>
      </c>
      <c r="U174" s="3">
        <f t="shared" si="40"/>
        <v>31501717.014708191</v>
      </c>
      <c r="V174" s="3">
        <f t="shared" si="40"/>
        <v>29647778.355536964</v>
      </c>
      <c r="W174" s="3"/>
    </row>
    <row r="175" spans="2:23" ht="14.65" thickBot="1" x14ac:dyDescent="0.5">
      <c r="B175" s="44"/>
      <c r="C175" s="65">
        <f t="shared" ref="C175:V175" si="41">SUM(C172:C174)</f>
        <v>51839638.818663917</v>
      </c>
      <c r="D175" s="65">
        <f t="shared" si="41"/>
        <v>71253999.632424846</v>
      </c>
      <c r="E175" s="65">
        <f t="shared" si="41"/>
        <v>67221409.685336411</v>
      </c>
      <c r="F175" s="65">
        <f t="shared" si="41"/>
        <v>354205225.6980468</v>
      </c>
      <c r="G175" s="65">
        <f t="shared" si="41"/>
        <v>350605356.87602657</v>
      </c>
      <c r="H175" s="65">
        <f t="shared" si="41"/>
        <v>395588095.92802614</v>
      </c>
      <c r="I175" s="65">
        <f t="shared" si="41"/>
        <v>309448633.84935749</v>
      </c>
      <c r="J175" s="65">
        <f t="shared" si="41"/>
        <v>290766501.22170395</v>
      </c>
      <c r="K175" s="65">
        <f t="shared" si="41"/>
        <v>287161161.63231641</v>
      </c>
      <c r="L175" s="65">
        <f t="shared" si="41"/>
        <v>166267534.5600746</v>
      </c>
      <c r="M175" s="65">
        <f t="shared" si="41"/>
        <v>135889338.79853845</v>
      </c>
      <c r="N175" s="65">
        <f t="shared" si="41"/>
        <v>122919359.77875185</v>
      </c>
      <c r="O175" s="65">
        <f t="shared" si="41"/>
        <v>98078377.064761117</v>
      </c>
      <c r="P175" s="65">
        <f t="shared" si="41"/>
        <v>85651378.038962901</v>
      </c>
      <c r="Q175" s="65">
        <f t="shared" si="41"/>
        <v>80534548.472633198</v>
      </c>
      <c r="R175" s="65">
        <f t="shared" si="41"/>
        <v>68691941.511984378</v>
      </c>
      <c r="S175" s="65">
        <f t="shared" si="41"/>
        <v>61974782.2225907</v>
      </c>
      <c r="T175" s="65">
        <f t="shared" si="41"/>
        <v>53555910.474373132</v>
      </c>
      <c r="U175" s="65">
        <f t="shared" si="41"/>
        <v>47569510.211384505</v>
      </c>
      <c r="V175" s="65">
        <f t="shared" si="41"/>
        <v>46755898.795052059</v>
      </c>
      <c r="W175" s="134"/>
    </row>
    <row r="176" spans="2:23" ht="14.65" thickTop="1" x14ac:dyDescent="0.45">
      <c r="B176" s="44"/>
    </row>
    <row r="177" spans="1:23" x14ac:dyDescent="0.45">
      <c r="B177" s="44" t="s">
        <v>170</v>
      </c>
      <c r="C177" s="93">
        <f>SUM(C175:V175)</f>
        <v>3145978603.2710099</v>
      </c>
    </row>
    <row r="178" spans="1:23" x14ac:dyDescent="0.45">
      <c r="B178" s="44"/>
    </row>
    <row r="179" spans="1:23" x14ac:dyDescent="0.45">
      <c r="B179" s="44"/>
    </row>
    <row r="180" spans="1:23" ht="15.75" x14ac:dyDescent="0.45">
      <c r="A180" s="62" t="s">
        <v>171</v>
      </c>
      <c r="B180" s="44"/>
    </row>
    <row r="182" spans="1:23" x14ac:dyDescent="0.45">
      <c r="B182" s="42" t="s">
        <v>4</v>
      </c>
      <c r="C182" s="47">
        <v>1</v>
      </c>
      <c r="D182" s="47">
        <v>2</v>
      </c>
      <c r="E182" s="47">
        <v>3</v>
      </c>
      <c r="F182" s="47">
        <v>4</v>
      </c>
      <c r="G182" s="47">
        <v>5</v>
      </c>
      <c r="H182" s="47">
        <v>6</v>
      </c>
      <c r="I182" s="47">
        <v>7</v>
      </c>
      <c r="J182" s="47">
        <v>8</v>
      </c>
      <c r="K182" s="47">
        <v>9</v>
      </c>
      <c r="L182" s="47">
        <v>10</v>
      </c>
      <c r="M182" s="47">
        <v>11</v>
      </c>
      <c r="N182" s="47">
        <v>12</v>
      </c>
      <c r="O182" s="47">
        <v>13</v>
      </c>
      <c r="P182" s="47">
        <v>14</v>
      </c>
      <c r="Q182" s="47">
        <v>15</v>
      </c>
      <c r="R182" s="47">
        <v>16</v>
      </c>
      <c r="S182" s="47">
        <v>17</v>
      </c>
      <c r="T182" s="47">
        <v>18</v>
      </c>
      <c r="U182" s="47">
        <v>19</v>
      </c>
      <c r="V182" s="47">
        <v>20</v>
      </c>
      <c r="W182" s="47"/>
    </row>
    <row r="183" spans="1:23" x14ac:dyDescent="0.45">
      <c r="C183" s="17" t="s">
        <v>5</v>
      </c>
      <c r="D183" s="17" t="s">
        <v>6</v>
      </c>
      <c r="E183" s="58" t="s">
        <v>7</v>
      </c>
      <c r="F183" s="58" t="s">
        <v>8</v>
      </c>
      <c r="G183" s="17" t="s">
        <v>9</v>
      </c>
      <c r="H183" s="17" t="s">
        <v>10</v>
      </c>
      <c r="I183" s="17" t="s">
        <v>11</v>
      </c>
      <c r="J183" s="17" t="s">
        <v>12</v>
      </c>
      <c r="K183" s="17" t="s">
        <v>13</v>
      </c>
      <c r="L183" s="17" t="s">
        <v>14</v>
      </c>
      <c r="M183" s="17" t="s">
        <v>49</v>
      </c>
      <c r="N183" s="17" t="s">
        <v>50</v>
      </c>
      <c r="O183" s="17" t="s">
        <v>51</v>
      </c>
      <c r="P183" s="17" t="s">
        <v>52</v>
      </c>
      <c r="Q183" s="17" t="s">
        <v>53</v>
      </c>
      <c r="R183" s="17" t="s">
        <v>54</v>
      </c>
      <c r="S183" s="17" t="s">
        <v>55</v>
      </c>
      <c r="T183" s="17" t="s">
        <v>56</v>
      </c>
      <c r="U183" s="17" t="s">
        <v>57</v>
      </c>
      <c r="V183" s="17" t="s">
        <v>58</v>
      </c>
      <c r="W183" s="17"/>
    </row>
    <row r="184" spans="1:23" x14ac:dyDescent="0.45">
      <c r="B184" s="44" t="s">
        <v>172</v>
      </c>
      <c r="C184" s="3">
        <f>'Copper Weighted Price'!E276</f>
        <v>265201798.26230627</v>
      </c>
      <c r="D184" s="3">
        <f>'Copper Weighted Price'!F276</f>
        <v>265201798.26230627</v>
      </c>
      <c r="E184" s="3">
        <f>'Copper Weighted Price'!G276</f>
        <v>380267291.60673189</v>
      </c>
      <c r="F184" s="3">
        <f>'Copper Weighted Price'!H276</f>
        <v>439672511.43934774</v>
      </c>
      <c r="G184" s="3">
        <f>'Copper Weighted Price'!I276</f>
        <v>438559700.0176937</v>
      </c>
      <c r="H184" s="3">
        <f>'Copper Weighted Price'!J276</f>
        <v>457039430.8561306</v>
      </c>
      <c r="I184" s="3">
        <f>'Copper Weighted Price'!K276</f>
        <v>428495785.16250169</v>
      </c>
      <c r="J184" s="3">
        <f>'Copper Weighted Price'!L276</f>
        <v>394381025.30501038</v>
      </c>
      <c r="K184" s="3">
        <f>'Copper Weighted Price'!M276</f>
        <v>343387119.6604895</v>
      </c>
      <c r="L184" s="3">
        <f>'Copper Weighted Price'!N276</f>
        <v>274206142.71661615</v>
      </c>
      <c r="M184" s="3">
        <f>'Copper Weighted Price'!O276</f>
        <v>169150829.61965206</v>
      </c>
      <c r="N184" s="3">
        <f>'Copper Weighted Price'!P276</f>
        <v>72042254.038518757</v>
      </c>
      <c r="O184" s="3">
        <f>'Copper Weighted Price'!Q276</f>
        <v>0</v>
      </c>
      <c r="P184" s="3">
        <f>'Copper Weighted Price'!R276</f>
        <v>0</v>
      </c>
      <c r="Q184" s="3">
        <f>'Copper Weighted Price'!S276</f>
        <v>0</v>
      </c>
      <c r="R184" s="77">
        <v>0</v>
      </c>
      <c r="S184" s="77">
        <v>0</v>
      </c>
      <c r="T184" s="77">
        <v>0</v>
      </c>
      <c r="U184" s="77">
        <v>0</v>
      </c>
      <c r="V184" s="77">
        <v>0</v>
      </c>
      <c r="W184" s="77"/>
    </row>
    <row r="185" spans="1:23" x14ac:dyDescent="0.45">
      <c r="B185" s="44" t="s">
        <v>173</v>
      </c>
      <c r="C185" s="3">
        <f>'Copper Weighted Price'!Y59</f>
        <v>4481286.7119855089</v>
      </c>
      <c r="D185" s="3">
        <f>'Copper Weighted Price'!Z59</f>
        <v>4208486.1202214025</v>
      </c>
      <c r="E185" s="3">
        <f>'Copper Weighted Price'!AA59</f>
        <v>3738776.8279626556</v>
      </c>
      <c r="F185" s="3">
        <f>'Copper Weighted Price'!AB59</f>
        <v>3467721.8484063833</v>
      </c>
      <c r="G185" s="3">
        <f>'Copper Weighted Price'!AC59</f>
        <v>2880567.9331319034</v>
      </c>
      <c r="H185" s="3">
        <f>'Copper Weighted Price'!AD59</f>
        <v>2403567.9247276555</v>
      </c>
      <c r="I185" s="3">
        <f>'Copper Weighted Price'!AE59</f>
        <v>2130968.9056820534</v>
      </c>
      <c r="J185" s="3">
        <f>'Copper Weighted Price'!AF59</f>
        <v>1734332.9654457518</v>
      </c>
      <c r="K185" s="3">
        <f>'Copper Weighted Price'!AG59</f>
        <v>1313527.3767920588</v>
      </c>
      <c r="L185" s="3">
        <f>'Copper Weighted Price'!AH59</f>
        <v>918680.63014986145</v>
      </c>
      <c r="M185" s="3">
        <f>'Copper Weighted Price'!AI59</f>
        <v>546331.5207746441</v>
      </c>
      <c r="N185" s="3">
        <f>'Copper Weighted Price'!AJ59</f>
        <v>198657.13064183827</v>
      </c>
      <c r="O185" s="3">
        <f>'Copper Weighted Price'!AK59</f>
        <v>0</v>
      </c>
      <c r="P185" s="3">
        <f>'Copper Weighted Price'!AL59</f>
        <v>0</v>
      </c>
      <c r="Q185" s="3">
        <f>'Copper Weighted Price'!AM59</f>
        <v>0</v>
      </c>
      <c r="R185" s="77"/>
      <c r="S185" s="77">
        <v>0</v>
      </c>
      <c r="T185" s="77">
        <v>0</v>
      </c>
      <c r="U185" s="77">
        <v>0</v>
      </c>
      <c r="V185" s="77">
        <v>0</v>
      </c>
      <c r="W185" s="77"/>
    </row>
    <row r="186" spans="1:23" x14ac:dyDescent="0.45">
      <c r="B186" s="44"/>
      <c r="Q186" s="28"/>
    </row>
    <row r="187" spans="1:23" x14ac:dyDescent="0.45">
      <c r="B187" s="44" t="s">
        <v>174</v>
      </c>
      <c r="C187" s="3">
        <f>C184*C$129</f>
        <v>265201798.26230627</v>
      </c>
      <c r="D187" s="3">
        <f t="shared" ref="D187:V187" si="42">D184*D$129</f>
        <v>246699347.22075</v>
      </c>
      <c r="E187" s="3">
        <f t="shared" si="42"/>
        <v>329057688.78895134</v>
      </c>
      <c r="F187" s="3">
        <f t="shared" si="42"/>
        <v>353919035.20593482</v>
      </c>
      <c r="G187" s="3">
        <f t="shared" si="42"/>
        <v>328393735.71181709</v>
      </c>
      <c r="H187" s="3">
        <f t="shared" si="42"/>
        <v>318354760.88722181</v>
      </c>
      <c r="I187" s="3">
        <f t="shared" si="42"/>
        <v>277648779.60984319</v>
      </c>
      <c r="J187" s="3">
        <f t="shared" si="42"/>
        <v>237715095.8237271</v>
      </c>
      <c r="K187" s="3">
        <f t="shared" si="42"/>
        <v>192537924.91215616</v>
      </c>
      <c r="L187" s="3">
        <f t="shared" si="42"/>
        <v>143021392.21524698</v>
      </c>
      <c r="M187" s="3">
        <f t="shared" si="42"/>
        <v>82070955.49861069</v>
      </c>
      <c r="N187" s="3">
        <f t="shared" si="42"/>
        <v>32515780.688968327</v>
      </c>
      <c r="O187" s="3">
        <f t="shared" si="42"/>
        <v>0</v>
      </c>
      <c r="P187" s="3">
        <f t="shared" si="42"/>
        <v>0</v>
      </c>
      <c r="Q187" s="3">
        <f t="shared" si="42"/>
        <v>0</v>
      </c>
      <c r="R187" s="3">
        <f t="shared" si="42"/>
        <v>0</v>
      </c>
      <c r="S187" s="3">
        <f t="shared" si="42"/>
        <v>0</v>
      </c>
      <c r="T187" s="3">
        <f t="shared" si="42"/>
        <v>0</v>
      </c>
      <c r="U187" s="3">
        <f t="shared" si="42"/>
        <v>0</v>
      </c>
      <c r="V187" s="3">
        <f t="shared" si="42"/>
        <v>0</v>
      </c>
      <c r="W187" s="3"/>
    </row>
    <row r="188" spans="1:23" x14ac:dyDescent="0.45">
      <c r="B188" s="44"/>
    </row>
    <row r="189" spans="1:23" x14ac:dyDescent="0.45">
      <c r="B189" s="44" t="s">
        <v>175</v>
      </c>
      <c r="C189" s="93">
        <f>SUM(C187:V187)</f>
        <v>2807136294.8255334</v>
      </c>
    </row>
    <row r="190" spans="1:23" x14ac:dyDescent="0.45">
      <c r="B190" s="44"/>
    </row>
    <row r="191" spans="1:23" x14ac:dyDescent="0.45">
      <c r="C191" s="17"/>
      <c r="D191" s="17"/>
      <c r="E191" s="58"/>
      <c r="F191" s="58"/>
      <c r="G191" s="17"/>
      <c r="H191" s="17"/>
      <c r="I191" s="17"/>
      <c r="J191" s="17"/>
      <c r="K191" s="17"/>
      <c r="L191" s="17"/>
      <c r="M191" s="17"/>
      <c r="N191" s="17"/>
      <c r="O191" s="17"/>
      <c r="P191" s="17"/>
      <c r="Q191" s="17"/>
      <c r="R191" s="17"/>
      <c r="S191" s="17"/>
      <c r="T191" s="17"/>
      <c r="U191" s="17"/>
      <c r="V191" s="17"/>
      <c r="W191" s="17"/>
    </row>
    <row r="192" spans="1:23" x14ac:dyDescent="0.45">
      <c r="B192" s="42" t="s">
        <v>1</v>
      </c>
      <c r="C192" s="47">
        <v>1</v>
      </c>
      <c r="D192" s="47">
        <v>2</v>
      </c>
      <c r="E192" s="47">
        <v>3</v>
      </c>
      <c r="F192" s="47">
        <v>4</v>
      </c>
      <c r="G192" s="47">
        <v>5</v>
      </c>
      <c r="H192" s="47">
        <v>6</v>
      </c>
      <c r="I192" s="47">
        <v>7</v>
      </c>
      <c r="J192" s="47">
        <v>8</v>
      </c>
      <c r="K192" s="47">
        <v>9</v>
      </c>
      <c r="L192" s="47">
        <v>10</v>
      </c>
      <c r="M192" s="47">
        <v>11</v>
      </c>
      <c r="N192" s="47">
        <v>12</v>
      </c>
      <c r="O192" s="47">
        <v>13</v>
      </c>
      <c r="P192" s="47">
        <v>14</v>
      </c>
      <c r="Q192" s="47">
        <v>15</v>
      </c>
      <c r="R192" s="47">
        <v>16</v>
      </c>
      <c r="S192" s="47">
        <v>17</v>
      </c>
      <c r="T192" s="47">
        <v>18</v>
      </c>
      <c r="U192" s="47">
        <v>19</v>
      </c>
      <c r="V192" s="47">
        <v>20</v>
      </c>
      <c r="W192" s="47"/>
    </row>
    <row r="193" spans="2:23" x14ac:dyDescent="0.45">
      <c r="C193" s="17" t="s">
        <v>5</v>
      </c>
      <c r="D193" s="17" t="s">
        <v>6</v>
      </c>
      <c r="E193" s="58" t="s">
        <v>7</v>
      </c>
      <c r="F193" s="58" t="s">
        <v>8</v>
      </c>
      <c r="G193" s="17" t="s">
        <v>9</v>
      </c>
      <c r="H193" s="17" t="s">
        <v>10</v>
      </c>
      <c r="I193" s="17" t="s">
        <v>11</v>
      </c>
      <c r="J193" s="17" t="s">
        <v>12</v>
      </c>
      <c r="K193" s="17" t="s">
        <v>13</v>
      </c>
      <c r="L193" s="17" t="s">
        <v>14</v>
      </c>
      <c r="M193" s="17" t="s">
        <v>49</v>
      </c>
      <c r="N193" s="17" t="s">
        <v>50</v>
      </c>
      <c r="O193" s="17" t="s">
        <v>51</v>
      </c>
      <c r="P193" s="17" t="s">
        <v>52</v>
      </c>
      <c r="Q193" s="17" t="s">
        <v>53</v>
      </c>
      <c r="R193" s="17" t="s">
        <v>54</v>
      </c>
      <c r="S193" s="17" t="s">
        <v>55</v>
      </c>
      <c r="T193" s="17" t="s">
        <v>56</v>
      </c>
      <c r="U193" s="17" t="s">
        <v>57</v>
      </c>
      <c r="V193" s="17" t="s">
        <v>58</v>
      </c>
      <c r="W193" s="17"/>
    </row>
    <row r="194" spans="2:23" x14ac:dyDescent="0.45">
      <c r="B194" s="44" t="s">
        <v>172</v>
      </c>
      <c r="C194" s="3">
        <f>'Copper Weighted Price'!E364</f>
        <v>265201798.26230627</v>
      </c>
      <c r="D194" s="3">
        <f>'Copper Weighted Price'!F364</f>
        <v>265201798.26230627</v>
      </c>
      <c r="E194" s="3">
        <f>'Copper Weighted Price'!G364</f>
        <v>379385707.441603</v>
      </c>
      <c r="F194" s="3">
        <f>'Copper Weighted Price'!H364</f>
        <v>433896085.24599618</v>
      </c>
      <c r="G194" s="3">
        <f>'Copper Weighted Price'!I364</f>
        <v>432840759.68573964</v>
      </c>
      <c r="H194" s="3">
        <f>'Copper Weighted Price'!J364</f>
        <v>472922255.50641125</v>
      </c>
      <c r="I194" s="3">
        <f>'Copper Weighted Price'!K364</f>
        <v>446567454.34857076</v>
      </c>
      <c r="J194" s="3">
        <f>'Copper Weighted Price'!L364</f>
        <v>414652778.34153873</v>
      </c>
      <c r="K194" s="3">
        <f>'Copper Weighted Price'!M364</f>
        <v>364126973.79386491</v>
      </c>
      <c r="L194" s="3">
        <f>'Copper Weighted Price'!N364</f>
        <v>291420727.73509467</v>
      </c>
      <c r="M194" s="3">
        <f>'Copper Weighted Price'!O364</f>
        <v>188774812.73861519</v>
      </c>
      <c r="N194" s="3">
        <f>'Copper Weighted Price'!P364</f>
        <v>102216858.52036664</v>
      </c>
      <c r="O194" s="3">
        <f>'Copper Weighted Price'!Q364</f>
        <v>0</v>
      </c>
      <c r="P194" s="3">
        <f>'Copper Weighted Price'!R364</f>
        <v>0</v>
      </c>
      <c r="Q194" s="3">
        <f>'Copper Weighted Price'!S364</f>
        <v>0</v>
      </c>
      <c r="R194" s="77">
        <v>0</v>
      </c>
      <c r="S194" s="77">
        <v>0</v>
      </c>
      <c r="T194" s="77">
        <v>0</v>
      </c>
      <c r="U194" s="77">
        <v>0</v>
      </c>
      <c r="V194" s="77">
        <v>0</v>
      </c>
      <c r="W194" s="77"/>
    </row>
    <row r="195" spans="2:23" x14ac:dyDescent="0.45">
      <c r="B195" s="44" t="s">
        <v>173</v>
      </c>
      <c r="C195" s="3">
        <f>C185</f>
        <v>4481286.7119855089</v>
      </c>
      <c r="D195" s="3">
        <f t="shared" ref="D195:Q195" si="43">D185</f>
        <v>4208486.1202214025</v>
      </c>
      <c r="E195" s="3">
        <f t="shared" si="43"/>
        <v>3738776.8279626556</v>
      </c>
      <c r="F195" s="3">
        <f t="shared" si="43"/>
        <v>3467721.8484063833</v>
      </c>
      <c r="G195" s="3">
        <f t="shared" si="43"/>
        <v>2880567.9331319034</v>
      </c>
      <c r="H195" s="3">
        <f t="shared" si="43"/>
        <v>2403567.9247276555</v>
      </c>
      <c r="I195" s="3">
        <f t="shared" si="43"/>
        <v>2130968.9056820534</v>
      </c>
      <c r="J195" s="3">
        <f t="shared" si="43"/>
        <v>1734332.9654457518</v>
      </c>
      <c r="K195" s="3">
        <f t="shared" si="43"/>
        <v>1313527.3767920588</v>
      </c>
      <c r="L195" s="3">
        <f t="shared" si="43"/>
        <v>918680.63014986145</v>
      </c>
      <c r="M195" s="3">
        <f t="shared" si="43"/>
        <v>546331.5207746441</v>
      </c>
      <c r="N195" s="3">
        <f t="shared" si="43"/>
        <v>198657.13064183827</v>
      </c>
      <c r="O195" s="3">
        <f t="shared" si="43"/>
        <v>0</v>
      </c>
      <c r="P195" s="3">
        <f t="shared" si="43"/>
        <v>0</v>
      </c>
      <c r="Q195" s="3">
        <f t="shared" si="43"/>
        <v>0</v>
      </c>
      <c r="R195" s="77">
        <v>0</v>
      </c>
      <c r="S195" s="77">
        <v>0</v>
      </c>
      <c r="T195" s="77">
        <v>0</v>
      </c>
      <c r="U195" s="77">
        <v>0</v>
      </c>
      <c r="V195" s="77">
        <v>0</v>
      </c>
      <c r="W195" s="77"/>
    </row>
    <row r="196" spans="2:23" x14ac:dyDescent="0.45">
      <c r="B196" s="44"/>
    </row>
    <row r="197" spans="2:23" x14ac:dyDescent="0.45">
      <c r="B197" s="44" t="s">
        <v>174</v>
      </c>
      <c r="C197" s="3">
        <f>C194*C$129</f>
        <v>265201798.26230627</v>
      </c>
      <c r="D197" s="3">
        <f t="shared" ref="D197:V197" si="44">D194*D$129</f>
        <v>246699347.22075</v>
      </c>
      <c r="E197" s="3">
        <f t="shared" si="44"/>
        <v>328294825.26044613</v>
      </c>
      <c r="F197" s="3">
        <f t="shared" si="44"/>
        <v>349269239.88760436</v>
      </c>
      <c r="G197" s="3">
        <f t="shared" si="44"/>
        <v>324111390.16149044</v>
      </c>
      <c r="H197" s="3">
        <f t="shared" si="44"/>
        <v>329418079.50347799</v>
      </c>
      <c r="I197" s="3">
        <f t="shared" si="44"/>
        <v>289358525.81684971</v>
      </c>
      <c r="J197" s="3">
        <f t="shared" si="44"/>
        <v>249933994.31628612</v>
      </c>
      <c r="K197" s="3">
        <f t="shared" si="44"/>
        <v>204166807.44499269</v>
      </c>
      <c r="L197" s="3">
        <f t="shared" si="44"/>
        <v>152000235.25413173</v>
      </c>
      <c r="M197" s="3">
        <f t="shared" si="44"/>
        <v>91592392.957022026</v>
      </c>
      <c r="N197" s="3">
        <f t="shared" si="44"/>
        <v>46134882.90616902</v>
      </c>
      <c r="O197" s="3">
        <f t="shared" si="44"/>
        <v>0</v>
      </c>
      <c r="P197" s="3">
        <f t="shared" si="44"/>
        <v>0</v>
      </c>
      <c r="Q197" s="3">
        <f t="shared" si="44"/>
        <v>0</v>
      </c>
      <c r="R197" s="3">
        <f t="shared" si="44"/>
        <v>0</v>
      </c>
      <c r="S197" s="3">
        <f t="shared" si="44"/>
        <v>0</v>
      </c>
      <c r="T197" s="3">
        <f t="shared" si="44"/>
        <v>0</v>
      </c>
      <c r="U197" s="3">
        <f t="shared" si="44"/>
        <v>0</v>
      </c>
      <c r="V197" s="3">
        <f t="shared" si="44"/>
        <v>0</v>
      </c>
      <c r="W197" s="3"/>
    </row>
    <row r="198" spans="2:23" x14ac:dyDescent="0.45">
      <c r="B198" s="44"/>
    </row>
    <row r="199" spans="2:23" x14ac:dyDescent="0.45">
      <c r="B199" s="44" t="s">
        <v>175</v>
      </c>
      <c r="C199" s="93">
        <f>SUM(C197:V197)</f>
        <v>2876181518.9915266</v>
      </c>
    </row>
    <row r="202" spans="2:23" x14ac:dyDescent="0.45">
      <c r="B202" s="42" t="s">
        <v>0</v>
      </c>
      <c r="C202" s="47">
        <v>1</v>
      </c>
      <c r="D202" s="47">
        <v>2</v>
      </c>
      <c r="E202" s="47">
        <v>3</v>
      </c>
      <c r="F202" s="47">
        <v>4</v>
      </c>
      <c r="G202" s="47">
        <v>5</v>
      </c>
      <c r="H202" s="47">
        <v>6</v>
      </c>
      <c r="I202" s="47">
        <v>7</v>
      </c>
      <c r="J202" s="47">
        <v>8</v>
      </c>
      <c r="K202" s="47">
        <v>9</v>
      </c>
      <c r="L202" s="47">
        <v>10</v>
      </c>
      <c r="M202" s="47">
        <v>11</v>
      </c>
      <c r="N202" s="47">
        <v>12</v>
      </c>
      <c r="O202" s="47">
        <v>13</v>
      </c>
      <c r="P202" s="47">
        <v>14</v>
      </c>
      <c r="Q202" s="47">
        <v>15</v>
      </c>
      <c r="R202" s="47">
        <v>16</v>
      </c>
      <c r="S202" s="47">
        <v>17</v>
      </c>
      <c r="T202" s="47">
        <v>18</v>
      </c>
      <c r="U202" s="47">
        <v>19</v>
      </c>
      <c r="V202" s="47">
        <v>20</v>
      </c>
      <c r="W202" s="47"/>
    </row>
    <row r="203" spans="2:23" x14ac:dyDescent="0.45">
      <c r="C203" s="17" t="s">
        <v>5</v>
      </c>
      <c r="D203" s="17" t="s">
        <v>6</v>
      </c>
      <c r="E203" s="58" t="s">
        <v>7</v>
      </c>
      <c r="F203" s="58" t="s">
        <v>8</v>
      </c>
      <c r="G203" s="17" t="s">
        <v>9</v>
      </c>
      <c r="H203" s="17" t="s">
        <v>10</v>
      </c>
      <c r="I203" s="17" t="s">
        <v>11</v>
      </c>
      <c r="J203" s="17" t="s">
        <v>12</v>
      </c>
      <c r="K203" s="17" t="s">
        <v>13</v>
      </c>
      <c r="L203" s="17" t="s">
        <v>14</v>
      </c>
      <c r="M203" s="17" t="s">
        <v>49</v>
      </c>
      <c r="N203" s="17" t="s">
        <v>50</v>
      </c>
      <c r="O203" s="17" t="s">
        <v>51</v>
      </c>
      <c r="P203" s="17" t="s">
        <v>52</v>
      </c>
      <c r="Q203" s="17" t="s">
        <v>53</v>
      </c>
      <c r="R203" s="17" t="s">
        <v>54</v>
      </c>
      <c r="S203" s="17" t="s">
        <v>55</v>
      </c>
      <c r="T203" s="17" t="s">
        <v>56</v>
      </c>
      <c r="U203" s="17" t="s">
        <v>57</v>
      </c>
      <c r="V203" s="17" t="s">
        <v>58</v>
      </c>
      <c r="W203" s="17"/>
    </row>
    <row r="204" spans="2:23" x14ac:dyDescent="0.45">
      <c r="B204" s="44" t="s">
        <v>172</v>
      </c>
      <c r="C204" s="3">
        <f>'Copper Weighted Price'!E452</f>
        <v>265201798.26230627</v>
      </c>
      <c r="D204" s="3">
        <f>'Copper Weighted Price'!F452</f>
        <v>265201798.26230627</v>
      </c>
      <c r="E204" s="3">
        <f>'Copper Weighted Price'!G452</f>
        <v>386168594.03094828</v>
      </c>
      <c r="F204" s="3">
        <f>'Copper Weighted Price'!H452</f>
        <v>448443041.18456435</v>
      </c>
      <c r="G204" s="3">
        <f>'Copper Weighted Price'!I452</f>
        <v>438595643.16942316</v>
      </c>
      <c r="H204" s="3">
        <f>'Copper Weighted Price'!J452</f>
        <v>439417362.55078048</v>
      </c>
      <c r="I204" s="3">
        <f>'Copper Weighted Price'!K452</f>
        <v>409877671.50207472</v>
      </c>
      <c r="J204" s="3">
        <f>'Copper Weighted Price'!L452</f>
        <v>375675256.83700836</v>
      </c>
      <c r="K204" s="3">
        <f>'Copper Weighted Price'!M452</f>
        <v>325708212.17707556</v>
      </c>
      <c r="L204" s="3">
        <f>'Copper Weighted Price'!N452</f>
        <v>259391417.14608413</v>
      </c>
      <c r="M204" s="3">
        <f>'Copper Weighted Price'!O452</f>
        <v>152023102.5245201</v>
      </c>
      <c r="N204" s="3">
        <f>'Copper Weighted Price'!P452</f>
        <v>47179520.130530633</v>
      </c>
      <c r="O204" s="3">
        <f>'Copper Weighted Price'!Q452</f>
        <v>0</v>
      </c>
      <c r="P204" s="3">
        <f>'Copper Weighted Price'!R452</f>
        <v>0</v>
      </c>
      <c r="Q204" s="3">
        <f>'Copper Weighted Price'!S452</f>
        <v>0</v>
      </c>
      <c r="R204" s="77">
        <v>0</v>
      </c>
      <c r="S204" s="77">
        <v>0</v>
      </c>
      <c r="T204" s="77">
        <v>0</v>
      </c>
      <c r="U204" s="77">
        <v>0</v>
      </c>
      <c r="V204" s="77">
        <v>0</v>
      </c>
      <c r="W204" s="77"/>
    </row>
    <row r="205" spans="2:23" x14ac:dyDescent="0.45">
      <c r="B205" s="44" t="s">
        <v>173</v>
      </c>
      <c r="C205" s="3">
        <f t="shared" ref="C205:Q205" si="45">C185</f>
        <v>4481286.7119855089</v>
      </c>
      <c r="D205" s="3">
        <f t="shared" si="45"/>
        <v>4208486.1202214025</v>
      </c>
      <c r="E205" s="3">
        <f t="shared" si="45"/>
        <v>3738776.8279626556</v>
      </c>
      <c r="F205" s="3">
        <f t="shared" si="45"/>
        <v>3467721.8484063833</v>
      </c>
      <c r="G205" s="3">
        <f t="shared" si="45"/>
        <v>2880567.9331319034</v>
      </c>
      <c r="H205" s="3">
        <f t="shared" si="45"/>
        <v>2403567.9247276555</v>
      </c>
      <c r="I205" s="3">
        <f t="shared" si="45"/>
        <v>2130968.9056820534</v>
      </c>
      <c r="J205" s="3">
        <f t="shared" si="45"/>
        <v>1734332.9654457518</v>
      </c>
      <c r="K205" s="3">
        <f t="shared" si="45"/>
        <v>1313527.3767920588</v>
      </c>
      <c r="L205" s="3">
        <f t="shared" si="45"/>
        <v>918680.63014986145</v>
      </c>
      <c r="M205" s="3">
        <f t="shared" si="45"/>
        <v>546331.5207746441</v>
      </c>
      <c r="N205" s="3">
        <f t="shared" si="45"/>
        <v>198657.13064183827</v>
      </c>
      <c r="O205" s="3">
        <f t="shared" si="45"/>
        <v>0</v>
      </c>
      <c r="P205" s="3">
        <f t="shared" si="45"/>
        <v>0</v>
      </c>
      <c r="Q205" s="3">
        <f t="shared" si="45"/>
        <v>0</v>
      </c>
      <c r="R205" s="77">
        <v>0</v>
      </c>
      <c r="S205" s="77">
        <v>0</v>
      </c>
      <c r="T205" s="77">
        <v>0</v>
      </c>
      <c r="U205" s="77">
        <v>0</v>
      </c>
      <c r="V205" s="77">
        <v>0</v>
      </c>
      <c r="W205" s="77"/>
    </row>
    <row r="206" spans="2:23" x14ac:dyDescent="0.45">
      <c r="B206" s="44"/>
    </row>
    <row r="207" spans="2:23" x14ac:dyDescent="0.45">
      <c r="B207" s="44" t="s">
        <v>174</v>
      </c>
      <c r="C207" s="3">
        <f>C204*C$129</f>
        <v>265201798.26230627</v>
      </c>
      <c r="D207" s="3">
        <f t="shared" ref="D207:V207" si="46">D204*D$129</f>
        <v>246699347.22075</v>
      </c>
      <c r="E207" s="3">
        <f t="shared" si="46"/>
        <v>334164278.23121542</v>
      </c>
      <c r="F207" s="3">
        <f t="shared" si="46"/>
        <v>360978965.82454526</v>
      </c>
      <c r="G207" s="3">
        <f t="shared" si="46"/>
        <v>328420649.96287394</v>
      </c>
      <c r="H207" s="3">
        <f t="shared" si="46"/>
        <v>306079957.08926678</v>
      </c>
      <c r="I207" s="3">
        <f t="shared" si="46"/>
        <v>265584958.41147479</v>
      </c>
      <c r="J207" s="3">
        <f t="shared" si="46"/>
        <v>226440102.20457777</v>
      </c>
      <c r="K207" s="3">
        <f t="shared" si="46"/>
        <v>182625322.00225106</v>
      </c>
      <c r="L207" s="3">
        <f t="shared" si="46"/>
        <v>135294276.2017518</v>
      </c>
      <c r="M207" s="3">
        <f t="shared" si="46"/>
        <v>73760686.306448177</v>
      </c>
      <c r="N207" s="3">
        <f t="shared" si="46"/>
        <v>21294155.07675365</v>
      </c>
      <c r="O207" s="3">
        <f t="shared" si="46"/>
        <v>0</v>
      </c>
      <c r="P207" s="3">
        <f t="shared" si="46"/>
        <v>0</v>
      </c>
      <c r="Q207" s="3">
        <f t="shared" si="46"/>
        <v>0</v>
      </c>
      <c r="R207" s="3">
        <f t="shared" si="46"/>
        <v>0</v>
      </c>
      <c r="S207" s="3">
        <f t="shared" si="46"/>
        <v>0</v>
      </c>
      <c r="T207" s="3">
        <f t="shared" si="46"/>
        <v>0</v>
      </c>
      <c r="U207" s="3">
        <f t="shared" si="46"/>
        <v>0</v>
      </c>
      <c r="V207" s="3">
        <f t="shared" si="46"/>
        <v>0</v>
      </c>
      <c r="W207" s="3"/>
    </row>
    <row r="208" spans="2:23" x14ac:dyDescent="0.45">
      <c r="B208" s="44"/>
    </row>
    <row r="209" spans="1:3" x14ac:dyDescent="0.45">
      <c r="B209" s="44" t="s">
        <v>175</v>
      </c>
      <c r="C209" s="93">
        <f>SUM(C207:V207)</f>
        <v>2746544496.7942147</v>
      </c>
    </row>
    <row r="211" spans="1:3" ht="15.75" x14ac:dyDescent="0.45">
      <c r="A211" s="62" t="s">
        <v>176</v>
      </c>
      <c r="B211" s="44"/>
    </row>
    <row r="212" spans="1:3" ht="15.75" x14ac:dyDescent="0.45">
      <c r="A212" s="62"/>
      <c r="B212" s="44"/>
    </row>
    <row r="213" spans="1:3" x14ac:dyDescent="0.45">
      <c r="B213" s="44" t="s">
        <v>177</v>
      </c>
      <c r="C213" s="93">
        <f>C157</f>
        <v>3493575840.2296729</v>
      </c>
    </row>
    <row r="214" spans="1:3" x14ac:dyDescent="0.45">
      <c r="B214" s="44" t="s">
        <v>178</v>
      </c>
      <c r="C214" s="93">
        <f>C167</f>
        <v>3896124059.3332314</v>
      </c>
    </row>
    <row r="215" spans="1:3" x14ac:dyDescent="0.45">
      <c r="B215" s="44" t="s">
        <v>179</v>
      </c>
      <c r="C215" s="93">
        <f>C177</f>
        <v>3145978603.2710099</v>
      </c>
    </row>
    <row r="216" spans="1:3" x14ac:dyDescent="0.45">
      <c r="B216" s="44"/>
    </row>
    <row r="217" spans="1:3" x14ac:dyDescent="0.45">
      <c r="B217" s="44" t="s">
        <v>180</v>
      </c>
      <c r="C217" s="93">
        <f>C189</f>
        <v>2807136294.8255334</v>
      </c>
    </row>
    <row r="218" spans="1:3" x14ac:dyDescent="0.45">
      <c r="B218" s="44" t="s">
        <v>181</v>
      </c>
      <c r="C218" s="93">
        <f>C199</f>
        <v>2876181518.9915266</v>
      </c>
    </row>
    <row r="219" spans="1:3" x14ac:dyDescent="0.45">
      <c r="B219" s="44" t="s">
        <v>182</v>
      </c>
      <c r="C219" s="93">
        <f>C209</f>
        <v>2746544496.7942147</v>
      </c>
    </row>
    <row r="220" spans="1:3" x14ac:dyDescent="0.45">
      <c r="B220" s="44"/>
    </row>
    <row r="221" spans="1:3" x14ac:dyDescent="0.45">
      <c r="B221" s="44" t="s">
        <v>45</v>
      </c>
      <c r="C221" s="93">
        <f>(C213+C217)</f>
        <v>6300712135.0552063</v>
      </c>
    </row>
    <row r="222" spans="1:3" x14ac:dyDescent="0.45">
      <c r="B222" s="44" t="s">
        <v>46</v>
      </c>
      <c r="C222" s="93">
        <f>(C214+C218)</f>
        <v>6772305578.3247585</v>
      </c>
    </row>
    <row r="223" spans="1:3" x14ac:dyDescent="0.45">
      <c r="B223" s="44" t="s">
        <v>47</v>
      </c>
      <c r="C223" s="93">
        <f>(C215+C219)</f>
        <v>5892523100.0652246</v>
      </c>
    </row>
    <row r="224" spans="1:3" x14ac:dyDescent="0.45">
      <c r="B224" s="44"/>
    </row>
    <row r="225" spans="1:23" x14ac:dyDescent="0.45">
      <c r="B225" s="44"/>
    </row>
    <row r="226" spans="1:23" ht="21" x14ac:dyDescent="0.65">
      <c r="A226" s="40" t="s">
        <v>183</v>
      </c>
      <c r="B226" s="44"/>
    </row>
    <row r="227" spans="1:23" x14ac:dyDescent="0.45">
      <c r="B227" s="44"/>
    </row>
    <row r="228" spans="1:23" ht="15.75" x14ac:dyDescent="0.45">
      <c r="A228" s="62" t="s">
        <v>184</v>
      </c>
      <c r="B228" s="44"/>
    </row>
    <row r="229" spans="1:23" x14ac:dyDescent="0.45">
      <c r="A229" t="s">
        <v>185</v>
      </c>
      <c r="B229" s="44"/>
    </row>
    <row r="230" spans="1:23" x14ac:dyDescent="0.45">
      <c r="B230" s="44"/>
    </row>
    <row r="231" spans="1:23" x14ac:dyDescent="0.45">
      <c r="B231" s="42" t="s">
        <v>186</v>
      </c>
      <c r="C231" s="47">
        <v>1</v>
      </c>
      <c r="D231" s="47">
        <v>2</v>
      </c>
      <c r="E231" s="47">
        <v>3</v>
      </c>
      <c r="F231" s="47">
        <v>4</v>
      </c>
      <c r="G231" s="47">
        <v>5</v>
      </c>
      <c r="H231" s="47">
        <v>6</v>
      </c>
      <c r="I231" s="47">
        <v>7</v>
      </c>
      <c r="J231" s="47">
        <v>8</v>
      </c>
      <c r="K231" s="47">
        <v>9</v>
      </c>
      <c r="L231" s="47">
        <v>10</v>
      </c>
      <c r="M231" s="47">
        <v>11</v>
      </c>
      <c r="N231" s="47">
        <v>12</v>
      </c>
      <c r="O231" s="47">
        <v>13</v>
      </c>
      <c r="P231" s="47">
        <v>14</v>
      </c>
      <c r="Q231" s="47">
        <v>15</v>
      </c>
      <c r="R231" s="47">
        <v>16</v>
      </c>
      <c r="S231" s="47">
        <v>17</v>
      </c>
      <c r="T231" s="47">
        <v>18</v>
      </c>
      <c r="U231" s="47">
        <v>19</v>
      </c>
      <c r="V231" s="47">
        <v>20</v>
      </c>
      <c r="W231" s="47"/>
    </row>
    <row r="232" spans="1:23" x14ac:dyDescent="0.45">
      <c r="B232" s="44"/>
      <c r="C232" s="17" t="s">
        <v>5</v>
      </c>
      <c r="D232" s="17" t="s">
        <v>6</v>
      </c>
      <c r="E232" s="58" t="s">
        <v>7</v>
      </c>
      <c r="F232" s="58" t="s">
        <v>8</v>
      </c>
      <c r="G232" s="17" t="s">
        <v>9</v>
      </c>
      <c r="H232" s="17" t="s">
        <v>10</v>
      </c>
      <c r="I232" s="17" t="s">
        <v>11</v>
      </c>
      <c r="J232" s="17" t="s">
        <v>12</v>
      </c>
      <c r="K232" s="17" t="s">
        <v>13</v>
      </c>
      <c r="L232" s="17" t="s">
        <v>14</v>
      </c>
      <c r="M232" s="17" t="s">
        <v>49</v>
      </c>
      <c r="N232" s="17" t="s">
        <v>50</v>
      </c>
      <c r="O232" s="17" t="s">
        <v>51</v>
      </c>
      <c r="P232" s="17" t="s">
        <v>52</v>
      </c>
      <c r="Q232" s="17" t="s">
        <v>53</v>
      </c>
      <c r="R232" s="17" t="s">
        <v>54</v>
      </c>
      <c r="S232" s="17" t="s">
        <v>55</v>
      </c>
      <c r="T232" s="17" t="s">
        <v>56</v>
      </c>
      <c r="U232" s="17" t="s">
        <v>57</v>
      </c>
      <c r="V232" s="17" t="s">
        <v>58</v>
      </c>
      <c r="W232" s="17"/>
    </row>
    <row r="233" spans="1:23" x14ac:dyDescent="0.45">
      <c r="B233" s="44" t="s">
        <v>187</v>
      </c>
      <c r="C233" s="113">
        <f>C$295+C$139</f>
        <v>17.462163767591711</v>
      </c>
      <c r="D233" s="113">
        <f t="shared" ref="D233:F233" si="47">D$295+D$139</f>
        <v>17.575770334241838</v>
      </c>
      <c r="E233" s="113">
        <f t="shared" si="47"/>
        <v>17.708711174719006</v>
      </c>
      <c r="F233" s="113">
        <f t="shared" si="47"/>
        <v>17.888073622265214</v>
      </c>
      <c r="G233" s="113">
        <f>G$295+G$139</f>
        <v>18.136144094188559</v>
      </c>
      <c r="H233" s="67">
        <f t="shared" ref="H233:V233" si="48">H$295+H$139</f>
        <v>18.38766962458077</v>
      </c>
      <c r="I233" s="67">
        <f t="shared" si="48"/>
        <v>18.125055420945451</v>
      </c>
      <c r="J233" s="67">
        <f t="shared" si="48"/>
        <v>17.88428350123592</v>
      </c>
      <c r="K233" s="67">
        <f t="shared" si="48"/>
        <v>17.449676112820953</v>
      </c>
      <c r="L233" s="67">
        <f t="shared" si="48"/>
        <v>17.736302925398231</v>
      </c>
      <c r="M233" s="67">
        <f t="shared" si="48"/>
        <v>17.736302925398231</v>
      </c>
      <c r="N233" s="67">
        <f t="shared" si="48"/>
        <v>17.736302925398231</v>
      </c>
      <c r="O233" s="67">
        <f t="shared" si="48"/>
        <v>17.736302925398231</v>
      </c>
      <c r="P233" s="67">
        <f t="shared" si="48"/>
        <v>17.736302925398231</v>
      </c>
      <c r="Q233" s="67">
        <f t="shared" si="48"/>
        <v>17.736302925398231</v>
      </c>
      <c r="R233" s="67">
        <f t="shared" si="48"/>
        <v>17.736302925398231</v>
      </c>
      <c r="S233" s="67">
        <f t="shared" si="48"/>
        <v>17.736302925398231</v>
      </c>
      <c r="T233" s="67">
        <f t="shared" si="48"/>
        <v>17.736302925398231</v>
      </c>
      <c r="U233" s="67">
        <f t="shared" si="48"/>
        <v>17.736302925398231</v>
      </c>
      <c r="V233" s="67">
        <f t="shared" si="48"/>
        <v>17.736302925398231</v>
      </c>
      <c r="W233" s="67"/>
    </row>
    <row r="234" spans="1:23" x14ac:dyDescent="0.45">
      <c r="B234" s="44" t="s">
        <v>188</v>
      </c>
      <c r="C234" s="125">
        <f t="shared" ref="C234:V234" si="49">C68</f>
        <v>63962</v>
      </c>
      <c r="D234" s="125">
        <f t="shared" si="49"/>
        <v>152619</v>
      </c>
      <c r="E234" s="125">
        <f t="shared" si="49"/>
        <v>264050</v>
      </c>
      <c r="F234" s="125">
        <f t="shared" si="49"/>
        <v>368344</v>
      </c>
      <c r="G234" s="125">
        <f t="shared" si="49"/>
        <v>626185</v>
      </c>
      <c r="H234" s="3">
        <f t="shared" si="49"/>
        <v>869883</v>
      </c>
      <c r="I234" s="3">
        <f t="shared" si="49"/>
        <v>1182884</v>
      </c>
      <c r="J234" s="3">
        <f t="shared" si="49"/>
        <v>1446082</v>
      </c>
      <c r="K234" s="3">
        <f t="shared" si="49"/>
        <v>1718771</v>
      </c>
      <c r="L234" s="3">
        <f t="shared" si="49"/>
        <v>1974397</v>
      </c>
      <c r="M234" s="3">
        <f t="shared" si="49"/>
        <v>2148689</v>
      </c>
      <c r="N234" s="3">
        <f t="shared" si="49"/>
        <v>2296346</v>
      </c>
      <c r="O234" s="3">
        <f t="shared" si="49"/>
        <v>2422196</v>
      </c>
      <c r="P234" s="3">
        <f t="shared" si="49"/>
        <v>2515181</v>
      </c>
      <c r="Q234" s="3">
        <f t="shared" si="49"/>
        <v>2586733</v>
      </c>
      <c r="R234" s="3">
        <f t="shared" si="49"/>
        <v>2631095</v>
      </c>
      <c r="S234" s="3">
        <f t="shared" si="49"/>
        <v>2660153</v>
      </c>
      <c r="T234" s="3">
        <f t="shared" si="49"/>
        <v>2673855</v>
      </c>
      <c r="U234" s="3">
        <f t="shared" si="49"/>
        <v>2673855</v>
      </c>
      <c r="V234" s="3">
        <f t="shared" si="49"/>
        <v>2673855</v>
      </c>
      <c r="W234" s="3"/>
    </row>
    <row r="235" spans="1:23" x14ac:dyDescent="0.45">
      <c r="B235" s="44" t="s">
        <v>189</v>
      </c>
      <c r="C235" s="125">
        <f t="shared" ref="C235:G235" si="50">C233*C234*months_in_year</f>
        <v>13402979.026832413</v>
      </c>
      <c r="D235" s="125">
        <f t="shared" si="50"/>
        <v>32188757.911699861</v>
      </c>
      <c r="E235" s="125">
        <f t="shared" si="50"/>
        <v>56111822.228214636</v>
      </c>
      <c r="F235" s="125">
        <f t="shared" si="50"/>
        <v>79067575.0838359</v>
      </c>
      <c r="G235" s="125">
        <f t="shared" si="50"/>
        <v>136278976.67543355</v>
      </c>
      <c r="H235" s="3">
        <f t="shared" ref="H235:V235" si="51">H233*H234*months_in_year</f>
        <v>191941454.59247032</v>
      </c>
      <c r="I235" s="3">
        <f t="shared" si="51"/>
        <v>257278056.67859566</v>
      </c>
      <c r="J235" s="3">
        <f t="shared" si="51"/>
        <v>310345685.44841093</v>
      </c>
      <c r="K235" s="3">
        <f t="shared" si="51"/>
        <v>359903967.14531255</v>
      </c>
      <c r="L235" s="3">
        <f t="shared" si="51"/>
        <v>420222039.44396985</v>
      </c>
      <c r="M235" s="3">
        <f t="shared" si="51"/>
        <v>457317587.95765203</v>
      </c>
      <c r="N235" s="3">
        <f t="shared" si="51"/>
        <v>488744259.33031833</v>
      </c>
      <c r="O235" s="3">
        <f t="shared" si="51"/>
        <v>515529624.00825477</v>
      </c>
      <c r="P235" s="3">
        <f t="shared" si="51"/>
        <v>535320145.53847265</v>
      </c>
      <c r="Q235" s="3">
        <f t="shared" si="51"/>
        <v>550548960.90148973</v>
      </c>
      <c r="R235" s="3">
        <f t="shared" si="51"/>
        <v>559990775.34600782</v>
      </c>
      <c r="S235" s="3">
        <f t="shared" si="51"/>
        <v>566175353.23088253</v>
      </c>
      <c r="T235" s="3">
        <f t="shared" si="51"/>
        <v>569091627.10308826</v>
      </c>
      <c r="U235" s="3">
        <f t="shared" si="51"/>
        <v>569091627.10308826</v>
      </c>
      <c r="V235" s="3">
        <f t="shared" si="51"/>
        <v>569091627.10308826</v>
      </c>
      <c r="W235" s="3"/>
    </row>
    <row r="236" spans="1:23" x14ac:dyDescent="0.45">
      <c r="B236" s="44" t="s">
        <v>190</v>
      </c>
      <c r="C236" s="125">
        <f>C$143*C$93</f>
        <v>5372718</v>
      </c>
      <c r="D236" s="125">
        <f>D$143*D$93</f>
        <v>7728474</v>
      </c>
      <c r="E236" s="125">
        <f t="shared" ref="E236:V236" si="52">E$143*E$93</f>
        <v>9992580</v>
      </c>
      <c r="F236" s="125">
        <f t="shared" si="52"/>
        <v>10416787.039999999</v>
      </c>
      <c r="G236" s="125">
        <f t="shared" si="52"/>
        <v>24636275.900000002</v>
      </c>
      <c r="H236" s="125">
        <f t="shared" si="52"/>
        <v>24475801.550000001</v>
      </c>
      <c r="I236" s="125">
        <f t="shared" si="52"/>
        <v>32188276.724439088</v>
      </c>
      <c r="J236" s="125">
        <f t="shared" si="52"/>
        <v>29469776.471871592</v>
      </c>
      <c r="K236" s="125">
        <f t="shared" si="52"/>
        <v>31831381.635898095</v>
      </c>
      <c r="L236" s="125">
        <f t="shared" si="52"/>
        <v>31712363.644291323</v>
      </c>
      <c r="M236" s="125">
        <f t="shared" si="52"/>
        <v>24699670.588664927</v>
      </c>
      <c r="N236" s="125">
        <f t="shared" si="52"/>
        <v>22486639.70638654</v>
      </c>
      <c r="O236" s="125">
        <f t="shared" si="52"/>
        <v>20588709.846527673</v>
      </c>
      <c r="P236" s="125">
        <f t="shared" si="52"/>
        <v>17537880.951698564</v>
      </c>
      <c r="Q236" s="125">
        <f t="shared" si="52"/>
        <v>15432355.124128014</v>
      </c>
      <c r="R236" s="125">
        <f t="shared" si="52"/>
        <v>12707205.966100944</v>
      </c>
      <c r="S236" s="125">
        <f t="shared" si="52"/>
        <v>11007830.437729385</v>
      </c>
      <c r="T236" s="125">
        <f t="shared" si="52"/>
        <v>9263065.8955114558</v>
      </c>
      <c r="U236" s="125">
        <f t="shared" si="52"/>
        <v>7637741.3678175407</v>
      </c>
      <c r="V236" s="125">
        <f t="shared" si="52"/>
        <v>7263869.7099395739</v>
      </c>
      <c r="W236" s="3"/>
    </row>
    <row r="237" spans="1:23" x14ac:dyDescent="0.45">
      <c r="B237" s="44"/>
    </row>
    <row r="238" spans="1:23" x14ac:dyDescent="0.45">
      <c r="B238" s="44" t="s">
        <v>191</v>
      </c>
      <c r="C238" s="3">
        <f t="shared" ref="C238:G238" si="53">SUM(C235:C236)*C$128</f>
        <v>18775697.026832413</v>
      </c>
      <c r="D238" s="3">
        <f t="shared" si="53"/>
        <v>37028972.088775381</v>
      </c>
      <c r="E238" s="3">
        <f t="shared" si="53"/>
        <v>56884357.953654498</v>
      </c>
      <c r="F238" s="3">
        <f t="shared" si="53"/>
        <v>71431679.947209954</v>
      </c>
      <c r="G238" s="3">
        <f t="shared" si="53"/>
        <v>119157715.37743664</v>
      </c>
      <c r="H238" s="3">
        <f t="shared" ref="H238:V238" si="54">SUM(H235:H236)*H$128</f>
        <v>147973744.24725577</v>
      </c>
      <c r="I238" s="3">
        <f t="shared" si="54"/>
        <v>183429588.57629782</v>
      </c>
      <c r="J238" s="3">
        <f t="shared" si="54"/>
        <v>199568973.27352932</v>
      </c>
      <c r="K238" s="3">
        <f t="shared" si="54"/>
        <v>213216693.92088404</v>
      </c>
      <c r="L238" s="3">
        <f t="shared" si="54"/>
        <v>227972467.91530019</v>
      </c>
      <c r="M238" s="3">
        <f t="shared" si="54"/>
        <v>225345111.67645666</v>
      </c>
      <c r="N238" s="3">
        <f t="shared" si="54"/>
        <v>221503811.34796101</v>
      </c>
      <c r="O238" s="3">
        <f t="shared" si="54"/>
        <v>215279820.69136807</v>
      </c>
      <c r="P238" s="3">
        <f t="shared" si="54"/>
        <v>205747628.5648286</v>
      </c>
      <c r="Q238" s="3">
        <f t="shared" si="54"/>
        <v>195209913.53446481</v>
      </c>
      <c r="R238" s="3">
        <f t="shared" si="54"/>
        <v>183064436.04348361</v>
      </c>
      <c r="S238" s="3">
        <f t="shared" si="54"/>
        <v>170989937.84097013</v>
      </c>
      <c r="T238" s="3">
        <f t="shared" si="54"/>
        <v>158792396.94355997</v>
      </c>
      <c r="U238" s="3">
        <f t="shared" si="54"/>
        <v>146752687.4117403</v>
      </c>
      <c r="V238" s="3">
        <f t="shared" si="54"/>
        <v>135919882.52124977</v>
      </c>
      <c r="W238" s="3"/>
    </row>
    <row r="239" spans="1:23" x14ac:dyDescent="0.45">
      <c r="B239" s="44" t="s">
        <v>192</v>
      </c>
      <c r="C239" s="93">
        <f>SUM(C238:V238)</f>
        <v>3134045516.9032593</v>
      </c>
    </row>
    <row r="240" spans="1:23" x14ac:dyDescent="0.45">
      <c r="B240" s="44"/>
    </row>
    <row r="242" spans="2:23" x14ac:dyDescent="0.45">
      <c r="B242" s="44" t="s">
        <v>193</v>
      </c>
      <c r="C242" s="113">
        <f t="shared" ref="C242:G242" si="55">C$311+C$139</f>
        <v>17.462163767591711</v>
      </c>
      <c r="D242" s="113">
        <f t="shared" si="55"/>
        <v>17.575770334241838</v>
      </c>
      <c r="E242" s="113">
        <f t="shared" si="55"/>
        <v>17.708711174719006</v>
      </c>
      <c r="F242" s="113">
        <f t="shared" si="55"/>
        <v>17.888073622265214</v>
      </c>
      <c r="G242" s="113">
        <f t="shared" si="55"/>
        <v>18.136144094188559</v>
      </c>
      <c r="H242" s="67">
        <f>H$311+H$139</f>
        <v>18.71027455066536</v>
      </c>
      <c r="I242" s="67">
        <f t="shared" ref="I242:V242" si="56">I$311+I$139</f>
        <v>18.775172957324866</v>
      </c>
      <c r="J242" s="67">
        <f t="shared" si="56"/>
        <v>18.887082651598021</v>
      </c>
      <c r="K242" s="67">
        <f t="shared" si="56"/>
        <v>18.805875153193149</v>
      </c>
      <c r="L242" s="67">
        <f t="shared" si="56"/>
        <v>19.464488835190423</v>
      </c>
      <c r="M242" s="67">
        <f t="shared" si="56"/>
        <v>19.464488835190423</v>
      </c>
      <c r="N242" s="67">
        <f t="shared" si="56"/>
        <v>19.464488835190423</v>
      </c>
      <c r="O242" s="67">
        <f t="shared" si="56"/>
        <v>19.464488835190423</v>
      </c>
      <c r="P242" s="67">
        <f t="shared" si="56"/>
        <v>19.464488835190423</v>
      </c>
      <c r="Q242" s="67">
        <f t="shared" si="56"/>
        <v>19.464488835190423</v>
      </c>
      <c r="R242" s="67">
        <f t="shared" si="56"/>
        <v>19.464488835190423</v>
      </c>
      <c r="S242" s="67">
        <f t="shared" si="56"/>
        <v>19.464488835190423</v>
      </c>
      <c r="T242" s="67">
        <f t="shared" si="56"/>
        <v>19.464488835190423</v>
      </c>
      <c r="U242" s="67">
        <f t="shared" si="56"/>
        <v>19.464488835190423</v>
      </c>
      <c r="V242" s="67">
        <f t="shared" si="56"/>
        <v>19.464488835190423</v>
      </c>
      <c r="W242" s="67"/>
    </row>
    <row r="243" spans="2:23" x14ac:dyDescent="0.45">
      <c r="B243" s="44" t="s">
        <v>188</v>
      </c>
      <c r="C243" s="125">
        <f t="shared" ref="C243:V243" si="57">C68</f>
        <v>63962</v>
      </c>
      <c r="D243" s="125">
        <f t="shared" si="57"/>
        <v>152619</v>
      </c>
      <c r="E243" s="125">
        <f t="shared" si="57"/>
        <v>264050</v>
      </c>
      <c r="F243" s="125">
        <f t="shared" si="57"/>
        <v>368344</v>
      </c>
      <c r="G243" s="125">
        <f t="shared" si="57"/>
        <v>626185</v>
      </c>
      <c r="H243" s="3">
        <f t="shared" si="57"/>
        <v>869883</v>
      </c>
      <c r="I243" s="3">
        <f t="shared" si="57"/>
        <v>1182884</v>
      </c>
      <c r="J243" s="3">
        <f t="shared" si="57"/>
        <v>1446082</v>
      </c>
      <c r="K243" s="3">
        <f t="shared" si="57"/>
        <v>1718771</v>
      </c>
      <c r="L243" s="3">
        <f t="shared" si="57"/>
        <v>1974397</v>
      </c>
      <c r="M243" s="3">
        <f t="shared" si="57"/>
        <v>2148689</v>
      </c>
      <c r="N243" s="3">
        <f t="shared" si="57"/>
        <v>2296346</v>
      </c>
      <c r="O243" s="3">
        <f t="shared" si="57"/>
        <v>2422196</v>
      </c>
      <c r="P243" s="3">
        <f t="shared" si="57"/>
        <v>2515181</v>
      </c>
      <c r="Q243" s="3">
        <f t="shared" si="57"/>
        <v>2586733</v>
      </c>
      <c r="R243" s="3">
        <f t="shared" si="57"/>
        <v>2631095</v>
      </c>
      <c r="S243" s="3">
        <f t="shared" si="57"/>
        <v>2660153</v>
      </c>
      <c r="T243" s="3">
        <f t="shared" si="57"/>
        <v>2673855</v>
      </c>
      <c r="U243" s="3">
        <f t="shared" si="57"/>
        <v>2673855</v>
      </c>
      <c r="V243" s="3">
        <f t="shared" si="57"/>
        <v>2673855</v>
      </c>
      <c r="W243" s="3"/>
    </row>
    <row r="244" spans="2:23" x14ac:dyDescent="0.45">
      <c r="B244" s="44" t="s">
        <v>194</v>
      </c>
      <c r="C244" s="125">
        <f t="shared" ref="C244:G244" si="58">C242*C243*months_in_year</f>
        <v>13402979.026832413</v>
      </c>
      <c r="D244" s="125">
        <f t="shared" si="58"/>
        <v>32188757.911699861</v>
      </c>
      <c r="E244" s="125">
        <f t="shared" si="58"/>
        <v>56111822.228214636</v>
      </c>
      <c r="F244" s="125">
        <f t="shared" si="58"/>
        <v>79067575.0838359</v>
      </c>
      <c r="G244" s="125">
        <f t="shared" si="58"/>
        <v>136278976.67543355</v>
      </c>
      <c r="H244" s="3">
        <f t="shared" ref="H244:V244" si="59">H242*H243*months_in_year</f>
        <v>195308997.08347723</v>
      </c>
      <c r="I244" s="3">
        <f t="shared" si="59"/>
        <v>266506220.26142719</v>
      </c>
      <c r="J244" s="3">
        <f t="shared" si="59"/>
        <v>327747243.05985808</v>
      </c>
      <c r="K244" s="3">
        <f t="shared" si="59"/>
        <v>387875914.11514729</v>
      </c>
      <c r="L244" s="3">
        <f t="shared" si="59"/>
        <v>461167540.35280162</v>
      </c>
      <c r="M244" s="3">
        <f t="shared" si="59"/>
        <v>501877596.60955763</v>
      </c>
      <c r="N244" s="3">
        <f t="shared" si="59"/>
        <v>536366412.94481027</v>
      </c>
      <c r="O244" s="3">
        <f t="shared" si="59"/>
        <v>565761683.98371482</v>
      </c>
      <c r="P244" s="3">
        <f t="shared" si="59"/>
        <v>587480549.915797</v>
      </c>
      <c r="Q244" s="3">
        <f t="shared" si="59"/>
        <v>604193227.17742348</v>
      </c>
      <c r="R244" s="3">
        <f t="shared" si="59"/>
        <v>614555031.02190423</v>
      </c>
      <c r="S244" s="3">
        <f t="shared" si="59"/>
        <v>621342220.42077971</v>
      </c>
      <c r="T244" s="3">
        <f t="shared" si="59"/>
        <v>624542649.53301704</v>
      </c>
      <c r="U244" s="3">
        <f t="shared" si="59"/>
        <v>624542649.53301704</v>
      </c>
      <c r="V244" s="3">
        <f t="shared" si="59"/>
        <v>624542649.53301704</v>
      </c>
      <c r="W244" s="3"/>
    </row>
    <row r="245" spans="2:23" x14ac:dyDescent="0.45">
      <c r="B245" s="44" t="s">
        <v>190</v>
      </c>
      <c r="C245" s="125">
        <f>C$143*C$93</f>
        <v>5372718</v>
      </c>
      <c r="D245" s="125">
        <f t="shared" ref="D245:V245" si="60">D$143*D$93</f>
        <v>7728474</v>
      </c>
      <c r="E245" s="125">
        <f t="shared" si="60"/>
        <v>9992580</v>
      </c>
      <c r="F245" s="125">
        <f t="shared" si="60"/>
        <v>10416787.039999999</v>
      </c>
      <c r="G245" s="125">
        <f t="shared" si="60"/>
        <v>24636275.900000002</v>
      </c>
      <c r="H245" s="125">
        <f>H$143*H$93</f>
        <v>24475801.550000001</v>
      </c>
      <c r="I245" s="125">
        <f t="shared" si="60"/>
        <v>32188276.724439088</v>
      </c>
      <c r="J245" s="125">
        <f t="shared" si="60"/>
        <v>29469776.471871592</v>
      </c>
      <c r="K245" s="125">
        <f t="shared" si="60"/>
        <v>31831381.635898095</v>
      </c>
      <c r="L245" s="125">
        <f t="shared" si="60"/>
        <v>31712363.644291323</v>
      </c>
      <c r="M245" s="125">
        <f t="shared" si="60"/>
        <v>24699670.588664927</v>
      </c>
      <c r="N245" s="125">
        <f t="shared" si="60"/>
        <v>22486639.70638654</v>
      </c>
      <c r="O245" s="125">
        <f t="shared" si="60"/>
        <v>20588709.846527673</v>
      </c>
      <c r="P245" s="125">
        <f t="shared" si="60"/>
        <v>17537880.951698564</v>
      </c>
      <c r="Q245" s="125">
        <f t="shared" si="60"/>
        <v>15432355.124128014</v>
      </c>
      <c r="R245" s="125">
        <f t="shared" si="60"/>
        <v>12707205.966100944</v>
      </c>
      <c r="S245" s="125">
        <f t="shared" si="60"/>
        <v>11007830.437729385</v>
      </c>
      <c r="T245" s="125">
        <f t="shared" si="60"/>
        <v>9263065.8955114558</v>
      </c>
      <c r="U245" s="125">
        <f t="shared" si="60"/>
        <v>7637741.3678175407</v>
      </c>
      <c r="V245" s="125">
        <f t="shared" si="60"/>
        <v>7263869.7099395739</v>
      </c>
      <c r="W245" s="3"/>
    </row>
    <row r="246" spans="2:23" x14ac:dyDescent="0.45">
      <c r="B246" s="44"/>
    </row>
    <row r="247" spans="2:23" x14ac:dyDescent="0.45">
      <c r="B247" s="44" t="s">
        <v>195</v>
      </c>
      <c r="C247" s="3">
        <f>SUM(C244:C245)*C$128</f>
        <v>18775697.026832413</v>
      </c>
      <c r="D247" s="3">
        <f t="shared" ref="D247:G247" si="61">SUM(D244:D245)*D$128</f>
        <v>37028972.088775381</v>
      </c>
      <c r="E247" s="3">
        <f t="shared" si="61"/>
        <v>56884357.953654498</v>
      </c>
      <c r="F247" s="3">
        <f t="shared" si="61"/>
        <v>71431679.947209954</v>
      </c>
      <c r="G247" s="3">
        <f t="shared" si="61"/>
        <v>119157715.37743664</v>
      </c>
      <c r="H247" s="3">
        <f>SUM(H244:H245)*H$128</f>
        <v>150276277.23463449</v>
      </c>
      <c r="I247" s="3">
        <f t="shared" ref="I247:V247" si="62">SUM(I244:I245)*I$128</f>
        <v>189277309.20554534</v>
      </c>
      <c r="J247" s="3">
        <f t="shared" si="62"/>
        <v>209788670.06499365</v>
      </c>
      <c r="K247" s="3">
        <f t="shared" si="62"/>
        <v>228441477.88279676</v>
      </c>
      <c r="L247" s="3">
        <f t="shared" si="62"/>
        <v>248626896.58554143</v>
      </c>
      <c r="M247" s="3">
        <f t="shared" si="62"/>
        <v>246177104.61432502</v>
      </c>
      <c r="N247" s="3">
        <f t="shared" si="62"/>
        <v>242137322.64409783</v>
      </c>
      <c r="O247" s="3">
        <f t="shared" si="62"/>
        <v>235450645.26795167</v>
      </c>
      <c r="P247" s="3">
        <f t="shared" si="62"/>
        <v>225159265.89557067</v>
      </c>
      <c r="Q247" s="3">
        <f t="shared" si="62"/>
        <v>213712101.30080238</v>
      </c>
      <c r="R247" s="3">
        <f t="shared" si="62"/>
        <v>200506045.79135653</v>
      </c>
      <c r="S247" s="3">
        <f t="shared" si="62"/>
        <v>187333066.77921289</v>
      </c>
      <c r="T247" s="3">
        <f t="shared" si="62"/>
        <v>174016965.65755641</v>
      </c>
      <c r="U247" s="3">
        <f t="shared" si="62"/>
        <v>160862575.00580558</v>
      </c>
      <c r="V247" s="3">
        <f t="shared" si="62"/>
        <v>148996701.42214435</v>
      </c>
      <c r="W247" s="3"/>
    </row>
    <row r="248" spans="2:23" x14ac:dyDescent="0.45">
      <c r="B248" s="44" t="s">
        <v>196</v>
      </c>
      <c r="C248" s="93">
        <f>SUM(C247:V247)</f>
        <v>3364040847.746244</v>
      </c>
    </row>
    <row r="249" spans="2:23" x14ac:dyDescent="0.45">
      <c r="B249" s="44"/>
    </row>
    <row r="250" spans="2:23" x14ac:dyDescent="0.45">
      <c r="B250" s="44"/>
    </row>
    <row r="251" spans="2:23" x14ac:dyDescent="0.45">
      <c r="B251" s="42" t="s">
        <v>158</v>
      </c>
      <c r="C251" s="47">
        <v>1</v>
      </c>
      <c r="D251" s="47">
        <v>2</v>
      </c>
      <c r="E251" s="47">
        <v>3</v>
      </c>
      <c r="F251" s="47">
        <v>4</v>
      </c>
      <c r="G251" s="47">
        <v>5</v>
      </c>
      <c r="H251" s="47">
        <v>6</v>
      </c>
      <c r="I251" s="47">
        <v>7</v>
      </c>
      <c r="J251" s="47">
        <v>8</v>
      </c>
      <c r="K251" s="47">
        <v>9</v>
      </c>
      <c r="L251" s="47">
        <v>10</v>
      </c>
      <c r="M251" s="47">
        <v>11</v>
      </c>
      <c r="N251" s="47">
        <v>12</v>
      </c>
      <c r="O251" s="47">
        <v>13</v>
      </c>
      <c r="P251" s="47">
        <v>14</v>
      </c>
      <c r="Q251" s="47">
        <v>15</v>
      </c>
      <c r="R251" s="47">
        <v>16</v>
      </c>
      <c r="S251" s="47">
        <v>17</v>
      </c>
      <c r="T251" s="47">
        <v>18</v>
      </c>
      <c r="U251" s="47">
        <v>19</v>
      </c>
      <c r="V251" s="47">
        <v>20</v>
      </c>
      <c r="W251" s="47"/>
    </row>
    <row r="252" spans="2:23" x14ac:dyDescent="0.45">
      <c r="B252" s="44"/>
      <c r="C252" s="17" t="s">
        <v>5</v>
      </c>
      <c r="D252" s="17" t="s">
        <v>6</v>
      </c>
      <c r="E252" s="58" t="s">
        <v>7</v>
      </c>
      <c r="F252" s="58" t="s">
        <v>8</v>
      </c>
      <c r="G252" s="17" t="s">
        <v>9</v>
      </c>
      <c r="H252" s="17" t="s">
        <v>10</v>
      </c>
      <c r="I252" s="17" t="s">
        <v>11</v>
      </c>
      <c r="J252" s="17" t="s">
        <v>12</v>
      </c>
      <c r="K252" s="17" t="s">
        <v>13</v>
      </c>
      <c r="L252" s="17" t="s">
        <v>14</v>
      </c>
      <c r="M252" s="17" t="s">
        <v>49</v>
      </c>
      <c r="N252" s="17" t="s">
        <v>50</v>
      </c>
      <c r="O252" s="17" t="s">
        <v>51</v>
      </c>
      <c r="P252" s="17" t="s">
        <v>52</v>
      </c>
      <c r="Q252" s="17" t="s">
        <v>53</v>
      </c>
      <c r="R252" s="17" t="s">
        <v>54</v>
      </c>
      <c r="S252" s="17" t="s">
        <v>55</v>
      </c>
      <c r="T252" s="17" t="s">
        <v>56</v>
      </c>
      <c r="U252" s="17" t="s">
        <v>57</v>
      </c>
      <c r="V252" s="17" t="s">
        <v>58</v>
      </c>
      <c r="W252" s="17"/>
    </row>
    <row r="253" spans="2:23" x14ac:dyDescent="0.45">
      <c r="B253" s="44" t="s">
        <v>187</v>
      </c>
      <c r="C253" s="113">
        <f>C$295+C$137</f>
        <v>13.796935779643938</v>
      </c>
      <c r="D253" s="113">
        <f>D$295+D$137</f>
        <v>14.645114224183384</v>
      </c>
      <c r="E253" s="113">
        <f>E$295+E$137</f>
        <v>15.290171791340153</v>
      </c>
      <c r="F253" s="113">
        <f t="shared" ref="F253:G253" si="63">F$295+F$137</f>
        <v>15.614858292072942</v>
      </c>
      <c r="G253" s="113">
        <f t="shared" si="63"/>
        <v>16.249982921327991</v>
      </c>
      <c r="H253" s="67">
        <f t="shared" ref="H253:V253" si="64">H$295+H$137</f>
        <v>16.585141673827795</v>
      </c>
      <c r="I253" s="67">
        <f t="shared" si="64"/>
        <v>16.766417043459814</v>
      </c>
      <c r="J253" s="67">
        <f t="shared" si="64"/>
        <v>16.772131369576279</v>
      </c>
      <c r="K253" s="67">
        <f t="shared" si="64"/>
        <v>16.663494167975131</v>
      </c>
      <c r="L253" s="67">
        <f t="shared" si="64"/>
        <v>16.934398232896026</v>
      </c>
      <c r="M253" s="67">
        <f t="shared" si="64"/>
        <v>16.934398232896026</v>
      </c>
      <c r="N253" s="67">
        <f t="shared" si="64"/>
        <v>16.934398232896026</v>
      </c>
      <c r="O253" s="67">
        <f t="shared" si="64"/>
        <v>16.934398232896026</v>
      </c>
      <c r="P253" s="67">
        <f t="shared" si="64"/>
        <v>16.934398232896026</v>
      </c>
      <c r="Q253" s="67">
        <f t="shared" si="64"/>
        <v>16.934398232896026</v>
      </c>
      <c r="R253" s="67">
        <f t="shared" si="64"/>
        <v>16.934398232896026</v>
      </c>
      <c r="S253" s="67">
        <f t="shared" si="64"/>
        <v>16.934398232896026</v>
      </c>
      <c r="T253" s="67">
        <f t="shared" si="64"/>
        <v>16.934398232896026</v>
      </c>
      <c r="U253" s="67">
        <f t="shared" si="64"/>
        <v>16.934398232896026</v>
      </c>
      <c r="V253" s="67">
        <f t="shared" si="64"/>
        <v>16.934398232896026</v>
      </c>
      <c r="W253" s="67"/>
    </row>
    <row r="254" spans="2:23" x14ac:dyDescent="0.45">
      <c r="B254" s="44" t="s">
        <v>188</v>
      </c>
      <c r="C254" s="125">
        <f t="shared" ref="C254:V254" si="65">C77</f>
        <v>63962</v>
      </c>
      <c r="D254" s="125">
        <f t="shared" si="65"/>
        <v>152619</v>
      </c>
      <c r="E254" s="125">
        <f t="shared" si="65"/>
        <v>264050</v>
      </c>
      <c r="F254" s="125">
        <f t="shared" si="65"/>
        <v>368344</v>
      </c>
      <c r="G254" s="125">
        <f t="shared" si="65"/>
        <v>626185</v>
      </c>
      <c r="H254" s="3">
        <f t="shared" si="65"/>
        <v>869883</v>
      </c>
      <c r="I254" s="3">
        <f t="shared" si="65"/>
        <v>1182884</v>
      </c>
      <c r="J254" s="3">
        <f t="shared" si="65"/>
        <v>1446082</v>
      </c>
      <c r="K254" s="3">
        <f t="shared" si="65"/>
        <v>1718771</v>
      </c>
      <c r="L254" s="3">
        <f t="shared" si="65"/>
        <v>1974397</v>
      </c>
      <c r="M254" s="3">
        <f t="shared" si="65"/>
        <v>2148689</v>
      </c>
      <c r="N254" s="3">
        <f t="shared" si="65"/>
        <v>2296346</v>
      </c>
      <c r="O254" s="3">
        <f t="shared" si="65"/>
        <v>2422196</v>
      </c>
      <c r="P254" s="3">
        <f t="shared" si="65"/>
        <v>2515181</v>
      </c>
      <c r="Q254" s="3">
        <f t="shared" si="65"/>
        <v>2586733</v>
      </c>
      <c r="R254" s="3">
        <f t="shared" si="65"/>
        <v>2631095</v>
      </c>
      <c r="S254" s="3">
        <f t="shared" si="65"/>
        <v>2660153</v>
      </c>
      <c r="T254" s="3">
        <f t="shared" si="65"/>
        <v>2673855</v>
      </c>
      <c r="U254" s="3">
        <f t="shared" si="65"/>
        <v>2673855</v>
      </c>
      <c r="V254" s="3">
        <f t="shared" si="65"/>
        <v>2673855</v>
      </c>
      <c r="W254" s="3"/>
    </row>
    <row r="255" spans="2:23" x14ac:dyDescent="0.45">
      <c r="B255" s="44" t="s">
        <v>189</v>
      </c>
      <c r="C255" s="125">
        <f t="shared" ref="C255:G255" si="66">C253*C254*months_in_year</f>
        <v>10589755.276051028</v>
      </c>
      <c r="D255" s="125">
        <f t="shared" si="66"/>
        <v>26821472.253367726</v>
      </c>
      <c r="E255" s="125">
        <f t="shared" si="66"/>
        <v>48448438.338040411</v>
      </c>
      <c r="F255" s="125">
        <f t="shared" si="66"/>
        <v>69019672.352823779</v>
      </c>
      <c r="G255" s="125">
        <f t="shared" si="66"/>
        <v>122105946.6671012</v>
      </c>
      <c r="H255" s="3">
        <f t="shared" ref="H255:V255" si="67">H253*H254*months_in_year</f>
        <v>173125593.53585213</v>
      </c>
      <c r="I255" s="3">
        <f t="shared" si="67"/>
        <v>237992717.49643105</v>
      </c>
      <c r="J255" s="3">
        <f t="shared" si="67"/>
        <v>291046527.30215526</v>
      </c>
      <c r="K255" s="3">
        <f t="shared" si="67"/>
        <v>343688766.41501737</v>
      </c>
      <c r="L255" s="3">
        <f t="shared" si="67"/>
        <v>401222700.8140226</v>
      </c>
      <c r="M255" s="3">
        <f t="shared" si="67"/>
        <v>436641062.45571756</v>
      </c>
      <c r="N255" s="3">
        <f t="shared" si="67"/>
        <v>466646851.73421425</v>
      </c>
      <c r="O255" s="3">
        <f t="shared" si="67"/>
        <v>492221179.94553387</v>
      </c>
      <c r="P255" s="3">
        <f t="shared" si="67"/>
        <v>511116920.18176389</v>
      </c>
      <c r="Q255" s="3">
        <f t="shared" si="67"/>
        <v>525657200.93008602</v>
      </c>
      <c r="R255" s="3">
        <f t="shared" si="67"/>
        <v>534672126.22297883</v>
      </c>
      <c r="S255" s="3">
        <f t="shared" si="67"/>
        <v>540577083.14919674</v>
      </c>
      <c r="T255" s="3">
        <f t="shared" si="67"/>
        <v>543361504.64424241</v>
      </c>
      <c r="U255" s="3">
        <f t="shared" si="67"/>
        <v>543361504.64424241</v>
      </c>
      <c r="V255" s="3">
        <f t="shared" si="67"/>
        <v>543361504.64424241</v>
      </c>
      <c r="W255" s="3"/>
    </row>
    <row r="256" spans="2:23" x14ac:dyDescent="0.45">
      <c r="B256" s="44" t="s">
        <v>190</v>
      </c>
      <c r="C256" s="125">
        <f>C$143*C$93</f>
        <v>5372718</v>
      </c>
      <c r="D256" s="125">
        <f t="shared" ref="D256:V256" si="68">D$143*D$93</f>
        <v>7728474</v>
      </c>
      <c r="E256" s="125">
        <f t="shared" si="68"/>
        <v>9992580</v>
      </c>
      <c r="F256" s="125">
        <f t="shared" si="68"/>
        <v>10416787.039999999</v>
      </c>
      <c r="G256" s="125">
        <f t="shared" si="68"/>
        <v>24636275.900000002</v>
      </c>
      <c r="H256" s="125">
        <f t="shared" si="68"/>
        <v>24475801.550000001</v>
      </c>
      <c r="I256" s="125">
        <f t="shared" si="68"/>
        <v>32188276.724439088</v>
      </c>
      <c r="J256" s="125">
        <f t="shared" si="68"/>
        <v>29469776.471871592</v>
      </c>
      <c r="K256" s="125">
        <f t="shared" si="68"/>
        <v>31831381.635898095</v>
      </c>
      <c r="L256" s="125">
        <f t="shared" si="68"/>
        <v>31712363.644291323</v>
      </c>
      <c r="M256" s="125">
        <f t="shared" si="68"/>
        <v>24699670.588664927</v>
      </c>
      <c r="N256" s="125">
        <f t="shared" si="68"/>
        <v>22486639.70638654</v>
      </c>
      <c r="O256" s="125">
        <f t="shared" si="68"/>
        <v>20588709.846527673</v>
      </c>
      <c r="P256" s="125">
        <f t="shared" si="68"/>
        <v>17537880.951698564</v>
      </c>
      <c r="Q256" s="125">
        <f t="shared" si="68"/>
        <v>15432355.124128014</v>
      </c>
      <c r="R256" s="125">
        <f t="shared" si="68"/>
        <v>12707205.966100944</v>
      </c>
      <c r="S256" s="125">
        <f t="shared" si="68"/>
        <v>11007830.437729385</v>
      </c>
      <c r="T256" s="125">
        <f t="shared" si="68"/>
        <v>9263065.8955114558</v>
      </c>
      <c r="U256" s="125">
        <f t="shared" si="68"/>
        <v>7637741.3678175407</v>
      </c>
      <c r="V256" s="125">
        <f t="shared" si="68"/>
        <v>7263869.7099395739</v>
      </c>
      <c r="W256" s="3"/>
    </row>
    <row r="257" spans="2:23" x14ac:dyDescent="0.45">
      <c r="B257" s="44"/>
    </row>
    <row r="258" spans="2:23" x14ac:dyDescent="0.45">
      <c r="B258" s="44" t="s">
        <v>197</v>
      </c>
      <c r="C258" s="3">
        <f>SUM(C255:C256)*C$128</f>
        <v>15962473.276051028</v>
      </c>
      <c r="D258" s="3">
        <f t="shared" ref="D258:G258" si="69">SUM(D255:D256)*D$128</f>
        <v>32050042.90664909</v>
      </c>
      <c r="E258" s="3">
        <f t="shared" si="69"/>
        <v>50289839.923826858</v>
      </c>
      <c r="F258" s="3">
        <f t="shared" si="69"/>
        <v>63410853.123534471</v>
      </c>
      <c r="G258" s="3">
        <f t="shared" si="69"/>
        <v>108662589.22414021</v>
      </c>
      <c r="H258" s="3">
        <f t="shared" ref="H258:V258" si="70">SUM(H255:H256)*H$128</f>
        <v>135108534.4141221</v>
      </c>
      <c r="I258" s="3">
        <f t="shared" si="70"/>
        <v>171208817.3724376</v>
      </c>
      <c r="J258" s="3">
        <f t="shared" si="70"/>
        <v>188234841.64065138</v>
      </c>
      <c r="K258" s="3">
        <f t="shared" si="70"/>
        <v>204390961.18644038</v>
      </c>
      <c r="L258" s="3">
        <f t="shared" si="70"/>
        <v>218388497.12965128</v>
      </c>
      <c r="M258" s="3">
        <f t="shared" si="70"/>
        <v>215678748.35501388</v>
      </c>
      <c r="N258" s="3">
        <f t="shared" si="70"/>
        <v>211929546.54380053</v>
      </c>
      <c r="O258" s="3">
        <f t="shared" si="70"/>
        <v>205920249.60127267</v>
      </c>
      <c r="P258" s="3">
        <f t="shared" si="70"/>
        <v>196740331.9675864</v>
      </c>
      <c r="Q258" s="3">
        <f t="shared" si="70"/>
        <v>186624615.44395605</v>
      </c>
      <c r="R258" s="3">
        <f t="shared" si="70"/>
        <v>174971262.37370566</v>
      </c>
      <c r="S258" s="3">
        <f t="shared" si="70"/>
        <v>163406476.06669766</v>
      </c>
      <c r="T258" s="3">
        <f t="shared" si="70"/>
        <v>151727964.22026339</v>
      </c>
      <c r="U258" s="3">
        <f t="shared" si="70"/>
        <v>140205483.77569157</v>
      </c>
      <c r="V258" s="3">
        <f t="shared" si="70"/>
        <v>129852038.55827595</v>
      </c>
      <c r="W258" s="3"/>
    </row>
    <row r="259" spans="2:23" x14ac:dyDescent="0.45">
      <c r="B259" s="44" t="s">
        <v>198</v>
      </c>
      <c r="C259" s="93">
        <f>SUM(C258:V258)</f>
        <v>2964764167.1037683</v>
      </c>
    </row>
    <row r="260" spans="2:23" x14ac:dyDescent="0.45">
      <c r="B260" s="44"/>
    </row>
    <row r="262" spans="2:23" x14ac:dyDescent="0.45">
      <c r="B262" s="44" t="s">
        <v>193</v>
      </c>
      <c r="C262" s="113">
        <f>C$311+C$137</f>
        <v>13.796935779643938</v>
      </c>
      <c r="D262" s="113">
        <f t="shared" ref="D262:V262" si="71">D$311+D$137</f>
        <v>14.645114224183384</v>
      </c>
      <c r="E262" s="113">
        <f t="shared" si="71"/>
        <v>15.290171791340153</v>
      </c>
      <c r="F262" s="113">
        <f t="shared" si="71"/>
        <v>15.614858292072942</v>
      </c>
      <c r="G262" s="113">
        <f t="shared" si="71"/>
        <v>16.249982921327991</v>
      </c>
      <c r="H262" s="67">
        <f t="shared" si="71"/>
        <v>16.907746599912386</v>
      </c>
      <c r="I262" s="67">
        <f>I$311+I$137</f>
        <v>17.416534579839229</v>
      </c>
      <c r="J262" s="67">
        <f t="shared" si="71"/>
        <v>17.774930519938383</v>
      </c>
      <c r="K262" s="67">
        <f t="shared" si="71"/>
        <v>18.019693208347327</v>
      </c>
      <c r="L262" s="67">
        <f t="shared" si="71"/>
        <v>18.662584142688218</v>
      </c>
      <c r="M262" s="67">
        <f t="shared" si="71"/>
        <v>18.662584142688218</v>
      </c>
      <c r="N262" s="67">
        <f t="shared" si="71"/>
        <v>18.662584142688218</v>
      </c>
      <c r="O262" s="67">
        <f t="shared" si="71"/>
        <v>18.662584142688218</v>
      </c>
      <c r="P262" s="67">
        <f t="shared" si="71"/>
        <v>18.662584142688218</v>
      </c>
      <c r="Q262" s="67">
        <f t="shared" si="71"/>
        <v>18.662584142688218</v>
      </c>
      <c r="R262" s="67">
        <f t="shared" si="71"/>
        <v>18.662584142688218</v>
      </c>
      <c r="S262" s="67">
        <f t="shared" si="71"/>
        <v>18.662584142688218</v>
      </c>
      <c r="T262" s="67">
        <f t="shared" si="71"/>
        <v>18.662584142688218</v>
      </c>
      <c r="U262" s="67">
        <f t="shared" si="71"/>
        <v>18.662584142688218</v>
      </c>
      <c r="V262" s="67">
        <f t="shared" si="71"/>
        <v>18.662584142688218</v>
      </c>
      <c r="W262" s="67"/>
    </row>
    <row r="263" spans="2:23" x14ac:dyDescent="0.45">
      <c r="B263" s="44" t="s">
        <v>188</v>
      </c>
      <c r="C263" s="125">
        <f t="shared" ref="C263:V263" si="72">C77</f>
        <v>63962</v>
      </c>
      <c r="D263" s="125">
        <f t="shared" si="72"/>
        <v>152619</v>
      </c>
      <c r="E263" s="125">
        <f t="shared" si="72"/>
        <v>264050</v>
      </c>
      <c r="F263" s="125">
        <f t="shared" si="72"/>
        <v>368344</v>
      </c>
      <c r="G263" s="125">
        <f t="shared" si="72"/>
        <v>626185</v>
      </c>
      <c r="H263" s="3">
        <f t="shared" si="72"/>
        <v>869883</v>
      </c>
      <c r="I263" s="3">
        <f t="shared" si="72"/>
        <v>1182884</v>
      </c>
      <c r="J263" s="3">
        <f t="shared" si="72"/>
        <v>1446082</v>
      </c>
      <c r="K263" s="3">
        <f t="shared" si="72"/>
        <v>1718771</v>
      </c>
      <c r="L263" s="3">
        <f t="shared" si="72"/>
        <v>1974397</v>
      </c>
      <c r="M263" s="3">
        <f t="shared" si="72"/>
        <v>2148689</v>
      </c>
      <c r="N263" s="3">
        <f t="shared" si="72"/>
        <v>2296346</v>
      </c>
      <c r="O263" s="3">
        <f t="shared" si="72"/>
        <v>2422196</v>
      </c>
      <c r="P263" s="3">
        <f t="shared" si="72"/>
        <v>2515181</v>
      </c>
      <c r="Q263" s="3">
        <f t="shared" si="72"/>
        <v>2586733</v>
      </c>
      <c r="R263" s="3">
        <f t="shared" si="72"/>
        <v>2631095</v>
      </c>
      <c r="S263" s="3">
        <f t="shared" si="72"/>
        <v>2660153</v>
      </c>
      <c r="T263" s="3">
        <f t="shared" si="72"/>
        <v>2673855</v>
      </c>
      <c r="U263" s="3">
        <f t="shared" si="72"/>
        <v>2673855</v>
      </c>
      <c r="V263" s="3">
        <f t="shared" si="72"/>
        <v>2673855</v>
      </c>
      <c r="W263" s="3"/>
    </row>
    <row r="264" spans="2:23" x14ac:dyDescent="0.45">
      <c r="B264" s="44" t="s">
        <v>194</v>
      </c>
      <c r="C264" s="125">
        <f t="shared" ref="C264:V264" si="73">C262*C263*months_in_year</f>
        <v>10589755.276051028</v>
      </c>
      <c r="D264" s="125">
        <f t="shared" si="73"/>
        <v>26821472.253367726</v>
      </c>
      <c r="E264" s="125">
        <f t="shared" si="73"/>
        <v>48448438.338040411</v>
      </c>
      <c r="F264" s="125">
        <f t="shared" si="73"/>
        <v>69019672.352823779</v>
      </c>
      <c r="G264" s="125">
        <f t="shared" si="73"/>
        <v>122105946.6671012</v>
      </c>
      <c r="H264" s="3">
        <f t="shared" si="73"/>
        <v>176493136.02685902</v>
      </c>
      <c r="I264" s="3">
        <f t="shared" si="73"/>
        <v>247220881.07926255</v>
      </c>
      <c r="J264" s="3">
        <f t="shared" si="73"/>
        <v>308448084.91360247</v>
      </c>
      <c r="K264" s="3">
        <f t="shared" si="73"/>
        <v>371660713.38485217</v>
      </c>
      <c r="L264" s="3">
        <f t="shared" si="73"/>
        <v>442168201.72285426</v>
      </c>
      <c r="M264" s="3">
        <f t="shared" si="73"/>
        <v>481201071.10762328</v>
      </c>
      <c r="N264" s="3">
        <f t="shared" si="73"/>
        <v>514269005.34870619</v>
      </c>
      <c r="O264" s="3">
        <f t="shared" si="73"/>
        <v>542453239.92099404</v>
      </c>
      <c r="P264" s="3">
        <f t="shared" si="73"/>
        <v>563277324.55908835</v>
      </c>
      <c r="Q264" s="3">
        <f t="shared" si="73"/>
        <v>579301467.20601988</v>
      </c>
      <c r="R264" s="3">
        <f t="shared" si="73"/>
        <v>589236381.898875</v>
      </c>
      <c r="S264" s="3">
        <f t="shared" si="73"/>
        <v>595743950.33909392</v>
      </c>
      <c r="T264" s="3">
        <f t="shared" si="73"/>
        <v>598812527.0741713</v>
      </c>
      <c r="U264" s="3">
        <f t="shared" si="73"/>
        <v>598812527.0741713</v>
      </c>
      <c r="V264" s="3">
        <f t="shared" si="73"/>
        <v>598812527.0741713</v>
      </c>
      <c r="W264" s="3"/>
    </row>
    <row r="265" spans="2:23" x14ac:dyDescent="0.45">
      <c r="B265" s="44" t="s">
        <v>190</v>
      </c>
      <c r="C265" s="125">
        <f>C$143*C$93</f>
        <v>5372718</v>
      </c>
      <c r="D265" s="125">
        <f t="shared" ref="D265:V265" si="74">D$143*D$93</f>
        <v>7728474</v>
      </c>
      <c r="E265" s="125">
        <f t="shared" si="74"/>
        <v>9992580</v>
      </c>
      <c r="F265" s="125">
        <f t="shared" si="74"/>
        <v>10416787.039999999</v>
      </c>
      <c r="G265" s="125">
        <f t="shared" si="74"/>
        <v>24636275.900000002</v>
      </c>
      <c r="H265" s="125">
        <f t="shared" si="74"/>
        <v>24475801.550000001</v>
      </c>
      <c r="I265" s="125">
        <f t="shared" si="74"/>
        <v>32188276.724439088</v>
      </c>
      <c r="J265" s="125">
        <f t="shared" si="74"/>
        <v>29469776.471871592</v>
      </c>
      <c r="K265" s="125">
        <f t="shared" si="74"/>
        <v>31831381.635898095</v>
      </c>
      <c r="L265" s="125">
        <f t="shared" si="74"/>
        <v>31712363.644291323</v>
      </c>
      <c r="M265" s="125">
        <f t="shared" si="74"/>
        <v>24699670.588664927</v>
      </c>
      <c r="N265" s="125">
        <f t="shared" si="74"/>
        <v>22486639.70638654</v>
      </c>
      <c r="O265" s="125">
        <f t="shared" si="74"/>
        <v>20588709.846527673</v>
      </c>
      <c r="P265" s="125">
        <f t="shared" si="74"/>
        <v>17537880.951698564</v>
      </c>
      <c r="Q265" s="125">
        <f t="shared" si="74"/>
        <v>15432355.124128014</v>
      </c>
      <c r="R265" s="125">
        <f t="shared" si="74"/>
        <v>12707205.966100944</v>
      </c>
      <c r="S265" s="125">
        <f t="shared" si="74"/>
        <v>11007830.437729385</v>
      </c>
      <c r="T265" s="125">
        <f t="shared" si="74"/>
        <v>9263065.8955114558</v>
      </c>
      <c r="U265" s="125">
        <f t="shared" si="74"/>
        <v>7637741.3678175407</v>
      </c>
      <c r="V265" s="125">
        <f t="shared" si="74"/>
        <v>7263869.7099395739</v>
      </c>
      <c r="W265" s="3"/>
    </row>
    <row r="266" spans="2:23" x14ac:dyDescent="0.45">
      <c r="B266" s="44"/>
    </row>
    <row r="267" spans="2:23" x14ac:dyDescent="0.45">
      <c r="B267" s="44" t="s">
        <v>81</v>
      </c>
      <c r="C267" s="3">
        <f t="shared" ref="C267:V267" si="75">SUM(C264:C265)*C$128</f>
        <v>15962473.276051028</v>
      </c>
      <c r="D267" s="3">
        <f t="shared" si="75"/>
        <v>32050042.90664909</v>
      </c>
      <c r="E267" s="3">
        <f t="shared" si="75"/>
        <v>50289839.923826858</v>
      </c>
      <c r="F267" s="3">
        <f t="shared" si="75"/>
        <v>63410853.123534471</v>
      </c>
      <c r="G267" s="3">
        <f t="shared" si="75"/>
        <v>108662589.22414021</v>
      </c>
      <c r="H267" s="3">
        <f t="shared" si="75"/>
        <v>137411067.40150079</v>
      </c>
      <c r="I267" s="3">
        <f t="shared" si="75"/>
        <v>177056538.00168508</v>
      </c>
      <c r="J267" s="3">
        <f t="shared" si="75"/>
        <v>198454538.43211573</v>
      </c>
      <c r="K267" s="3">
        <f t="shared" si="75"/>
        <v>219615745.1483531</v>
      </c>
      <c r="L267" s="3">
        <f t="shared" si="75"/>
        <v>239042925.79989246</v>
      </c>
      <c r="M267" s="3">
        <f t="shared" si="75"/>
        <v>236510741.29288229</v>
      </c>
      <c r="N267" s="3">
        <f t="shared" si="75"/>
        <v>232563057.83993736</v>
      </c>
      <c r="O267" s="3">
        <f t="shared" si="75"/>
        <v>226091074.1778563</v>
      </c>
      <c r="P267" s="3">
        <f t="shared" si="75"/>
        <v>216151969.29832852</v>
      </c>
      <c r="Q267" s="3">
        <f t="shared" si="75"/>
        <v>205126803.21029368</v>
      </c>
      <c r="R267" s="3">
        <f t="shared" si="75"/>
        <v>192412872.12157851</v>
      </c>
      <c r="S267" s="3">
        <f t="shared" si="75"/>
        <v>179749605.00494039</v>
      </c>
      <c r="T267" s="3">
        <f t="shared" si="75"/>
        <v>166952532.93425986</v>
      </c>
      <c r="U267" s="3">
        <f t="shared" si="75"/>
        <v>154315371.36975688</v>
      </c>
      <c r="V267" s="3">
        <f t="shared" si="75"/>
        <v>142928857.45917058</v>
      </c>
      <c r="W267" s="3"/>
    </row>
    <row r="268" spans="2:23" x14ac:dyDescent="0.45">
      <c r="B268" s="44" t="s">
        <v>199</v>
      </c>
      <c r="C268" s="93">
        <f>SUM(C267:V267)</f>
        <v>3194759497.9467535</v>
      </c>
    </row>
    <row r="269" spans="2:23" x14ac:dyDescent="0.45">
      <c r="B269" s="44"/>
    </row>
    <row r="270" spans="2:23" x14ac:dyDescent="0.45">
      <c r="B270" s="44"/>
    </row>
    <row r="271" spans="2:23" x14ac:dyDescent="0.45">
      <c r="B271" s="42" t="s">
        <v>159</v>
      </c>
      <c r="C271" s="47">
        <v>1</v>
      </c>
      <c r="D271" s="47">
        <v>2</v>
      </c>
      <c r="E271" s="47">
        <v>3</v>
      </c>
      <c r="F271" s="47">
        <v>4</v>
      </c>
      <c r="G271" s="47">
        <v>5</v>
      </c>
      <c r="H271" s="47">
        <v>6</v>
      </c>
      <c r="I271" s="47">
        <v>7</v>
      </c>
      <c r="J271" s="47">
        <v>8</v>
      </c>
      <c r="K271" s="47">
        <v>9</v>
      </c>
      <c r="L271" s="47">
        <v>10</v>
      </c>
      <c r="M271" s="47">
        <v>11</v>
      </c>
      <c r="N271" s="47">
        <v>12</v>
      </c>
      <c r="O271" s="47">
        <v>13</v>
      </c>
      <c r="P271" s="47">
        <v>14</v>
      </c>
      <c r="Q271" s="47">
        <v>15</v>
      </c>
      <c r="R271" s="47">
        <v>16</v>
      </c>
      <c r="S271" s="47">
        <v>17</v>
      </c>
      <c r="T271" s="47">
        <v>18</v>
      </c>
      <c r="U271" s="47">
        <v>19</v>
      </c>
      <c r="V271" s="47">
        <v>20</v>
      </c>
      <c r="W271" s="47"/>
    </row>
    <row r="272" spans="2:23" x14ac:dyDescent="0.45">
      <c r="B272" s="44"/>
      <c r="C272" s="17" t="s">
        <v>5</v>
      </c>
      <c r="D272" s="17" t="s">
        <v>6</v>
      </c>
      <c r="E272" s="58" t="s">
        <v>7</v>
      </c>
      <c r="F272" s="58" t="s">
        <v>8</v>
      </c>
      <c r="G272" s="17" t="s">
        <v>9</v>
      </c>
      <c r="H272" s="17" t="s">
        <v>10</v>
      </c>
      <c r="I272" s="17" t="s">
        <v>11</v>
      </c>
      <c r="J272" s="17" t="s">
        <v>12</v>
      </c>
      <c r="K272" s="17" t="s">
        <v>13</v>
      </c>
      <c r="L272" s="17" t="s">
        <v>14</v>
      </c>
      <c r="M272" s="17" t="s">
        <v>49</v>
      </c>
      <c r="N272" s="17" t="s">
        <v>50</v>
      </c>
      <c r="O272" s="17" t="s">
        <v>51</v>
      </c>
      <c r="P272" s="17" t="s">
        <v>52</v>
      </c>
      <c r="Q272" s="17" t="s">
        <v>53</v>
      </c>
      <c r="R272" s="17" t="s">
        <v>54</v>
      </c>
      <c r="S272" s="17" t="s">
        <v>55</v>
      </c>
      <c r="T272" s="17" t="s">
        <v>56</v>
      </c>
      <c r="U272" s="17" t="s">
        <v>57</v>
      </c>
      <c r="V272" s="17" t="s">
        <v>58</v>
      </c>
      <c r="W272" s="17"/>
    </row>
    <row r="273" spans="2:23" x14ac:dyDescent="0.45">
      <c r="B273" s="44" t="s">
        <v>187</v>
      </c>
      <c r="C273" s="113">
        <f>C$295+C$138</f>
        <v>21.127391755539485</v>
      </c>
      <c r="D273" s="113">
        <f t="shared" ref="D273:V273" si="76">D$295+D$138</f>
        <v>20.506426444300288</v>
      </c>
      <c r="E273" s="113">
        <f t="shared" si="76"/>
        <v>20.12725055809786</v>
      </c>
      <c r="F273" s="113">
        <f t="shared" si="76"/>
        <v>20.161288952457486</v>
      </c>
      <c r="G273" s="113">
        <f t="shared" si="76"/>
        <v>20.022305267049127</v>
      </c>
      <c r="H273" s="67">
        <f t="shared" si="76"/>
        <v>20.190197575333745</v>
      </c>
      <c r="I273" s="67">
        <f t="shared" si="76"/>
        <v>19.483693798431091</v>
      </c>
      <c r="J273" s="67">
        <f t="shared" si="76"/>
        <v>18.996435632895555</v>
      </c>
      <c r="K273" s="67">
        <f t="shared" si="76"/>
        <v>18.235858057666778</v>
      </c>
      <c r="L273" s="67">
        <f t="shared" si="76"/>
        <v>18.538207617900436</v>
      </c>
      <c r="M273" s="67">
        <f t="shared" si="76"/>
        <v>18.538207617900436</v>
      </c>
      <c r="N273" s="67">
        <f t="shared" si="76"/>
        <v>18.538207617900436</v>
      </c>
      <c r="O273" s="67">
        <f t="shared" si="76"/>
        <v>18.538207617900436</v>
      </c>
      <c r="P273" s="67">
        <f t="shared" si="76"/>
        <v>18.538207617900436</v>
      </c>
      <c r="Q273" s="67">
        <f t="shared" si="76"/>
        <v>18.538207617900436</v>
      </c>
      <c r="R273" s="67">
        <f t="shared" si="76"/>
        <v>18.538207617900436</v>
      </c>
      <c r="S273" s="67">
        <f t="shared" si="76"/>
        <v>18.538207617900436</v>
      </c>
      <c r="T273" s="67">
        <f t="shared" si="76"/>
        <v>18.538207617900436</v>
      </c>
      <c r="U273" s="67">
        <f t="shared" si="76"/>
        <v>18.538207617900436</v>
      </c>
      <c r="V273" s="67">
        <f t="shared" si="76"/>
        <v>18.538207617900436</v>
      </c>
      <c r="W273" s="67"/>
    </row>
    <row r="274" spans="2:23" x14ac:dyDescent="0.45">
      <c r="B274" s="44" t="s">
        <v>188</v>
      </c>
      <c r="C274" s="125">
        <f t="shared" ref="C274:V274" si="77">C86</f>
        <v>63962</v>
      </c>
      <c r="D274" s="125">
        <f t="shared" si="77"/>
        <v>152619</v>
      </c>
      <c r="E274" s="125">
        <f t="shared" si="77"/>
        <v>264050</v>
      </c>
      <c r="F274" s="125">
        <f t="shared" si="77"/>
        <v>368344</v>
      </c>
      <c r="G274" s="125">
        <f t="shared" si="77"/>
        <v>626185</v>
      </c>
      <c r="H274" s="3">
        <f t="shared" si="77"/>
        <v>869883</v>
      </c>
      <c r="I274" s="3">
        <f t="shared" si="77"/>
        <v>1182884</v>
      </c>
      <c r="J274" s="3">
        <f t="shared" si="77"/>
        <v>1446082</v>
      </c>
      <c r="K274" s="3">
        <f t="shared" si="77"/>
        <v>1718771</v>
      </c>
      <c r="L274" s="3">
        <f t="shared" si="77"/>
        <v>1974397</v>
      </c>
      <c r="M274" s="3">
        <f t="shared" si="77"/>
        <v>2148689</v>
      </c>
      <c r="N274" s="3">
        <f t="shared" si="77"/>
        <v>2296346</v>
      </c>
      <c r="O274" s="3">
        <f t="shared" si="77"/>
        <v>2422196</v>
      </c>
      <c r="P274" s="3">
        <f t="shared" si="77"/>
        <v>2515181</v>
      </c>
      <c r="Q274" s="3">
        <f t="shared" si="77"/>
        <v>2586733</v>
      </c>
      <c r="R274" s="3">
        <f t="shared" si="77"/>
        <v>2631095</v>
      </c>
      <c r="S274" s="3">
        <f t="shared" si="77"/>
        <v>2660153</v>
      </c>
      <c r="T274" s="3">
        <f t="shared" si="77"/>
        <v>2673855</v>
      </c>
      <c r="U274" s="3">
        <f t="shared" si="77"/>
        <v>2673855</v>
      </c>
      <c r="V274" s="3">
        <f t="shared" si="77"/>
        <v>2673855</v>
      </c>
      <c r="W274" s="3"/>
    </row>
    <row r="275" spans="2:23" x14ac:dyDescent="0.45">
      <c r="B275" s="44" t="s">
        <v>189</v>
      </c>
      <c r="C275" s="125">
        <f t="shared" ref="C275:V275" si="78">C273*C274*months_in_year</f>
        <v>16216202.777613798</v>
      </c>
      <c r="D275" s="125">
        <f t="shared" si="78"/>
        <v>37556043.570031986</v>
      </c>
      <c r="E275" s="125">
        <f t="shared" si="78"/>
        <v>63775206.118388876</v>
      </c>
      <c r="F275" s="125">
        <f t="shared" si="78"/>
        <v>89115477.814848006</v>
      </c>
      <c r="G275" s="125">
        <f t="shared" si="78"/>
        <v>150452006.68376589</v>
      </c>
      <c r="H275" s="3">
        <f t="shared" si="78"/>
        <v>210757315.64908853</v>
      </c>
      <c r="I275" s="3">
        <f t="shared" si="78"/>
        <v>276563395.86076033</v>
      </c>
      <c r="J275" s="3">
        <f t="shared" si="78"/>
        <v>329644843.59466642</v>
      </c>
      <c r="K275" s="3">
        <f t="shared" si="78"/>
        <v>376119167.87560785</v>
      </c>
      <c r="L275" s="3">
        <f t="shared" si="78"/>
        <v>439221378.07391721</v>
      </c>
      <c r="M275" s="3">
        <f t="shared" si="78"/>
        <v>477994113.45958638</v>
      </c>
      <c r="N275" s="3">
        <f t="shared" si="78"/>
        <v>510841666.92642236</v>
      </c>
      <c r="O275" s="3">
        <f t="shared" si="78"/>
        <v>538838068.07097554</v>
      </c>
      <c r="P275" s="3">
        <f t="shared" si="78"/>
        <v>559523370.8951813</v>
      </c>
      <c r="Q275" s="3">
        <f t="shared" si="78"/>
        <v>575440720.87289333</v>
      </c>
      <c r="R275" s="3">
        <f t="shared" si="78"/>
        <v>585309424.46903706</v>
      </c>
      <c r="S275" s="3">
        <f t="shared" si="78"/>
        <v>591773623.31256843</v>
      </c>
      <c r="T275" s="3">
        <f t="shared" si="78"/>
        <v>594821749.56193411</v>
      </c>
      <c r="U275" s="3">
        <f t="shared" si="78"/>
        <v>594821749.56193411</v>
      </c>
      <c r="V275" s="3">
        <f t="shared" si="78"/>
        <v>594821749.56193411</v>
      </c>
      <c r="W275" s="3"/>
    </row>
    <row r="276" spans="2:23" x14ac:dyDescent="0.45">
      <c r="B276" s="44" t="s">
        <v>190</v>
      </c>
      <c r="C276" s="125">
        <f>C$143*C$93</f>
        <v>5372718</v>
      </c>
      <c r="D276" s="125">
        <f t="shared" ref="D276:V276" si="79">D$143*D$93</f>
        <v>7728474</v>
      </c>
      <c r="E276" s="125">
        <f t="shared" si="79"/>
        <v>9992580</v>
      </c>
      <c r="F276" s="125">
        <f t="shared" si="79"/>
        <v>10416787.039999999</v>
      </c>
      <c r="G276" s="125">
        <f t="shared" si="79"/>
        <v>24636275.900000002</v>
      </c>
      <c r="H276" s="125">
        <f t="shared" si="79"/>
        <v>24475801.550000001</v>
      </c>
      <c r="I276" s="125">
        <f t="shared" si="79"/>
        <v>32188276.724439088</v>
      </c>
      <c r="J276" s="125">
        <f t="shared" si="79"/>
        <v>29469776.471871592</v>
      </c>
      <c r="K276" s="125">
        <f t="shared" si="79"/>
        <v>31831381.635898095</v>
      </c>
      <c r="L276" s="125">
        <f t="shared" si="79"/>
        <v>31712363.644291323</v>
      </c>
      <c r="M276" s="125">
        <f t="shared" si="79"/>
        <v>24699670.588664927</v>
      </c>
      <c r="N276" s="125">
        <f t="shared" si="79"/>
        <v>22486639.70638654</v>
      </c>
      <c r="O276" s="125">
        <f t="shared" si="79"/>
        <v>20588709.846527673</v>
      </c>
      <c r="P276" s="125">
        <f t="shared" si="79"/>
        <v>17537880.951698564</v>
      </c>
      <c r="Q276" s="125">
        <f t="shared" si="79"/>
        <v>15432355.124128014</v>
      </c>
      <c r="R276" s="125">
        <f t="shared" si="79"/>
        <v>12707205.966100944</v>
      </c>
      <c r="S276" s="125">
        <f t="shared" si="79"/>
        <v>11007830.437729385</v>
      </c>
      <c r="T276" s="125">
        <f t="shared" si="79"/>
        <v>9263065.8955114558</v>
      </c>
      <c r="U276" s="125">
        <f t="shared" si="79"/>
        <v>7637741.3678175407</v>
      </c>
      <c r="V276" s="125">
        <f t="shared" si="79"/>
        <v>7263869.7099395739</v>
      </c>
      <c r="W276" s="3"/>
    </row>
    <row r="277" spans="2:23" x14ac:dyDescent="0.45">
      <c r="B277" s="44"/>
    </row>
    <row r="278" spans="2:23" x14ac:dyDescent="0.45">
      <c r="B278" s="44" t="s">
        <v>200</v>
      </c>
      <c r="C278" s="3">
        <f t="shared" ref="C278:V278" si="80">SUM(C275:C276)*C$128</f>
        <v>21588920.777613796</v>
      </c>
      <c r="D278" s="3">
        <f t="shared" si="80"/>
        <v>42007901.270901658</v>
      </c>
      <c r="E278" s="3">
        <f t="shared" si="80"/>
        <v>63478875.983482152</v>
      </c>
      <c r="F278" s="3">
        <f t="shared" si="80"/>
        <v>79452506.770885453</v>
      </c>
      <c r="G278" s="3">
        <f t="shared" si="80"/>
        <v>129652841.53073308</v>
      </c>
      <c r="H278" s="3">
        <f t="shared" si="80"/>
        <v>160838954.08038947</v>
      </c>
      <c r="I278" s="3">
        <f t="shared" si="80"/>
        <v>195650359.78015807</v>
      </c>
      <c r="J278" s="3">
        <f t="shared" si="80"/>
        <v>210903104.90640721</v>
      </c>
      <c r="K278" s="3">
        <f t="shared" si="80"/>
        <v>222042426.6553278</v>
      </c>
      <c r="L278" s="3">
        <f t="shared" si="80"/>
        <v>237556438.70094913</v>
      </c>
      <c r="M278" s="3">
        <f t="shared" si="80"/>
        <v>235011474.99789941</v>
      </c>
      <c r="N278" s="3">
        <f t="shared" si="80"/>
        <v>231078076.15212145</v>
      </c>
      <c r="O278" s="3">
        <f t="shared" si="80"/>
        <v>224639391.78146344</v>
      </c>
      <c r="P278" s="3">
        <f t="shared" si="80"/>
        <v>214754925.16207075</v>
      </c>
      <c r="Q278" s="67">
        <f t="shared" si="80"/>
        <v>203795211.62497354</v>
      </c>
      <c r="R278" s="3">
        <f t="shared" si="80"/>
        <v>191157609.71326163</v>
      </c>
      <c r="S278" s="3">
        <f t="shared" si="80"/>
        <v>178573399.61524266</v>
      </c>
      <c r="T278" s="3">
        <f t="shared" si="80"/>
        <v>165856829.66685656</v>
      </c>
      <c r="U278" s="3">
        <f t="shared" si="80"/>
        <v>153299891.04778904</v>
      </c>
      <c r="V278" s="3">
        <f t="shared" si="80"/>
        <v>141987726.48422357</v>
      </c>
      <c r="W278" s="3"/>
    </row>
    <row r="279" spans="2:23" x14ac:dyDescent="0.45">
      <c r="B279" s="44" t="s">
        <v>201</v>
      </c>
      <c r="C279" s="93">
        <f>SUM(C278:V278)</f>
        <v>3303326866.7027493</v>
      </c>
    </row>
    <row r="280" spans="2:23" x14ac:dyDescent="0.45">
      <c r="B280" s="44"/>
    </row>
    <row r="282" spans="2:23" x14ac:dyDescent="0.45">
      <c r="B282" s="44" t="s">
        <v>193</v>
      </c>
      <c r="C282" s="113">
        <f>C$311+C$138</f>
        <v>21.127391755539485</v>
      </c>
      <c r="D282" s="113">
        <f t="shared" ref="D282:V282" si="81">D$311+D$138</f>
        <v>20.506426444300288</v>
      </c>
      <c r="E282" s="113">
        <f t="shared" si="81"/>
        <v>20.12725055809786</v>
      </c>
      <c r="F282" s="113">
        <f t="shared" si="81"/>
        <v>20.161288952457486</v>
      </c>
      <c r="G282" s="113">
        <f t="shared" si="81"/>
        <v>20.022305267049127</v>
      </c>
      <c r="H282" s="67">
        <f t="shared" si="81"/>
        <v>20.512802501418335</v>
      </c>
      <c r="I282" s="67">
        <f t="shared" si="81"/>
        <v>20.133811334810503</v>
      </c>
      <c r="J282" s="67">
        <f t="shared" si="81"/>
        <v>19.999234783257659</v>
      </c>
      <c r="K282" s="67">
        <f t="shared" si="81"/>
        <v>19.592057098038971</v>
      </c>
      <c r="L282" s="67">
        <f t="shared" si="81"/>
        <v>20.266393527692628</v>
      </c>
      <c r="M282" s="67">
        <f t="shared" si="81"/>
        <v>20.266393527692628</v>
      </c>
      <c r="N282" s="67">
        <f t="shared" si="81"/>
        <v>20.266393527692628</v>
      </c>
      <c r="O282" s="67">
        <f t="shared" si="81"/>
        <v>20.266393527692628</v>
      </c>
      <c r="P282" s="67">
        <f t="shared" si="81"/>
        <v>20.266393527692628</v>
      </c>
      <c r="Q282" s="67">
        <f t="shared" si="81"/>
        <v>20.266393527692628</v>
      </c>
      <c r="R282" s="67">
        <f t="shared" si="81"/>
        <v>20.266393527692628</v>
      </c>
      <c r="S282" s="67">
        <f t="shared" si="81"/>
        <v>20.266393527692628</v>
      </c>
      <c r="T282" s="67">
        <f t="shared" si="81"/>
        <v>20.266393527692628</v>
      </c>
      <c r="U282" s="67">
        <f t="shared" si="81"/>
        <v>20.266393527692628</v>
      </c>
      <c r="V282" s="67">
        <f t="shared" si="81"/>
        <v>20.266393527692628</v>
      </c>
      <c r="W282" s="67"/>
    </row>
    <row r="283" spans="2:23" x14ac:dyDescent="0.45">
      <c r="B283" s="44" t="s">
        <v>188</v>
      </c>
      <c r="C283" s="125">
        <f t="shared" ref="C283:V283" si="82">C86</f>
        <v>63962</v>
      </c>
      <c r="D283" s="125">
        <f t="shared" si="82"/>
        <v>152619</v>
      </c>
      <c r="E283" s="125">
        <f t="shared" si="82"/>
        <v>264050</v>
      </c>
      <c r="F283" s="125">
        <f t="shared" si="82"/>
        <v>368344</v>
      </c>
      <c r="G283" s="125">
        <f t="shared" si="82"/>
        <v>626185</v>
      </c>
      <c r="H283" s="3">
        <f t="shared" si="82"/>
        <v>869883</v>
      </c>
      <c r="I283" s="3">
        <f t="shared" si="82"/>
        <v>1182884</v>
      </c>
      <c r="J283" s="3">
        <f t="shared" si="82"/>
        <v>1446082</v>
      </c>
      <c r="K283" s="3">
        <f t="shared" si="82"/>
        <v>1718771</v>
      </c>
      <c r="L283" s="3">
        <f t="shared" si="82"/>
        <v>1974397</v>
      </c>
      <c r="M283" s="3">
        <f t="shared" si="82"/>
        <v>2148689</v>
      </c>
      <c r="N283" s="3">
        <f t="shared" si="82"/>
        <v>2296346</v>
      </c>
      <c r="O283" s="3">
        <f t="shared" si="82"/>
        <v>2422196</v>
      </c>
      <c r="P283" s="3">
        <f t="shared" si="82"/>
        <v>2515181</v>
      </c>
      <c r="Q283" s="3">
        <f t="shared" si="82"/>
        <v>2586733</v>
      </c>
      <c r="R283" s="3">
        <f t="shared" si="82"/>
        <v>2631095</v>
      </c>
      <c r="S283" s="3">
        <f t="shared" si="82"/>
        <v>2660153</v>
      </c>
      <c r="T283" s="3">
        <f t="shared" si="82"/>
        <v>2673855</v>
      </c>
      <c r="U283" s="3">
        <f t="shared" si="82"/>
        <v>2673855</v>
      </c>
      <c r="V283" s="3">
        <f t="shared" si="82"/>
        <v>2673855</v>
      </c>
      <c r="W283" s="3"/>
    </row>
    <row r="284" spans="2:23" x14ac:dyDescent="0.45">
      <c r="B284" s="44" t="s">
        <v>194</v>
      </c>
      <c r="C284" s="125">
        <f t="shared" ref="C284:V284" si="83">C282*C283*months_in_year</f>
        <v>16216202.777613798</v>
      </c>
      <c r="D284" s="125">
        <f t="shared" si="83"/>
        <v>37556043.570031986</v>
      </c>
      <c r="E284" s="125">
        <f t="shared" si="83"/>
        <v>63775206.118388876</v>
      </c>
      <c r="F284" s="125">
        <f t="shared" si="83"/>
        <v>89115477.814848006</v>
      </c>
      <c r="G284" s="125">
        <f t="shared" si="83"/>
        <v>150452006.68376589</v>
      </c>
      <c r="H284" s="3">
        <f t="shared" si="83"/>
        <v>214124858.14009541</v>
      </c>
      <c r="I284" s="3">
        <f t="shared" si="83"/>
        <v>285791559.44359183</v>
      </c>
      <c r="J284" s="3">
        <f t="shared" si="83"/>
        <v>347046401.20611358</v>
      </c>
      <c r="K284" s="3">
        <f t="shared" si="83"/>
        <v>404091114.84544247</v>
      </c>
      <c r="L284" s="3">
        <f t="shared" si="83"/>
        <v>480166878.98274887</v>
      </c>
      <c r="M284" s="3">
        <f t="shared" si="83"/>
        <v>522554122.11149216</v>
      </c>
      <c r="N284" s="3">
        <f t="shared" si="83"/>
        <v>558463820.5409143</v>
      </c>
      <c r="O284" s="3">
        <f t="shared" si="83"/>
        <v>589070128.04643571</v>
      </c>
      <c r="P284" s="3">
        <f t="shared" si="83"/>
        <v>611683775.27250576</v>
      </c>
      <c r="Q284" s="3">
        <f t="shared" si="83"/>
        <v>629084987.14882731</v>
      </c>
      <c r="R284" s="3">
        <f t="shared" si="83"/>
        <v>639873680.14493322</v>
      </c>
      <c r="S284" s="3">
        <f t="shared" si="83"/>
        <v>646940490.50246549</v>
      </c>
      <c r="T284" s="3">
        <f t="shared" si="83"/>
        <v>650272771.99186289</v>
      </c>
      <c r="U284" s="3">
        <f t="shared" si="83"/>
        <v>650272771.99186289</v>
      </c>
      <c r="V284" s="3">
        <f t="shared" si="83"/>
        <v>650272771.99186289</v>
      </c>
      <c r="W284" s="3"/>
    </row>
    <row r="285" spans="2:23" x14ac:dyDescent="0.45">
      <c r="B285" s="44" t="s">
        <v>190</v>
      </c>
      <c r="C285" s="125">
        <f>C$143*C$93</f>
        <v>5372718</v>
      </c>
      <c r="D285" s="125">
        <f t="shared" ref="D285:V285" si="84">D$143*D$93</f>
        <v>7728474</v>
      </c>
      <c r="E285" s="125">
        <f t="shared" si="84"/>
        <v>9992580</v>
      </c>
      <c r="F285" s="125">
        <f t="shared" si="84"/>
        <v>10416787.039999999</v>
      </c>
      <c r="G285" s="125">
        <f t="shared" si="84"/>
        <v>24636275.900000002</v>
      </c>
      <c r="H285" s="125">
        <f t="shared" si="84"/>
        <v>24475801.550000001</v>
      </c>
      <c r="I285" s="125">
        <f t="shared" si="84"/>
        <v>32188276.724439088</v>
      </c>
      <c r="J285" s="125">
        <f t="shared" si="84"/>
        <v>29469776.471871592</v>
      </c>
      <c r="K285" s="125">
        <f t="shared" si="84"/>
        <v>31831381.635898095</v>
      </c>
      <c r="L285" s="125">
        <f t="shared" si="84"/>
        <v>31712363.644291323</v>
      </c>
      <c r="M285" s="125">
        <f t="shared" si="84"/>
        <v>24699670.588664927</v>
      </c>
      <c r="N285" s="125">
        <f t="shared" si="84"/>
        <v>22486639.70638654</v>
      </c>
      <c r="O285" s="125">
        <f t="shared" si="84"/>
        <v>20588709.846527673</v>
      </c>
      <c r="P285" s="125">
        <f t="shared" si="84"/>
        <v>17537880.951698564</v>
      </c>
      <c r="Q285" s="125">
        <f t="shared" si="84"/>
        <v>15432355.124128014</v>
      </c>
      <c r="R285" s="125">
        <f t="shared" si="84"/>
        <v>12707205.966100944</v>
      </c>
      <c r="S285" s="125">
        <f t="shared" si="84"/>
        <v>11007830.437729385</v>
      </c>
      <c r="T285" s="125">
        <f t="shared" si="84"/>
        <v>9263065.8955114558</v>
      </c>
      <c r="U285" s="125">
        <f t="shared" si="84"/>
        <v>7637741.3678175407</v>
      </c>
      <c r="V285" s="125">
        <f t="shared" si="84"/>
        <v>7263869.7099395739</v>
      </c>
      <c r="W285" s="3"/>
    </row>
    <row r="286" spans="2:23" x14ac:dyDescent="0.45">
      <c r="B286" s="44"/>
    </row>
    <row r="287" spans="2:23" x14ac:dyDescent="0.45">
      <c r="B287" s="44" t="s">
        <v>202</v>
      </c>
      <c r="C287" s="3">
        <f t="shared" ref="C287:V287" si="85">SUM(C284:C285)*C$128</f>
        <v>21588920.777613796</v>
      </c>
      <c r="D287" s="3">
        <f t="shared" si="85"/>
        <v>42007901.270901658</v>
      </c>
      <c r="E287" s="3">
        <f t="shared" si="85"/>
        <v>63478875.983482152</v>
      </c>
      <c r="F287" s="3">
        <f t="shared" si="85"/>
        <v>79452506.770885453</v>
      </c>
      <c r="G287" s="3">
        <f t="shared" si="85"/>
        <v>129652841.53073308</v>
      </c>
      <c r="H287" s="3">
        <f t="shared" si="85"/>
        <v>163141487.06776816</v>
      </c>
      <c r="I287" s="3">
        <f t="shared" si="85"/>
        <v>201498080.40940556</v>
      </c>
      <c r="J287" s="3">
        <f t="shared" si="85"/>
        <v>221122801.69787154</v>
      </c>
      <c r="K287" s="3">
        <f t="shared" si="85"/>
        <v>237267210.61724043</v>
      </c>
      <c r="L287" s="3">
        <f t="shared" si="85"/>
        <v>258210867.37119034</v>
      </c>
      <c r="M287" s="3">
        <f t="shared" si="85"/>
        <v>255843467.93576783</v>
      </c>
      <c r="N287" s="3">
        <f t="shared" si="85"/>
        <v>251711587.44825828</v>
      </c>
      <c r="O287" s="3">
        <f t="shared" si="85"/>
        <v>244810216.35804707</v>
      </c>
      <c r="P287" s="3">
        <f t="shared" si="85"/>
        <v>234166562.49281287</v>
      </c>
      <c r="Q287" s="3">
        <f t="shared" si="85"/>
        <v>222297399.3913112</v>
      </c>
      <c r="R287" s="3">
        <f t="shared" si="85"/>
        <v>208599219.46113449</v>
      </c>
      <c r="S287" s="3">
        <f t="shared" si="85"/>
        <v>194916528.55348539</v>
      </c>
      <c r="T287" s="3">
        <f t="shared" si="85"/>
        <v>181081398.380853</v>
      </c>
      <c r="U287" s="3">
        <f t="shared" si="85"/>
        <v>167409778.64185432</v>
      </c>
      <c r="V287" s="3">
        <f t="shared" si="85"/>
        <v>155064545.38511816</v>
      </c>
      <c r="W287" s="3"/>
    </row>
    <row r="288" spans="2:23" x14ac:dyDescent="0.45">
      <c r="B288" s="44" t="s">
        <v>203</v>
      </c>
      <c r="C288" s="93">
        <f>SUM(C287:V287)</f>
        <v>3533322197.5457349</v>
      </c>
    </row>
    <row r="289" spans="1:23" x14ac:dyDescent="0.45">
      <c r="B289" s="44"/>
    </row>
    <row r="290" spans="1:23" x14ac:dyDescent="0.45">
      <c r="B290" s="44"/>
    </row>
    <row r="291" spans="1:23" ht="15.75" x14ac:dyDescent="0.45">
      <c r="A291" s="62" t="s">
        <v>204</v>
      </c>
      <c r="B291" s="44"/>
    </row>
    <row r="292" spans="1:23" x14ac:dyDescent="0.45">
      <c r="A292" s="1" t="s">
        <v>205</v>
      </c>
    </row>
    <row r="293" spans="1:23" x14ac:dyDescent="0.45">
      <c r="C293" s="47">
        <v>1</v>
      </c>
      <c r="D293" s="47">
        <v>2</v>
      </c>
      <c r="E293" s="47">
        <v>3</v>
      </c>
      <c r="F293" s="47">
        <v>4</v>
      </c>
      <c r="G293" s="47">
        <v>5</v>
      </c>
      <c r="H293" s="47">
        <v>6</v>
      </c>
      <c r="I293" s="47">
        <v>7</v>
      </c>
      <c r="J293" s="47">
        <v>8</v>
      </c>
      <c r="K293" s="47">
        <v>9</v>
      </c>
      <c r="L293" s="47">
        <v>10</v>
      </c>
      <c r="M293" s="47">
        <v>11</v>
      </c>
      <c r="N293" s="47">
        <v>12</v>
      </c>
      <c r="O293" s="47">
        <v>13</v>
      </c>
      <c r="P293" s="47">
        <v>14</v>
      </c>
      <c r="Q293" s="47">
        <v>15</v>
      </c>
      <c r="R293" s="47">
        <v>16</v>
      </c>
      <c r="S293" s="47">
        <v>17</v>
      </c>
      <c r="T293" s="47">
        <v>18</v>
      </c>
      <c r="U293" s="47">
        <v>19</v>
      </c>
      <c r="V293" s="47">
        <v>20</v>
      </c>
      <c r="W293" s="47"/>
    </row>
    <row r="294" spans="1:23" x14ac:dyDescent="0.45">
      <c r="C294" s="17" t="s">
        <v>5</v>
      </c>
      <c r="D294" s="17" t="s">
        <v>6</v>
      </c>
      <c r="E294" s="58" t="s">
        <v>7</v>
      </c>
      <c r="F294" s="58" t="s">
        <v>8</v>
      </c>
      <c r="G294" s="17" t="s">
        <v>9</v>
      </c>
      <c r="H294" s="17" t="s">
        <v>10</v>
      </c>
      <c r="I294" s="17" t="s">
        <v>11</v>
      </c>
      <c r="J294" s="17" t="s">
        <v>12</v>
      </c>
      <c r="K294" s="17" t="s">
        <v>13</v>
      </c>
      <c r="L294" s="17" t="s">
        <v>14</v>
      </c>
      <c r="M294" s="17" t="s">
        <v>49</v>
      </c>
      <c r="N294" s="17" t="s">
        <v>50</v>
      </c>
      <c r="O294" s="17" t="s">
        <v>51</v>
      </c>
      <c r="P294" s="17" t="s">
        <v>52</v>
      </c>
      <c r="Q294" s="17" t="s">
        <v>53</v>
      </c>
      <c r="R294" s="17" t="s">
        <v>54</v>
      </c>
      <c r="S294" s="17" t="s">
        <v>55</v>
      </c>
      <c r="T294" s="17" t="s">
        <v>56</v>
      </c>
      <c r="U294" s="17" t="s">
        <v>57</v>
      </c>
      <c r="V294" s="17" t="s">
        <v>58</v>
      </c>
      <c r="W294" s="17"/>
    </row>
    <row r="295" spans="1:23" x14ac:dyDescent="0.45">
      <c r="B295" s="44" t="s">
        <v>206</v>
      </c>
      <c r="C295" s="113">
        <f>'Copper Weighted Price'!Y6/months_in_year</f>
        <v>10.131707791696163</v>
      </c>
      <c r="D295" s="113">
        <f>'Copper Weighted Price'!Z6/months_in_year</f>
        <v>11.714458114124932</v>
      </c>
      <c r="E295" s="113">
        <f>'Copper Weighted Price'!AA6/months_in_year</f>
        <v>12.8716324079613</v>
      </c>
      <c r="F295" s="113">
        <f>'Copper Weighted Price'!AB6/months_in_year</f>
        <v>13.341642961880668</v>
      </c>
      <c r="G295" s="113">
        <f>'Copper Weighted Price'!AC6/months_in_year</f>
        <v>14.363821748467425</v>
      </c>
      <c r="H295" s="113">
        <f>'Copper Weighted Price'!AD6/months_in_year</f>
        <v>14.782613723074819</v>
      </c>
      <c r="I295" s="113">
        <f>'Copper Weighted Price'!AE6/months_in_year</f>
        <v>15.407778665974176</v>
      </c>
      <c r="J295" s="113">
        <f>'Copper Weighted Price'!AF6/months_in_year</f>
        <v>15.659979237916643</v>
      </c>
      <c r="K295" s="113">
        <f>'Copper Weighted Price'!AG6/months_in_year</f>
        <v>15.877312223129307</v>
      </c>
      <c r="L295" s="113">
        <f>'Copper Weighted Price'!AH6/months_in_year</f>
        <v>16.132493540393821</v>
      </c>
      <c r="M295" s="67">
        <f t="shared" ref="M295:V297" si="86">L295</f>
        <v>16.132493540393821</v>
      </c>
      <c r="N295" s="67">
        <f t="shared" si="86"/>
        <v>16.132493540393821</v>
      </c>
      <c r="O295" s="67">
        <f t="shared" si="86"/>
        <v>16.132493540393821</v>
      </c>
      <c r="P295" s="67">
        <f t="shared" si="86"/>
        <v>16.132493540393821</v>
      </c>
      <c r="Q295" s="67">
        <f t="shared" si="86"/>
        <v>16.132493540393821</v>
      </c>
      <c r="R295" s="67">
        <f t="shared" si="86"/>
        <v>16.132493540393821</v>
      </c>
      <c r="S295" s="67">
        <f t="shared" si="86"/>
        <v>16.132493540393821</v>
      </c>
      <c r="T295" s="67">
        <f t="shared" si="86"/>
        <v>16.132493540393821</v>
      </c>
      <c r="U295" s="67">
        <f t="shared" si="86"/>
        <v>16.132493540393821</v>
      </c>
      <c r="V295" s="67">
        <f t="shared" si="86"/>
        <v>16.132493540393821</v>
      </c>
      <c r="W295" s="67"/>
    </row>
    <row r="296" spans="1:23" x14ac:dyDescent="0.45">
      <c r="B296" s="44" t="s">
        <v>207</v>
      </c>
      <c r="C296" s="28">
        <f>'Copper Weighted Price'!Y8/months_in_year</f>
        <v>3.0927494689553829</v>
      </c>
      <c r="D296" s="28">
        <f>'Copper Weighted Price'!Z8/months_in_year</f>
        <v>3.9629865486093419</v>
      </c>
      <c r="E296" s="28">
        <f>'Copper Weighted Price'!AA8/months_in_year</f>
        <v>3.487836637441621</v>
      </c>
      <c r="F296" s="28">
        <f>'Copper Weighted Price'!AB8/months_in_year</f>
        <v>2.9749416041734462</v>
      </c>
      <c r="G296" s="28">
        <f>'Copper Weighted Price'!AC8/months_in_year</f>
        <v>3.6159590258798811</v>
      </c>
      <c r="H296" s="28">
        <f>'Copper Weighted Price'!AD8/months_in_year</f>
        <v>3.6159590258798811</v>
      </c>
      <c r="I296" s="28">
        <f>'Copper Weighted Price'!AE8/months_in_year</f>
        <v>3.6159590258798811</v>
      </c>
      <c r="J296" s="28">
        <f>'Copper Weighted Price'!AF8/months_in_year</f>
        <v>3.6159590258798811</v>
      </c>
      <c r="K296" s="28">
        <f>'Copper Weighted Price'!AG8/months_in_year</f>
        <v>3.6159590258798811</v>
      </c>
      <c r="L296" s="28">
        <f>'Copper Weighted Price'!AH8/months_in_year</f>
        <v>3.6159590258798811</v>
      </c>
      <c r="M296" s="28">
        <f>L296</f>
        <v>3.6159590258798811</v>
      </c>
      <c r="N296" s="28">
        <f t="shared" si="86"/>
        <v>3.6159590258798811</v>
      </c>
      <c r="O296" s="28">
        <f t="shared" si="86"/>
        <v>3.6159590258798811</v>
      </c>
      <c r="P296" s="28">
        <f t="shared" si="86"/>
        <v>3.6159590258798811</v>
      </c>
      <c r="Q296" s="28">
        <f t="shared" si="86"/>
        <v>3.6159590258798811</v>
      </c>
      <c r="R296" s="28">
        <f t="shared" si="86"/>
        <v>3.6159590258798811</v>
      </c>
      <c r="S296" s="28">
        <f t="shared" si="86"/>
        <v>3.6159590258798811</v>
      </c>
      <c r="T296" s="28">
        <f t="shared" si="86"/>
        <v>3.6159590258798811</v>
      </c>
      <c r="U296" s="28">
        <f t="shared" si="86"/>
        <v>3.6159590258798811</v>
      </c>
      <c r="V296" s="28">
        <f t="shared" si="86"/>
        <v>3.6159590258798811</v>
      </c>
      <c r="W296" s="28"/>
    </row>
    <row r="297" spans="1:23" x14ac:dyDescent="0.45">
      <c r="B297" s="44" t="s">
        <v>208</v>
      </c>
      <c r="C297" s="28">
        <f>'Copper Weighted Price'!Y232/months_in_year</f>
        <v>0.53574742652483143</v>
      </c>
      <c r="D297" s="28">
        <f>'Copper Weighted Price'!Z232/months_in_year</f>
        <v>0.71820635872833372</v>
      </c>
      <c r="E297" s="28">
        <f>'Copper Weighted Price'!AA232/months_in_year</f>
        <v>0.75119267071068319</v>
      </c>
      <c r="F297" s="28">
        <f>'Copper Weighted Price'!AB232/months_in_year</f>
        <v>0.65744718524678059</v>
      </c>
      <c r="G297" s="28">
        <f>'Copper Weighted Price'!AC232/months_in_year</f>
        <v>0.63702772369880711</v>
      </c>
      <c r="H297" s="28">
        <f>'Copper Weighted Price'!AD232/months_in_year</f>
        <v>0.63702772369880711</v>
      </c>
      <c r="I297" s="28">
        <f>'Copper Weighted Price'!AE232/months_in_year</f>
        <v>0.63702772369880711</v>
      </c>
      <c r="J297" s="28">
        <f>'Copper Weighted Price'!AF232/months_in_year</f>
        <v>0.63702772369880711</v>
      </c>
      <c r="K297" s="28">
        <f>'Copper Weighted Price'!AG232/months_in_year</f>
        <v>0.63702772369880711</v>
      </c>
      <c r="L297" s="28">
        <f>'Copper Weighted Price'!AH232/months_in_year</f>
        <v>0.63702772369880711</v>
      </c>
      <c r="M297" s="28">
        <f>L297</f>
        <v>0.63702772369880711</v>
      </c>
      <c r="N297" s="28">
        <f t="shared" si="86"/>
        <v>0.63702772369880711</v>
      </c>
      <c r="O297" s="28">
        <f t="shared" si="86"/>
        <v>0.63702772369880711</v>
      </c>
      <c r="P297" s="28">
        <f t="shared" si="86"/>
        <v>0.63702772369880711</v>
      </c>
      <c r="Q297" s="28">
        <f t="shared" si="86"/>
        <v>0.63702772369880711</v>
      </c>
      <c r="R297" s="28">
        <f t="shared" si="86"/>
        <v>0.63702772369880711</v>
      </c>
      <c r="S297" s="28">
        <f t="shared" si="86"/>
        <v>0.63702772369880711</v>
      </c>
      <c r="T297" s="28">
        <f t="shared" si="86"/>
        <v>0.63702772369880711</v>
      </c>
      <c r="U297" s="28">
        <f t="shared" si="86"/>
        <v>0.63702772369880711</v>
      </c>
      <c r="V297" s="28">
        <f t="shared" si="86"/>
        <v>0.63702772369880711</v>
      </c>
      <c r="W297" s="28"/>
    </row>
    <row r="298" spans="1:23" x14ac:dyDescent="0.45">
      <c r="B298" s="44" t="s">
        <v>209</v>
      </c>
      <c r="C298" s="125">
        <f t="shared" ref="C298:V298" si="87">C$185</f>
        <v>4481286.7119855089</v>
      </c>
      <c r="D298" s="125">
        <f t="shared" si="87"/>
        <v>4208486.1202214025</v>
      </c>
      <c r="E298" s="125">
        <f t="shared" si="87"/>
        <v>3738776.8279626556</v>
      </c>
      <c r="F298" s="125">
        <f t="shared" si="87"/>
        <v>3467721.8484063833</v>
      </c>
      <c r="G298" s="125">
        <f t="shared" si="87"/>
        <v>2880567.9331319034</v>
      </c>
      <c r="H298" s="3">
        <f t="shared" si="87"/>
        <v>2403567.9247276555</v>
      </c>
      <c r="I298" s="3">
        <f t="shared" si="87"/>
        <v>2130968.9056820534</v>
      </c>
      <c r="J298" s="3">
        <f t="shared" si="87"/>
        <v>1734332.9654457518</v>
      </c>
      <c r="K298" s="3">
        <f t="shared" si="87"/>
        <v>1313527.3767920588</v>
      </c>
      <c r="L298" s="3">
        <f t="shared" si="87"/>
        <v>918680.63014986145</v>
      </c>
      <c r="M298" s="3">
        <f t="shared" si="87"/>
        <v>546331.5207746441</v>
      </c>
      <c r="N298" s="3">
        <f t="shared" si="87"/>
        <v>198657.13064183827</v>
      </c>
      <c r="O298" s="3">
        <f t="shared" si="87"/>
        <v>0</v>
      </c>
      <c r="P298" s="3">
        <f t="shared" si="87"/>
        <v>0</v>
      </c>
      <c r="Q298" s="3">
        <f t="shared" si="87"/>
        <v>0</v>
      </c>
      <c r="R298" s="3">
        <f t="shared" si="87"/>
        <v>0</v>
      </c>
      <c r="S298" s="3">
        <f t="shared" si="87"/>
        <v>0</v>
      </c>
      <c r="T298" s="3">
        <f t="shared" si="87"/>
        <v>0</v>
      </c>
      <c r="U298" s="3">
        <f t="shared" si="87"/>
        <v>0</v>
      </c>
      <c r="V298" s="3">
        <f t="shared" si="87"/>
        <v>0</v>
      </c>
      <c r="W298" s="3"/>
    </row>
    <row r="299" spans="1:23" x14ac:dyDescent="0.45">
      <c r="B299" s="44" t="s">
        <v>210</v>
      </c>
      <c r="C299" s="125">
        <f>'Copper Weighted Price'!Y60</f>
        <v>466807.98025250377</v>
      </c>
      <c r="D299" s="125">
        <f>'Copper Weighted Price'!Z60</f>
        <v>423851.49951976188</v>
      </c>
      <c r="E299" s="125">
        <f>'Copper Weighted Price'!AA60</f>
        <v>370220.54662319832</v>
      </c>
      <c r="F299" s="125">
        <f>'Copper Weighted Price'!AB60</f>
        <v>217852.31785886592</v>
      </c>
      <c r="G299" s="125">
        <f>'Copper Weighted Price'!AC60</f>
        <v>227921.74968252881</v>
      </c>
      <c r="H299" s="125">
        <f>'Copper Weighted Price'!AD60</f>
        <v>198135.86697092649</v>
      </c>
      <c r="I299" s="125">
        <f>'Copper Weighted Price'!AE60</f>
        <v>126390.79274557742</v>
      </c>
      <c r="J299" s="125">
        <f>'Copper Weighted Price'!AF60</f>
        <v>118196.174365304</v>
      </c>
      <c r="K299" s="125">
        <f>'Copper Weighted Price'!AG60</f>
        <v>93729.07327212517</v>
      </c>
      <c r="L299" s="125">
        <f>'Copper Weighted Price'!AH60</f>
        <v>4258.1134360028054</v>
      </c>
      <c r="M299" s="125">
        <f>'Copper Weighted Price'!AI60</f>
        <v>1074.0976647989721</v>
      </c>
      <c r="N299" s="125">
        <f>'Copper Weighted Price'!AJ60</f>
        <v>1098.8065830795595</v>
      </c>
      <c r="O299" s="125">
        <f>'Copper Weighted Price'!AK60</f>
        <v>0</v>
      </c>
      <c r="P299" s="125">
        <f>'Copper Weighted Price'!AL60</f>
        <v>0</v>
      </c>
      <c r="Q299" s="125">
        <f>'Copper Weighted Price'!AM60</f>
        <v>0</v>
      </c>
      <c r="R299" s="125">
        <f>'Copper Weighted Price'!AN60</f>
        <v>0</v>
      </c>
      <c r="S299" s="125">
        <f>'Copper Weighted Price'!AO60</f>
        <v>0</v>
      </c>
      <c r="T299" s="125">
        <f>'Copper Weighted Price'!AP60</f>
        <v>0</v>
      </c>
      <c r="U299" s="125">
        <f>'Copper Weighted Price'!AQ60</f>
        <v>0</v>
      </c>
      <c r="V299" s="125">
        <f>'Copper Weighted Price'!AR60</f>
        <v>0</v>
      </c>
      <c r="W299" s="125"/>
    </row>
    <row r="300" spans="1:23" x14ac:dyDescent="0.45">
      <c r="B300" s="44" t="s">
        <v>211</v>
      </c>
      <c r="C300" s="125">
        <f>SUM('Copper Weighted Price'!Y47:Y48)</f>
        <v>206316.29510023797</v>
      </c>
      <c r="D300" s="125">
        <f>SUM('Copper Weighted Price'!Z47:Z48)</f>
        <v>172666.08792318677</v>
      </c>
      <c r="E300" s="125">
        <f>SUM('Copper Weighted Price'!AA47:AA48)</f>
        <v>97990.423334726453</v>
      </c>
      <c r="F300" s="125">
        <f>SUM('Copper Weighted Price'!AB47:AB48)</f>
        <v>113241.50015053633</v>
      </c>
      <c r="G300" s="125">
        <f>SUM('Copper Weighted Price'!AC47:AC48)</f>
        <v>89146.598442113813</v>
      </c>
      <c r="H300" s="125">
        <f>SUM('Copper Weighted Price'!AD47:AD48)</f>
        <v>89568.682049887895</v>
      </c>
      <c r="I300" s="125">
        <f>SUM('Copper Weighted Price'!AE47:AE48)</f>
        <v>89534.07738922014</v>
      </c>
      <c r="J300" s="125">
        <f>SUM('Copper Weighted Price'!AF47:AF48)</f>
        <v>61267.838554881782</v>
      </c>
      <c r="K300" s="125">
        <f>SUM('Copper Weighted Price'!AG47:AG48)</f>
        <v>38105.638587492467</v>
      </c>
      <c r="L300" s="125">
        <f>SUM('Copper Weighted Price'!AH47:AH48)</f>
        <v>21632.659487018569</v>
      </c>
      <c r="M300" s="125">
        <f>SUM('Copper Weighted Price'!AI47:AI48)</f>
        <v>0</v>
      </c>
      <c r="N300" s="125">
        <f>SUM('Copper Weighted Price'!AJ47:AJ48)</f>
        <v>0</v>
      </c>
      <c r="O300" s="125">
        <f>SUM('Copper Weighted Price'!AK47:AK48)</f>
        <v>0</v>
      </c>
      <c r="P300" s="125">
        <f>SUM('Copper Weighted Price'!AL47:AL48)</f>
        <v>0</v>
      </c>
      <c r="Q300" s="125">
        <f>SUM('Copper Weighted Price'!AM47:AM48)</f>
        <v>0</v>
      </c>
      <c r="R300" s="125">
        <f>SUM('Copper Weighted Price'!AN47:AN48)</f>
        <v>0</v>
      </c>
      <c r="S300" s="125">
        <f>SUM('Copper Weighted Price'!AO47:AO48)</f>
        <v>0</v>
      </c>
      <c r="T300" s="125">
        <f>SUM('Copper Weighted Price'!AP47:AP48)</f>
        <v>0</v>
      </c>
      <c r="U300" s="125">
        <f>SUM('Copper Weighted Price'!AQ47:AQ48)</f>
        <v>0</v>
      </c>
      <c r="V300" s="125">
        <f>SUM('Copper Weighted Price'!AR47:AR48)</f>
        <v>0</v>
      </c>
      <c r="W300" s="125"/>
    </row>
    <row r="301" spans="1:23" x14ac:dyDescent="0.45">
      <c r="B301" s="44" t="s">
        <v>212</v>
      </c>
      <c r="C301" s="125">
        <f>C295*C298*months_in_year</f>
        <v>544837049.95977664</v>
      </c>
      <c r="D301" s="125">
        <f t="shared" ref="D301:G301" si="88">D295*D298*months_in_year</f>
        <v>591601612.5505172</v>
      </c>
      <c r="E301" s="125">
        <f t="shared" si="88"/>
        <v>577489931.81926644</v>
      </c>
      <c r="F301" s="125">
        <f t="shared" si="88"/>
        <v>555181281.5106101</v>
      </c>
      <c r="G301" s="125">
        <f t="shared" si="88"/>
        <v>496511571.91029471</v>
      </c>
      <c r="H301" s="3">
        <f t="shared" ref="H301:O301" si="89">H295*H298*months_in_year</f>
        <v>426372194.26105803</v>
      </c>
      <c r="I301" s="3">
        <f t="shared" si="89"/>
        <v>394001966.91386735</v>
      </c>
      <c r="J301" s="3">
        <f t="shared" si="89"/>
        <v>325915418.76617849</v>
      </c>
      <c r="K301" s="3">
        <f t="shared" si="89"/>
        <v>250263411.29946637</v>
      </c>
      <c r="L301" s="3">
        <f t="shared" si="89"/>
        <v>177847311.97893077</v>
      </c>
      <c r="M301" s="3">
        <f t="shared" si="89"/>
        <v>105764276.75772575</v>
      </c>
      <c r="N301" s="3">
        <f>N295*N298*months_in_year</f>
        <v>38458018.521991529</v>
      </c>
      <c r="O301" s="3">
        <f t="shared" si="89"/>
        <v>0</v>
      </c>
      <c r="P301" s="3">
        <v>0</v>
      </c>
      <c r="Q301" s="3">
        <v>0</v>
      </c>
      <c r="R301" s="3">
        <f>R295*R298*months_in_year</f>
        <v>0</v>
      </c>
      <c r="S301" s="3">
        <f>S295*S298*months_in_year</f>
        <v>0</v>
      </c>
      <c r="T301" s="3">
        <f>T295*T298*months_in_year</f>
        <v>0</v>
      </c>
      <c r="U301" s="3">
        <f>U295*U298*months_in_year</f>
        <v>0</v>
      </c>
      <c r="V301" s="3">
        <f>V295*V298*months_in_year</f>
        <v>0</v>
      </c>
      <c r="W301" s="3"/>
    </row>
    <row r="302" spans="1:23" x14ac:dyDescent="0.45">
      <c r="B302" s="44" t="s">
        <v>213</v>
      </c>
      <c r="C302" s="125">
        <f>C299*C296*months_in_year</f>
        <v>17324641.596360788</v>
      </c>
      <c r="D302" s="125">
        <f t="shared" ref="D302:V302" si="90">D299*D296*months_in_year</f>
        <v>20156613.494456585</v>
      </c>
      <c r="E302" s="125">
        <f t="shared" si="90"/>
        <v>15495225.437352659</v>
      </c>
      <c r="F302" s="125">
        <f t="shared" si="90"/>
        <v>7777175.087567497</v>
      </c>
      <c r="G302" s="125">
        <f t="shared" si="90"/>
        <v>9889868.495506499</v>
      </c>
      <c r="H302" s="125">
        <f t="shared" si="90"/>
        <v>8597414.1182886846</v>
      </c>
      <c r="I302" s="125">
        <f t="shared" si="90"/>
        <v>5484287.1337978086</v>
      </c>
      <c r="J302" s="125">
        <f t="shared" si="90"/>
        <v>5128710.2822483191</v>
      </c>
      <c r="K302" s="125">
        <f t="shared" si="90"/>
        <v>4067045.8618283728</v>
      </c>
      <c r="L302" s="125">
        <f t="shared" si="90"/>
        <v>184765.96454561685</v>
      </c>
      <c r="M302" s="125">
        <f t="shared" si="90"/>
        <v>46606.717748476156</v>
      </c>
      <c r="N302" s="125">
        <f t="shared" si="90"/>
        <v>47678.874981393179</v>
      </c>
      <c r="O302" s="125">
        <f t="shared" si="90"/>
        <v>0</v>
      </c>
      <c r="P302" s="125">
        <f t="shared" si="90"/>
        <v>0</v>
      </c>
      <c r="Q302" s="125">
        <f t="shared" si="90"/>
        <v>0</v>
      </c>
      <c r="R302" s="125">
        <f t="shared" si="90"/>
        <v>0</v>
      </c>
      <c r="S302" s="125">
        <f t="shared" si="90"/>
        <v>0</v>
      </c>
      <c r="T302" s="125">
        <f t="shared" si="90"/>
        <v>0</v>
      </c>
      <c r="U302" s="125">
        <f t="shared" si="90"/>
        <v>0</v>
      </c>
      <c r="V302" s="125">
        <f t="shared" si="90"/>
        <v>0</v>
      </c>
      <c r="W302" s="125"/>
    </row>
    <row r="303" spans="1:23" x14ac:dyDescent="0.45">
      <c r="B303" s="44" t="s">
        <v>214</v>
      </c>
      <c r="C303" s="125">
        <f>C300*C297*months_in_year</f>
        <v>1326401.0898010822</v>
      </c>
      <c r="D303" s="125">
        <f t="shared" ref="D303:V303" si="91">D300*D297*months_in_year</f>
        <v>1488118.5873981395</v>
      </c>
      <c r="E303" s="125">
        <f t="shared" si="91"/>
        <v>883316.25370660331</v>
      </c>
      <c r="F303" s="125">
        <f t="shared" si="91"/>
        <v>893403.66632511583</v>
      </c>
      <c r="G303" s="125">
        <f t="shared" si="91"/>
        <v>681466.25617285667</v>
      </c>
      <c r="H303" s="125">
        <f t="shared" si="91"/>
        <v>684692.80369130755</v>
      </c>
      <c r="I303" s="125">
        <f t="shared" si="91"/>
        <v>684428.27415273292</v>
      </c>
      <c r="J303" s="125">
        <f t="shared" si="91"/>
        <v>468351.7407667482</v>
      </c>
      <c r="K303" s="125">
        <f t="shared" si="91"/>
        <v>291292.17851375707</v>
      </c>
      <c r="L303" s="125">
        <f t="shared" si="91"/>
        <v>165367.24596680212</v>
      </c>
      <c r="M303" s="125">
        <f t="shared" si="91"/>
        <v>0</v>
      </c>
      <c r="N303" s="125">
        <f t="shared" si="91"/>
        <v>0</v>
      </c>
      <c r="O303" s="125">
        <f t="shared" si="91"/>
        <v>0</v>
      </c>
      <c r="P303" s="125">
        <f t="shared" si="91"/>
        <v>0</v>
      </c>
      <c r="Q303" s="125">
        <f t="shared" si="91"/>
        <v>0</v>
      </c>
      <c r="R303" s="125">
        <f t="shared" si="91"/>
        <v>0</v>
      </c>
      <c r="S303" s="125">
        <f t="shared" si="91"/>
        <v>0</v>
      </c>
      <c r="T303" s="125">
        <f t="shared" si="91"/>
        <v>0</v>
      </c>
      <c r="U303" s="125">
        <f t="shared" si="91"/>
        <v>0</v>
      </c>
      <c r="V303" s="125">
        <f t="shared" si="91"/>
        <v>0</v>
      </c>
      <c r="W303" s="125"/>
    </row>
    <row r="304" spans="1:23" x14ac:dyDescent="0.45">
      <c r="B304" s="44" t="s">
        <v>215</v>
      </c>
      <c r="C304" s="94">
        <f>IFERROR(SUM(C302:C303)/SUM(C301:C302),0)</f>
        <v>3.3177363321455308E-2</v>
      </c>
      <c r="D304" s="94">
        <f t="shared" ref="D304:V304" si="92">IFERROR(SUM(D302:D303)/SUM(D301:D302),0)</f>
        <v>3.5381186815890073E-2</v>
      </c>
      <c r="E304" s="94">
        <f t="shared" si="92"/>
        <v>2.762049182956415E-2</v>
      </c>
      <c r="F304" s="94">
        <f t="shared" si="92"/>
        <v>1.5401809231691507E-2</v>
      </c>
      <c r="G304" s="94">
        <f t="shared" si="92"/>
        <v>2.0875404191599632E-2</v>
      </c>
      <c r="H304" s="94">
        <f t="shared" si="92"/>
        <v>2.1339667744981528E-2</v>
      </c>
      <c r="I304" s="94">
        <f t="shared" si="92"/>
        <v>1.5441621195843483E-2</v>
      </c>
      <c r="J304" s="94">
        <f t="shared" si="92"/>
        <v>1.6907298851979641E-2</v>
      </c>
      <c r="K304" s="94">
        <f t="shared" si="92"/>
        <v>1.7136516361381363E-2</v>
      </c>
      <c r="L304" s="94">
        <f t="shared" si="92"/>
        <v>1.9666860857714824E-3</v>
      </c>
      <c r="M304" s="94">
        <f t="shared" si="92"/>
        <v>4.4047187035612523E-4</v>
      </c>
      <c r="N304" s="94">
        <f t="shared" si="92"/>
        <v>1.2382290986668739E-3</v>
      </c>
      <c r="O304" s="94">
        <f>IFERROR(SUM(O302:O303)/SUM(O301:O302),0)</f>
        <v>0</v>
      </c>
      <c r="P304" s="94">
        <f t="shared" si="92"/>
        <v>0</v>
      </c>
      <c r="Q304" s="94">
        <f t="shared" si="92"/>
        <v>0</v>
      </c>
      <c r="R304" s="94">
        <f t="shared" si="92"/>
        <v>0</v>
      </c>
      <c r="S304" s="94">
        <f t="shared" si="92"/>
        <v>0</v>
      </c>
      <c r="T304" s="94">
        <f t="shared" si="92"/>
        <v>0</v>
      </c>
      <c r="U304" s="94">
        <f t="shared" si="92"/>
        <v>0</v>
      </c>
      <c r="V304" s="94">
        <f t="shared" si="92"/>
        <v>0</v>
      </c>
      <c r="W304" s="94">
        <f>AVERAGE(C304:V304)</f>
        <v>1.0346337329959057E-2</v>
      </c>
    </row>
    <row r="305" spans="2:23" x14ac:dyDescent="0.45">
      <c r="B305" s="44"/>
      <c r="C305" s="94"/>
      <c r="D305" s="94"/>
      <c r="E305" s="94"/>
      <c r="F305" s="94"/>
      <c r="G305" s="94"/>
      <c r="H305" s="94"/>
      <c r="I305" s="94"/>
      <c r="J305" s="94"/>
      <c r="K305" s="94"/>
      <c r="L305" s="94"/>
      <c r="M305" s="94"/>
      <c r="N305" s="94"/>
      <c r="O305" s="94"/>
      <c r="P305" s="94"/>
      <c r="Q305" s="94"/>
      <c r="R305" s="94"/>
      <c r="S305" s="94"/>
      <c r="T305" s="94"/>
      <c r="U305" s="94"/>
      <c r="V305" s="94"/>
      <c r="W305" s="94"/>
    </row>
    <row r="306" spans="2:23" x14ac:dyDescent="0.45">
      <c r="B306" s="44" t="s">
        <v>216</v>
      </c>
      <c r="C306" s="3">
        <f>SUM(C301:C302)*C$129</f>
        <v>562161691.55613744</v>
      </c>
      <c r="D306" s="3">
        <f>SUM(D301:D302)*D$129</f>
        <v>569077419.57671976</v>
      </c>
      <c r="E306" s="3">
        <f>SUM(E301:E302)*E$129</f>
        <v>513129395.13823181</v>
      </c>
      <c r="F306" s="3">
        <f t="shared" ref="F306:V306" si="93">SUM(F301:F302)*F$129</f>
        <v>453159359.83351612</v>
      </c>
      <c r="G306" s="3">
        <f t="shared" si="93"/>
        <v>379193666.85538334</v>
      </c>
      <c r="H306" s="3">
        <f t="shared" si="93"/>
        <v>302981835.52658337</v>
      </c>
      <c r="I306" s="3">
        <f t="shared" si="93"/>
        <v>258851719.77870953</v>
      </c>
      <c r="J306" s="3">
        <f t="shared" si="93"/>
        <v>199538471.19741055</v>
      </c>
      <c r="K306" s="3">
        <f t="shared" si="93"/>
        <v>142603655.35029724</v>
      </c>
      <c r="L306" s="3">
        <f t="shared" si="93"/>
        <v>92858589.505647868</v>
      </c>
      <c r="M306" s="3">
        <f t="shared" si="93"/>
        <v>51338798.210513845</v>
      </c>
      <c r="N306" s="3">
        <f t="shared" si="93"/>
        <v>17379284.262348618</v>
      </c>
      <c r="O306" s="3">
        <f t="shared" si="93"/>
        <v>0</v>
      </c>
      <c r="P306" s="3">
        <f t="shared" si="93"/>
        <v>0</v>
      </c>
      <c r="Q306" s="3">
        <f t="shared" si="93"/>
        <v>0</v>
      </c>
      <c r="R306" s="3">
        <f t="shared" si="93"/>
        <v>0</v>
      </c>
      <c r="S306" s="3">
        <f t="shared" si="93"/>
        <v>0</v>
      </c>
      <c r="T306" s="3">
        <f t="shared" si="93"/>
        <v>0</v>
      </c>
      <c r="U306" s="3">
        <f t="shared" si="93"/>
        <v>0</v>
      </c>
      <c r="V306" s="3">
        <f t="shared" si="93"/>
        <v>0</v>
      </c>
      <c r="W306" s="3"/>
    </row>
    <row r="307" spans="2:23" x14ac:dyDescent="0.45">
      <c r="B307" s="44" t="s">
        <v>217</v>
      </c>
      <c r="C307" s="93">
        <f>SUM(C306:V306)</f>
        <v>3542273886.7914996</v>
      </c>
    </row>
    <row r="308" spans="2:23" x14ac:dyDescent="0.45">
      <c r="B308" s="44"/>
    </row>
    <row r="309" spans="2:23" x14ac:dyDescent="0.45">
      <c r="B309" s="44"/>
      <c r="C309" s="47">
        <v>1</v>
      </c>
      <c r="D309" s="47">
        <v>2</v>
      </c>
      <c r="E309" s="47">
        <v>3</v>
      </c>
      <c r="F309" s="47">
        <v>4</v>
      </c>
      <c r="G309" s="47">
        <v>5</v>
      </c>
      <c r="H309" s="47">
        <v>6</v>
      </c>
      <c r="I309" s="47">
        <v>7</v>
      </c>
      <c r="J309" s="47">
        <v>8</v>
      </c>
      <c r="K309" s="47">
        <v>9</v>
      </c>
      <c r="L309" s="47">
        <v>10</v>
      </c>
      <c r="M309" s="47">
        <v>11</v>
      </c>
      <c r="N309" s="47">
        <v>12</v>
      </c>
      <c r="O309" s="47">
        <v>13</v>
      </c>
      <c r="P309" s="47">
        <v>14</v>
      </c>
      <c r="Q309" s="47">
        <v>15</v>
      </c>
      <c r="R309" s="47">
        <v>16</v>
      </c>
      <c r="S309" s="47">
        <v>17</v>
      </c>
      <c r="T309" s="47">
        <v>18</v>
      </c>
      <c r="U309" s="47">
        <v>19</v>
      </c>
      <c r="V309" s="47">
        <v>20</v>
      </c>
      <c r="W309" s="47"/>
    </row>
    <row r="310" spans="2:23" x14ac:dyDescent="0.45">
      <c r="B310" s="44"/>
      <c r="C310" s="17" t="s">
        <v>5</v>
      </c>
      <c r="D310" s="17" t="s">
        <v>6</v>
      </c>
      <c r="E310" s="58" t="s">
        <v>7</v>
      </c>
      <c r="F310" s="58" t="s">
        <v>8</v>
      </c>
      <c r="G310" s="17" t="s">
        <v>9</v>
      </c>
      <c r="H310" s="17" t="s">
        <v>10</v>
      </c>
      <c r="I310" s="17" t="s">
        <v>11</v>
      </c>
      <c r="J310" s="17" t="s">
        <v>12</v>
      </c>
      <c r="K310" s="17" t="s">
        <v>13</v>
      </c>
      <c r="L310" s="17" t="s">
        <v>14</v>
      </c>
      <c r="M310" s="17" t="s">
        <v>49</v>
      </c>
      <c r="N310" s="17" t="s">
        <v>50</v>
      </c>
      <c r="O310" s="17" t="s">
        <v>51</v>
      </c>
      <c r="P310" s="17" t="s">
        <v>52</v>
      </c>
      <c r="Q310" s="17" t="s">
        <v>53</v>
      </c>
      <c r="R310" s="17" t="s">
        <v>54</v>
      </c>
      <c r="S310" s="17" t="s">
        <v>55</v>
      </c>
      <c r="T310" s="17" t="s">
        <v>56</v>
      </c>
      <c r="U310" s="17" t="s">
        <v>57</v>
      </c>
      <c r="V310" s="17" t="s">
        <v>58</v>
      </c>
      <c r="W310" s="17"/>
    </row>
    <row r="311" spans="2:23" x14ac:dyDescent="0.45">
      <c r="B311" s="44" t="s">
        <v>218</v>
      </c>
      <c r="C311" s="113">
        <f>'Copper Weighted Price'!Y7/months_in_year</f>
        <v>10.131707791696163</v>
      </c>
      <c r="D311" s="113">
        <f>'Copper Weighted Price'!Z7/months_in_year</f>
        <v>11.714458114124932</v>
      </c>
      <c r="E311" s="113">
        <f>'Copper Weighted Price'!AA7/months_in_year</f>
        <v>12.8716324079613</v>
      </c>
      <c r="F311" s="113">
        <f>'Copper Weighted Price'!AB7/months_in_year</f>
        <v>13.341642961880668</v>
      </c>
      <c r="G311" s="113">
        <f>'Copper Weighted Price'!AC7/months_in_year</f>
        <v>14.363821748467425</v>
      </c>
      <c r="H311" s="113">
        <f>'Copper Weighted Price'!AD7/months_in_year</f>
        <v>15.10521864915941</v>
      </c>
      <c r="I311" s="113">
        <f>'Copper Weighted Price'!AE7/months_in_year</f>
        <v>16.057896202353589</v>
      </c>
      <c r="J311" s="113">
        <f>'Copper Weighted Price'!AF7/months_in_year</f>
        <v>16.662778388278745</v>
      </c>
      <c r="K311" s="113">
        <f>'Copper Weighted Price'!AG7/months_in_year</f>
        <v>17.233511263501502</v>
      </c>
      <c r="L311" s="113">
        <f>'Copper Weighted Price'!AH7/months_in_year</f>
        <v>17.860679450186012</v>
      </c>
      <c r="M311" s="67">
        <f>L311</f>
        <v>17.860679450186012</v>
      </c>
      <c r="N311" s="67">
        <f t="shared" ref="N311:V313" si="94">M311</f>
        <v>17.860679450186012</v>
      </c>
      <c r="O311" s="67">
        <f t="shared" si="94"/>
        <v>17.860679450186012</v>
      </c>
      <c r="P311" s="67">
        <f t="shared" si="94"/>
        <v>17.860679450186012</v>
      </c>
      <c r="Q311" s="67">
        <f t="shared" si="94"/>
        <v>17.860679450186012</v>
      </c>
      <c r="R311" s="67">
        <f t="shared" si="94"/>
        <v>17.860679450186012</v>
      </c>
      <c r="S311" s="67">
        <f t="shared" si="94"/>
        <v>17.860679450186012</v>
      </c>
      <c r="T311" s="67">
        <f t="shared" si="94"/>
        <v>17.860679450186012</v>
      </c>
      <c r="U311" s="67">
        <f t="shared" si="94"/>
        <v>17.860679450186012</v>
      </c>
      <c r="V311" s="67">
        <f t="shared" si="94"/>
        <v>17.860679450186012</v>
      </c>
      <c r="W311" s="67"/>
    </row>
    <row r="312" spans="2:23" x14ac:dyDescent="0.45">
      <c r="B312" s="44" t="s">
        <v>219</v>
      </c>
      <c r="C312" s="113">
        <f>'Copper Weighted Price'!Y9/months_in_year</f>
        <v>3.0927494689553829</v>
      </c>
      <c r="D312" s="113">
        <f>'Copper Weighted Price'!Z9/months_in_year</f>
        <v>3.9629865486093419</v>
      </c>
      <c r="E312" s="113">
        <f>'Copper Weighted Price'!AA9/months_in_year</f>
        <v>3.487836637441621</v>
      </c>
      <c r="F312" s="113">
        <f>'Copper Weighted Price'!AB9/months_in_year</f>
        <v>2.9749416041734462</v>
      </c>
      <c r="G312" s="113">
        <f>'Copper Weighted Price'!AC9/months_in_year</f>
        <v>3.6159590258798811</v>
      </c>
      <c r="H312" s="113">
        <f>'Copper Weighted Price'!AD9/months_in_year</f>
        <v>3.6948710651255534</v>
      </c>
      <c r="I312" s="113">
        <f>'Copper Weighted Price'!AE9/months_in_year</f>
        <v>3.7685312054598827</v>
      </c>
      <c r="J312" s="113">
        <f>'Copper Weighted Price'!AF9/months_in_year</f>
        <v>3.8475098206674558</v>
      </c>
      <c r="K312" s="113">
        <f>'Copper Weighted Price'!AG9/months_in_year</f>
        <v>3.9248249152701278</v>
      </c>
      <c r="L312" s="113">
        <f>'Copper Weighted Price'!AH9/months_in_year</f>
        <v>4.003316964270784</v>
      </c>
      <c r="M312" s="113">
        <f>L312</f>
        <v>4.003316964270784</v>
      </c>
      <c r="N312" s="113">
        <f t="shared" si="94"/>
        <v>4.003316964270784</v>
      </c>
      <c r="O312" s="113">
        <f t="shared" si="94"/>
        <v>4.003316964270784</v>
      </c>
      <c r="P312" s="113">
        <f t="shared" si="94"/>
        <v>4.003316964270784</v>
      </c>
      <c r="Q312" s="113">
        <f t="shared" si="94"/>
        <v>4.003316964270784</v>
      </c>
      <c r="R312" s="113">
        <f t="shared" si="94"/>
        <v>4.003316964270784</v>
      </c>
      <c r="S312" s="113">
        <f t="shared" si="94"/>
        <v>4.003316964270784</v>
      </c>
      <c r="T312" s="113">
        <f t="shared" si="94"/>
        <v>4.003316964270784</v>
      </c>
      <c r="U312" s="113">
        <f t="shared" si="94"/>
        <v>4.003316964270784</v>
      </c>
      <c r="V312" s="113">
        <f t="shared" si="94"/>
        <v>4.003316964270784</v>
      </c>
      <c r="W312" s="113"/>
    </row>
    <row r="313" spans="2:23" x14ac:dyDescent="0.45">
      <c r="B313" s="44" t="s">
        <v>220</v>
      </c>
      <c r="C313" s="113">
        <f>'Copper Weighted Price'!Y232/months_in_year</f>
        <v>0.53574742652483143</v>
      </c>
      <c r="D313" s="113">
        <f>'Copper Weighted Price'!Z232/months_in_year</f>
        <v>0.71820635872833372</v>
      </c>
      <c r="E313" s="113">
        <f>'Copper Weighted Price'!AA232/months_in_year</f>
        <v>0.75119267071068319</v>
      </c>
      <c r="F313" s="113">
        <f>'Copper Weighted Price'!AB232/months_in_year</f>
        <v>0.65744718524678059</v>
      </c>
      <c r="G313" s="113">
        <f>'Copper Weighted Price'!AC232/months_in_year</f>
        <v>0.63702772369880711</v>
      </c>
      <c r="H313" s="113">
        <f>'Copper Weighted Price'!AD276/months_in_year</f>
        <v>0.65092974979294127</v>
      </c>
      <c r="I313" s="113">
        <f>'Copper Weighted Price'!AE276/months_in_year</f>
        <v>0.66390654272357863</v>
      </c>
      <c r="J313" s="113">
        <f>'Copper Weighted Price'!AF276/months_in_year</f>
        <v>0.67782029758265694</v>
      </c>
      <c r="K313" s="113">
        <f>'Copper Weighted Price'!AG276/months_in_year</f>
        <v>0.69144098807438992</v>
      </c>
      <c r="L313" s="113">
        <f>'Copper Weighted Price'!AH276/months_in_year</f>
        <v>0.70526902399666547</v>
      </c>
      <c r="M313" s="113">
        <f>L313</f>
        <v>0.70526902399666547</v>
      </c>
      <c r="N313" s="113">
        <f t="shared" si="94"/>
        <v>0.70526902399666547</v>
      </c>
      <c r="O313" s="113">
        <f t="shared" si="94"/>
        <v>0.70526902399666547</v>
      </c>
      <c r="P313" s="113">
        <f t="shared" si="94"/>
        <v>0.70526902399666547</v>
      </c>
      <c r="Q313" s="113">
        <f t="shared" si="94"/>
        <v>0.70526902399666547</v>
      </c>
      <c r="R313" s="113">
        <f t="shared" si="94"/>
        <v>0.70526902399666547</v>
      </c>
      <c r="S313" s="113">
        <f t="shared" si="94"/>
        <v>0.70526902399666547</v>
      </c>
      <c r="T313" s="113">
        <f t="shared" si="94"/>
        <v>0.70526902399666547</v>
      </c>
      <c r="U313" s="113">
        <f t="shared" si="94"/>
        <v>0.70526902399666547</v>
      </c>
      <c r="V313" s="113">
        <f t="shared" si="94"/>
        <v>0.70526902399666547</v>
      </c>
      <c r="W313" s="113"/>
    </row>
    <row r="314" spans="2:23" x14ac:dyDescent="0.45">
      <c r="B314" s="44" t="s">
        <v>173</v>
      </c>
      <c r="C314" s="125">
        <f t="shared" ref="C314:V314" si="95">C$185</f>
        <v>4481286.7119855089</v>
      </c>
      <c r="D314" s="125">
        <f t="shared" si="95"/>
        <v>4208486.1202214025</v>
      </c>
      <c r="E314" s="125">
        <f t="shared" si="95"/>
        <v>3738776.8279626556</v>
      </c>
      <c r="F314" s="125">
        <f t="shared" si="95"/>
        <v>3467721.8484063833</v>
      </c>
      <c r="G314" s="125">
        <f t="shared" si="95"/>
        <v>2880567.9331319034</v>
      </c>
      <c r="H314" s="3">
        <f t="shared" si="95"/>
        <v>2403567.9247276555</v>
      </c>
      <c r="I314" s="3">
        <f t="shared" si="95"/>
        <v>2130968.9056820534</v>
      </c>
      <c r="J314" s="3">
        <f t="shared" si="95"/>
        <v>1734332.9654457518</v>
      </c>
      <c r="K314" s="3">
        <f t="shared" si="95"/>
        <v>1313527.3767920588</v>
      </c>
      <c r="L314" s="3">
        <f t="shared" si="95"/>
        <v>918680.63014986145</v>
      </c>
      <c r="M314" s="3">
        <f t="shared" si="95"/>
        <v>546331.5207746441</v>
      </c>
      <c r="N314" s="3">
        <f t="shared" si="95"/>
        <v>198657.13064183827</v>
      </c>
      <c r="O314" s="3">
        <f t="shared" si="95"/>
        <v>0</v>
      </c>
      <c r="P314" s="3">
        <f t="shared" si="95"/>
        <v>0</v>
      </c>
      <c r="Q314" s="3">
        <f t="shared" si="95"/>
        <v>0</v>
      </c>
      <c r="R314" s="3">
        <f t="shared" si="95"/>
        <v>0</v>
      </c>
      <c r="S314" s="3">
        <f t="shared" si="95"/>
        <v>0</v>
      </c>
      <c r="T314" s="3">
        <f t="shared" si="95"/>
        <v>0</v>
      </c>
      <c r="U314" s="3">
        <f t="shared" si="95"/>
        <v>0</v>
      </c>
      <c r="V314" s="3">
        <f t="shared" si="95"/>
        <v>0</v>
      </c>
      <c r="W314" s="3"/>
    </row>
    <row r="315" spans="2:23" x14ac:dyDescent="0.45">
      <c r="B315" s="44" t="s">
        <v>210</v>
      </c>
      <c r="C315" s="125">
        <f>'Copper Weighted Price'!Y60</f>
        <v>466807.98025250377</v>
      </c>
      <c r="D315" s="125">
        <f>'Copper Weighted Price'!Z60</f>
        <v>423851.49951976188</v>
      </c>
      <c r="E315" s="125">
        <f>'Copper Weighted Price'!AA60</f>
        <v>370220.54662319832</v>
      </c>
      <c r="F315" s="125">
        <f>'Copper Weighted Price'!AB60</f>
        <v>217852.31785886592</v>
      </c>
      <c r="G315" s="125">
        <f>'Copper Weighted Price'!AC60</f>
        <v>227921.74968252881</v>
      </c>
      <c r="H315" s="125">
        <f>'Copper Weighted Price'!AD60</f>
        <v>198135.86697092649</v>
      </c>
      <c r="I315" s="125">
        <f>'Copper Weighted Price'!AE60</f>
        <v>126390.79274557742</v>
      </c>
      <c r="J315" s="125">
        <f>'Copper Weighted Price'!AF60</f>
        <v>118196.174365304</v>
      </c>
      <c r="K315" s="125">
        <f>'Copper Weighted Price'!AG60</f>
        <v>93729.07327212517</v>
      </c>
      <c r="L315" s="125">
        <f>'Copper Weighted Price'!AH60</f>
        <v>4258.1134360028054</v>
      </c>
      <c r="M315" s="125">
        <f>'Copper Weighted Price'!AI60</f>
        <v>1074.0976647989721</v>
      </c>
      <c r="N315" s="125">
        <f>'Copper Weighted Price'!AJ60</f>
        <v>1098.8065830795595</v>
      </c>
      <c r="O315" s="125">
        <f>'Copper Weighted Price'!AK60</f>
        <v>0</v>
      </c>
      <c r="P315" s="125">
        <f>'Copper Weighted Price'!AL60</f>
        <v>0</v>
      </c>
      <c r="Q315" s="125">
        <f>'Copper Weighted Price'!AM60</f>
        <v>0</v>
      </c>
      <c r="R315" s="125">
        <f>'Copper Weighted Price'!AN60</f>
        <v>0</v>
      </c>
      <c r="S315" s="125">
        <f>'Copper Weighted Price'!AO60</f>
        <v>0</v>
      </c>
      <c r="T315" s="125">
        <f>'Copper Weighted Price'!AP60</f>
        <v>0</v>
      </c>
      <c r="U315" s="125">
        <f>'Copper Weighted Price'!AQ60</f>
        <v>0</v>
      </c>
      <c r="V315" s="125">
        <f>'Copper Weighted Price'!AR60</f>
        <v>0</v>
      </c>
      <c r="W315" s="125"/>
    </row>
    <row r="316" spans="2:23" x14ac:dyDescent="0.45">
      <c r="B316" s="44" t="s">
        <v>211</v>
      </c>
      <c r="C316" s="125">
        <f>SUM('Copper Weighted Price'!Y47:Y48)</f>
        <v>206316.29510023797</v>
      </c>
      <c r="D316" s="125">
        <f>SUM('Copper Weighted Price'!Z47:Z48)</f>
        <v>172666.08792318677</v>
      </c>
      <c r="E316" s="125">
        <f>SUM('Copper Weighted Price'!AA47:AA48)</f>
        <v>97990.423334726453</v>
      </c>
      <c r="F316" s="125">
        <f>SUM('Copper Weighted Price'!AB47:AB48)</f>
        <v>113241.50015053633</v>
      </c>
      <c r="G316" s="125">
        <f>SUM('Copper Weighted Price'!AC47:AC48)</f>
        <v>89146.598442113813</v>
      </c>
      <c r="H316" s="125">
        <f>SUM('Copper Weighted Price'!AD47:AD48)</f>
        <v>89568.682049887895</v>
      </c>
      <c r="I316" s="125">
        <f>SUM('Copper Weighted Price'!AE47:AE48)</f>
        <v>89534.07738922014</v>
      </c>
      <c r="J316" s="125">
        <f>SUM('Copper Weighted Price'!AF47:AF48)</f>
        <v>61267.838554881782</v>
      </c>
      <c r="K316" s="125">
        <f>SUM('Copper Weighted Price'!AG47:AG48)</f>
        <v>38105.638587492467</v>
      </c>
      <c r="L316" s="125">
        <f>SUM('Copper Weighted Price'!AH47:AH48)</f>
        <v>21632.659487018569</v>
      </c>
      <c r="M316" s="125">
        <f>SUM('Copper Weighted Price'!AI47:AI48)</f>
        <v>0</v>
      </c>
      <c r="N316" s="125">
        <f>SUM('Copper Weighted Price'!AJ47:AJ48)</f>
        <v>0</v>
      </c>
      <c r="O316" s="125">
        <f>SUM('Copper Weighted Price'!AK47:AK48)</f>
        <v>0</v>
      </c>
      <c r="P316" s="125">
        <f>SUM('Copper Weighted Price'!AL47:AL48)</f>
        <v>0</v>
      </c>
      <c r="Q316" s="125">
        <f>SUM('Copper Weighted Price'!AM47:AM48)</f>
        <v>0</v>
      </c>
      <c r="R316" s="125">
        <f>SUM('Copper Weighted Price'!AN47:AN48)</f>
        <v>0</v>
      </c>
      <c r="S316" s="125">
        <f>SUM('Copper Weighted Price'!AO47:AO48)</f>
        <v>0</v>
      </c>
      <c r="T316" s="125">
        <f>SUM('Copper Weighted Price'!AP47:AP48)</f>
        <v>0</v>
      </c>
      <c r="U316" s="125">
        <f>SUM('Copper Weighted Price'!AQ47:AQ48)</f>
        <v>0</v>
      </c>
      <c r="V316" s="125">
        <f>SUM('Copper Weighted Price'!AR47:AR48)</f>
        <v>0</v>
      </c>
      <c r="W316" s="125"/>
    </row>
    <row r="317" spans="2:23" x14ac:dyDescent="0.45">
      <c r="B317" s="44" t="s">
        <v>221</v>
      </c>
      <c r="C317" s="125">
        <f t="shared" ref="C317:O317" si="96">C311*C314*months_in_year</f>
        <v>544837049.95977664</v>
      </c>
      <c r="D317" s="125">
        <f t="shared" si="96"/>
        <v>591601612.5505172</v>
      </c>
      <c r="E317" s="125">
        <f t="shared" si="96"/>
        <v>577489931.81926644</v>
      </c>
      <c r="F317" s="125">
        <f t="shared" si="96"/>
        <v>555181281.5106101</v>
      </c>
      <c r="G317" s="125">
        <f t="shared" si="96"/>
        <v>496511571.91029471</v>
      </c>
      <c r="H317" s="3">
        <f t="shared" si="96"/>
        <v>435677028.49341077</v>
      </c>
      <c r="I317" s="3">
        <f t="shared" si="96"/>
        <v>410626529.97462511</v>
      </c>
      <c r="J317" s="3">
        <f t="shared" si="96"/>
        <v>346785670.25650632</v>
      </c>
      <c r="K317" s="3">
        <f t="shared" si="96"/>
        <v>271640266.1143623</v>
      </c>
      <c r="L317" s="3">
        <f t="shared" si="96"/>
        <v>196899123.02641881</v>
      </c>
      <c r="M317" s="3">
        <f t="shared" si="96"/>
        <v>117094225.9930627</v>
      </c>
      <c r="N317" s="3">
        <f t="shared" si="96"/>
        <v>42577815.970651187</v>
      </c>
      <c r="O317" s="3">
        <f t="shared" si="96"/>
        <v>0</v>
      </c>
      <c r="P317" s="3">
        <v>0</v>
      </c>
      <c r="Q317" s="3">
        <v>0</v>
      </c>
      <c r="R317" s="3">
        <f>R311*R314*months_in_year</f>
        <v>0</v>
      </c>
      <c r="S317" s="3">
        <f>S311*S314*months_in_year</f>
        <v>0</v>
      </c>
      <c r="T317" s="3">
        <f>T311*T314*months_in_year</f>
        <v>0</v>
      </c>
      <c r="U317" s="3">
        <f>U311*U314*months_in_year</f>
        <v>0</v>
      </c>
      <c r="V317" s="3">
        <f>V311*V314*months_in_year</f>
        <v>0</v>
      </c>
      <c r="W317" s="3"/>
    </row>
    <row r="318" spans="2:23" x14ac:dyDescent="0.45">
      <c r="B318" s="44" t="s">
        <v>222</v>
      </c>
      <c r="C318" s="125">
        <f t="shared" ref="C318:V318" si="97">C315*C312*months_in_year</f>
        <v>17324641.596360788</v>
      </c>
      <c r="D318" s="125">
        <f t="shared" si="97"/>
        <v>20156613.494456585</v>
      </c>
      <c r="E318" s="125">
        <f t="shared" si="97"/>
        <v>15495225.437352659</v>
      </c>
      <c r="F318" s="125">
        <f t="shared" si="97"/>
        <v>7777175.087567497</v>
      </c>
      <c r="G318" s="125">
        <f t="shared" si="97"/>
        <v>9889868.495506499</v>
      </c>
      <c r="H318" s="125">
        <f t="shared" si="97"/>
        <v>8785037.7820133045</v>
      </c>
      <c r="I318" s="125">
        <f t="shared" si="97"/>
        <v>5715691.7585342526</v>
      </c>
      <c r="J318" s="125">
        <f t="shared" si="97"/>
        <v>5457131.2996299621</v>
      </c>
      <c r="K318" s="125">
        <f t="shared" si="97"/>
        <v>4414442.4247633945</v>
      </c>
      <c r="L318" s="125">
        <f t="shared" si="97"/>
        <v>204558.93304967263</v>
      </c>
      <c r="M318" s="125">
        <f t="shared" si="97"/>
        <v>51599.440833280307</v>
      </c>
      <c r="N318" s="125">
        <f t="shared" si="97"/>
        <v>52786.452413937775</v>
      </c>
      <c r="O318" s="125">
        <f t="shared" si="97"/>
        <v>0</v>
      </c>
      <c r="P318" s="125">
        <f t="shared" si="97"/>
        <v>0</v>
      </c>
      <c r="Q318" s="125">
        <f t="shared" si="97"/>
        <v>0</v>
      </c>
      <c r="R318" s="125">
        <f t="shared" si="97"/>
        <v>0</v>
      </c>
      <c r="S318" s="125">
        <f t="shared" si="97"/>
        <v>0</v>
      </c>
      <c r="T318" s="125">
        <f t="shared" si="97"/>
        <v>0</v>
      </c>
      <c r="U318" s="125">
        <f t="shared" si="97"/>
        <v>0</v>
      </c>
      <c r="V318" s="125">
        <f t="shared" si="97"/>
        <v>0</v>
      </c>
      <c r="W318" s="125"/>
    </row>
    <row r="319" spans="2:23" x14ac:dyDescent="0.45">
      <c r="B319" s="44" t="s">
        <v>223</v>
      </c>
      <c r="C319" s="125">
        <f>C316*C313*months_in_year</f>
        <v>1326401.0898010822</v>
      </c>
      <c r="D319" s="125">
        <f t="shared" ref="D319:V319" si="98">D316*D313*months_in_year</f>
        <v>1488118.5873981395</v>
      </c>
      <c r="E319" s="125">
        <f t="shared" si="98"/>
        <v>883316.25370660331</v>
      </c>
      <c r="F319" s="125">
        <f t="shared" si="98"/>
        <v>893403.66632511583</v>
      </c>
      <c r="G319" s="125">
        <f t="shared" si="98"/>
        <v>681466.25617285667</v>
      </c>
      <c r="H319" s="125">
        <f t="shared" si="98"/>
        <v>699635.03755220445</v>
      </c>
      <c r="I319" s="125">
        <f t="shared" si="98"/>
        <v>713307.1173050697</v>
      </c>
      <c r="J319" s="125">
        <f t="shared" si="98"/>
        <v>498343.01473819383</v>
      </c>
      <c r="K319" s="125">
        <f t="shared" si="98"/>
        <v>316173.60475369671</v>
      </c>
      <c r="L319" s="125">
        <f t="shared" si="98"/>
        <v>183082.13571434151</v>
      </c>
      <c r="M319" s="125">
        <f t="shared" si="98"/>
        <v>0</v>
      </c>
      <c r="N319" s="125">
        <f t="shared" si="98"/>
        <v>0</v>
      </c>
      <c r="O319" s="125">
        <f t="shared" si="98"/>
        <v>0</v>
      </c>
      <c r="P319" s="125">
        <f t="shared" si="98"/>
        <v>0</v>
      </c>
      <c r="Q319" s="125">
        <f t="shared" si="98"/>
        <v>0</v>
      </c>
      <c r="R319" s="125">
        <f t="shared" si="98"/>
        <v>0</v>
      </c>
      <c r="S319" s="125">
        <f t="shared" si="98"/>
        <v>0</v>
      </c>
      <c r="T319" s="125">
        <f t="shared" si="98"/>
        <v>0</v>
      </c>
      <c r="U319" s="125">
        <f t="shared" si="98"/>
        <v>0</v>
      </c>
      <c r="V319" s="125">
        <f t="shared" si="98"/>
        <v>0</v>
      </c>
      <c r="W319" s="125"/>
    </row>
    <row r="320" spans="2:23" x14ac:dyDescent="0.45">
      <c r="B320" s="44" t="s">
        <v>224</v>
      </c>
      <c r="C320" s="94">
        <f>IFERROR(SUM(C318:C319)/SUM(C317:C318),0)</f>
        <v>3.3177363321455308E-2</v>
      </c>
      <c r="D320" s="94">
        <f t="shared" ref="D320:V320" si="99">IFERROR(SUM(D318:D319)/SUM(D317:D318),0)</f>
        <v>3.5381186815890073E-2</v>
      </c>
      <c r="E320" s="94">
        <f t="shared" si="99"/>
        <v>2.762049182956415E-2</v>
      </c>
      <c r="F320" s="94">
        <f t="shared" si="99"/>
        <v>1.5401809231691507E-2</v>
      </c>
      <c r="G320" s="94">
        <f t="shared" si="99"/>
        <v>2.0875404191599632E-2</v>
      </c>
      <c r="H320" s="94">
        <f t="shared" si="99"/>
        <v>2.1339667744981528E-2</v>
      </c>
      <c r="I320" s="94">
        <f t="shared" si="99"/>
        <v>1.5441621195843488E-2</v>
      </c>
      <c r="J320" s="94">
        <f t="shared" si="99"/>
        <v>1.6907298851979641E-2</v>
      </c>
      <c r="K320" s="94">
        <f t="shared" si="99"/>
        <v>1.7136516361381363E-2</v>
      </c>
      <c r="L320" s="94">
        <f t="shared" si="99"/>
        <v>1.966686085771482E-3</v>
      </c>
      <c r="M320" s="94">
        <f t="shared" si="99"/>
        <v>4.4047187035612518E-4</v>
      </c>
      <c r="N320" s="94">
        <f t="shared" si="99"/>
        <v>1.2382290986668737E-3</v>
      </c>
      <c r="O320" s="94">
        <f t="shared" si="99"/>
        <v>0</v>
      </c>
      <c r="P320" s="94">
        <f t="shared" si="99"/>
        <v>0</v>
      </c>
      <c r="Q320" s="94">
        <f t="shared" si="99"/>
        <v>0</v>
      </c>
      <c r="R320" s="94">
        <f t="shared" si="99"/>
        <v>0</v>
      </c>
      <c r="S320" s="94">
        <f t="shared" si="99"/>
        <v>0</v>
      </c>
      <c r="T320" s="94">
        <f t="shared" si="99"/>
        <v>0</v>
      </c>
      <c r="U320" s="94">
        <f t="shared" si="99"/>
        <v>0</v>
      </c>
      <c r="V320" s="94">
        <f t="shared" si="99"/>
        <v>0</v>
      </c>
      <c r="W320" s="94">
        <f>AVERAGE(C320:V320)</f>
        <v>1.0346337329959057E-2</v>
      </c>
    </row>
    <row r="321" spans="1:23" x14ac:dyDescent="0.45">
      <c r="B321" s="44"/>
      <c r="C321" s="94"/>
      <c r="D321" s="94"/>
      <c r="E321" s="94"/>
      <c r="F321" s="94"/>
      <c r="G321" s="94"/>
      <c r="H321" s="94"/>
      <c r="I321" s="94"/>
      <c r="J321" s="94"/>
      <c r="K321" s="94"/>
      <c r="L321" s="94"/>
      <c r="M321" s="94"/>
      <c r="N321" s="94"/>
      <c r="O321" s="94"/>
      <c r="P321" s="94"/>
      <c r="Q321" s="94"/>
      <c r="R321" s="94"/>
      <c r="S321" s="94"/>
      <c r="T321" s="94"/>
      <c r="U321" s="94"/>
      <c r="V321" s="94"/>
      <c r="W321" s="94"/>
    </row>
    <row r="322" spans="1:23" x14ac:dyDescent="0.45">
      <c r="B322" s="44" t="s">
        <v>82</v>
      </c>
      <c r="C322" s="3">
        <f t="shared" ref="C322:V322" si="100">SUM(C317:C318)*C$129</f>
        <v>562161691.55613744</v>
      </c>
      <c r="D322" s="3">
        <f t="shared" si="100"/>
        <v>569077419.57671976</v>
      </c>
      <c r="E322" s="3">
        <f t="shared" si="100"/>
        <v>513129395.13823181</v>
      </c>
      <c r="F322" s="3">
        <f t="shared" si="100"/>
        <v>453159359.83351612</v>
      </c>
      <c r="G322" s="3">
        <f t="shared" si="100"/>
        <v>379193666.85538334</v>
      </c>
      <c r="H322" s="3">
        <f t="shared" si="100"/>
        <v>309593889.01631606</v>
      </c>
      <c r="I322" s="3">
        <f t="shared" si="100"/>
        <v>269773738.1954031</v>
      </c>
      <c r="J322" s="3">
        <f t="shared" si="100"/>
        <v>212316074.94396168</v>
      </c>
      <c r="K322" s="3">
        <f t="shared" si="100"/>
        <v>154784491.61664623</v>
      </c>
      <c r="L322" s="3">
        <f t="shared" si="100"/>
        <v>102806022.96254174</v>
      </c>
      <c r="M322" s="3">
        <f t="shared" si="100"/>
        <v>56838443.226389594</v>
      </c>
      <c r="N322" s="3">
        <f t="shared" si="100"/>
        <v>19241032.05163246</v>
      </c>
      <c r="O322" s="3">
        <f t="shared" si="100"/>
        <v>0</v>
      </c>
      <c r="P322" s="3">
        <f t="shared" si="100"/>
        <v>0</v>
      </c>
      <c r="Q322" s="3">
        <f t="shared" si="100"/>
        <v>0</v>
      </c>
      <c r="R322" s="3">
        <f t="shared" si="100"/>
        <v>0</v>
      </c>
      <c r="S322" s="3">
        <f t="shared" si="100"/>
        <v>0</v>
      </c>
      <c r="T322" s="3">
        <f t="shared" si="100"/>
        <v>0</v>
      </c>
      <c r="U322" s="3">
        <f t="shared" si="100"/>
        <v>0</v>
      </c>
      <c r="V322" s="3">
        <f t="shared" si="100"/>
        <v>0</v>
      </c>
      <c r="W322" s="3"/>
    </row>
    <row r="323" spans="1:23" x14ac:dyDescent="0.45">
      <c r="B323" s="44" t="s">
        <v>225</v>
      </c>
      <c r="C323" s="93">
        <f>SUM(C322:V322)</f>
        <v>3602075224.9728789</v>
      </c>
    </row>
    <row r="324" spans="1:23" x14ac:dyDescent="0.45">
      <c r="B324" s="44"/>
    </row>
    <row r="325" spans="1:23" x14ac:dyDescent="0.45">
      <c r="B325" s="44"/>
    </row>
    <row r="326" spans="1:23" x14ac:dyDescent="0.45">
      <c r="B326" s="44"/>
    </row>
    <row r="327" spans="1:23" x14ac:dyDescent="0.45">
      <c r="B327" s="44"/>
    </row>
    <row r="328" spans="1:23" ht="21" x14ac:dyDescent="0.45">
      <c r="A328" s="82" t="s">
        <v>226</v>
      </c>
      <c r="B328" s="44"/>
    </row>
    <row r="329" spans="1:23" ht="15" customHeight="1" x14ac:dyDescent="0.45">
      <c r="A329" s="82"/>
      <c r="B329" s="44"/>
    </row>
    <row r="330" spans="1:23" ht="15" customHeight="1" x14ac:dyDescent="0.5">
      <c r="A330" s="57" t="s">
        <v>227</v>
      </c>
      <c r="B330" s="44"/>
    </row>
    <row r="331" spans="1:23" x14ac:dyDescent="0.45">
      <c r="C331" s="47">
        <v>1</v>
      </c>
      <c r="D331" s="47">
        <v>2</v>
      </c>
      <c r="E331" s="47">
        <v>3</v>
      </c>
      <c r="F331" s="47">
        <v>4</v>
      </c>
      <c r="G331" s="47">
        <v>5</v>
      </c>
      <c r="H331" s="47">
        <v>6</v>
      </c>
      <c r="I331" s="47">
        <v>7</v>
      </c>
      <c r="J331" s="47">
        <v>8</v>
      </c>
      <c r="K331" s="47">
        <v>9</v>
      </c>
      <c r="L331" s="47">
        <v>10</v>
      </c>
      <c r="M331" s="47">
        <v>11</v>
      </c>
      <c r="N331" s="47">
        <v>12</v>
      </c>
      <c r="O331" s="47">
        <v>13</v>
      </c>
      <c r="P331" s="47">
        <v>14</v>
      </c>
      <c r="Q331" s="47">
        <v>15</v>
      </c>
      <c r="R331" s="47">
        <v>16</v>
      </c>
      <c r="S331" s="47">
        <v>17</v>
      </c>
      <c r="T331" s="47">
        <v>18</v>
      </c>
      <c r="U331" s="47">
        <v>19</v>
      </c>
      <c r="V331" s="47">
        <v>20</v>
      </c>
      <c r="W331" s="47"/>
    </row>
    <row r="332" spans="1:23" x14ac:dyDescent="0.45">
      <c r="C332" s="17" t="s">
        <v>5</v>
      </c>
      <c r="D332" s="17" t="s">
        <v>6</v>
      </c>
      <c r="E332" s="58" t="s">
        <v>7</v>
      </c>
      <c r="F332" s="58" t="s">
        <v>8</v>
      </c>
      <c r="G332" s="17" t="s">
        <v>9</v>
      </c>
      <c r="H332" s="17" t="s">
        <v>10</v>
      </c>
      <c r="I332" s="17" t="s">
        <v>11</v>
      </c>
      <c r="J332" s="17" t="s">
        <v>12</v>
      </c>
      <c r="K332" s="17" t="s">
        <v>13</v>
      </c>
      <c r="L332" s="17" t="s">
        <v>14</v>
      </c>
      <c r="M332" s="17" t="s">
        <v>49</v>
      </c>
      <c r="N332" s="17" t="s">
        <v>50</v>
      </c>
      <c r="O332" s="17" t="s">
        <v>51</v>
      </c>
      <c r="P332" s="17" t="s">
        <v>52</v>
      </c>
      <c r="Q332" s="17" t="s">
        <v>53</v>
      </c>
      <c r="R332" s="17" t="s">
        <v>54</v>
      </c>
      <c r="S332" s="17" t="s">
        <v>55</v>
      </c>
      <c r="T332" s="17" t="s">
        <v>56</v>
      </c>
      <c r="U332" s="17" t="s">
        <v>57</v>
      </c>
      <c r="V332" s="17" t="s">
        <v>58</v>
      </c>
      <c r="W332" s="17"/>
    </row>
    <row r="333" spans="1:23" x14ac:dyDescent="0.45">
      <c r="B333" s="44" t="s">
        <v>87</v>
      </c>
      <c r="C333" s="87">
        <f t="shared" ref="C333:V333" si="101">C238+C306</f>
        <v>580937388.5829699</v>
      </c>
      <c r="D333" s="87">
        <f t="shared" si="101"/>
        <v>606106391.66549516</v>
      </c>
      <c r="E333" s="87">
        <f t="shared" si="101"/>
        <v>570013753.09188628</v>
      </c>
      <c r="F333" s="87">
        <f t="shared" si="101"/>
        <v>524591039.78072608</v>
      </c>
      <c r="G333" s="87">
        <f t="shared" si="101"/>
        <v>498351382.23281997</v>
      </c>
      <c r="H333" s="87">
        <f t="shared" si="101"/>
        <v>450955579.77383912</v>
      </c>
      <c r="I333" s="87">
        <f t="shared" si="101"/>
        <v>442281308.35500735</v>
      </c>
      <c r="J333" s="87">
        <f t="shared" si="101"/>
        <v>399107444.47093987</v>
      </c>
      <c r="K333" s="87">
        <f t="shared" si="101"/>
        <v>355820349.27118129</v>
      </c>
      <c r="L333" s="87">
        <f t="shared" si="101"/>
        <v>320831057.42094803</v>
      </c>
      <c r="M333" s="87">
        <f t="shared" si="101"/>
        <v>276683909.88697052</v>
      </c>
      <c r="N333" s="87">
        <f t="shared" si="101"/>
        <v>238883095.61030963</v>
      </c>
      <c r="O333" s="87">
        <f t="shared" si="101"/>
        <v>215279820.69136807</v>
      </c>
      <c r="P333" s="87">
        <f t="shared" si="101"/>
        <v>205747628.5648286</v>
      </c>
      <c r="Q333" s="87">
        <f t="shared" si="101"/>
        <v>195209913.53446481</v>
      </c>
      <c r="R333" s="87">
        <f t="shared" si="101"/>
        <v>183064436.04348361</v>
      </c>
      <c r="S333" s="87">
        <f t="shared" si="101"/>
        <v>170989937.84097013</v>
      </c>
      <c r="T333" s="87">
        <f t="shared" si="101"/>
        <v>158792396.94355997</v>
      </c>
      <c r="U333" s="87">
        <f t="shared" si="101"/>
        <v>146752687.4117403</v>
      </c>
      <c r="V333" s="87">
        <f t="shared" si="101"/>
        <v>135919882.52124977</v>
      </c>
      <c r="W333" s="87"/>
    </row>
    <row r="334" spans="1:23" x14ac:dyDescent="0.45">
      <c r="B334" s="44" t="s">
        <v>88</v>
      </c>
      <c r="C334" s="87">
        <f t="shared" ref="C334:V334" si="102">C278+C306</f>
        <v>583750612.3337512</v>
      </c>
      <c r="D334" s="87">
        <f t="shared" si="102"/>
        <v>611085320.84762144</v>
      </c>
      <c r="E334" s="87">
        <f t="shared" si="102"/>
        <v>576608271.121714</v>
      </c>
      <c r="F334" s="87">
        <f t="shared" si="102"/>
        <v>532611866.60440159</v>
      </c>
      <c r="G334" s="87">
        <f t="shared" si="102"/>
        <v>508846508.38611639</v>
      </c>
      <c r="H334" s="87">
        <f t="shared" si="102"/>
        <v>463820789.60697281</v>
      </c>
      <c r="I334" s="87">
        <f t="shared" si="102"/>
        <v>454502079.55886757</v>
      </c>
      <c r="J334" s="87">
        <f t="shared" si="102"/>
        <v>410441576.10381776</v>
      </c>
      <c r="K334" s="87">
        <f t="shared" si="102"/>
        <v>364646082.00562501</v>
      </c>
      <c r="L334" s="87">
        <f t="shared" si="102"/>
        <v>330415028.20659697</v>
      </c>
      <c r="M334" s="87">
        <f t="shared" si="102"/>
        <v>286350273.20841324</v>
      </c>
      <c r="N334" s="87">
        <f t="shared" si="102"/>
        <v>248457360.41447008</v>
      </c>
      <c r="O334" s="87">
        <f t="shared" si="102"/>
        <v>224639391.78146344</v>
      </c>
      <c r="P334" s="87">
        <f t="shared" si="102"/>
        <v>214754925.16207075</v>
      </c>
      <c r="Q334" s="87">
        <f t="shared" si="102"/>
        <v>203795211.62497354</v>
      </c>
      <c r="R334" s="87">
        <f t="shared" si="102"/>
        <v>191157609.71326163</v>
      </c>
      <c r="S334" s="87">
        <f t="shared" si="102"/>
        <v>178573399.61524266</v>
      </c>
      <c r="T334" s="87">
        <f t="shared" si="102"/>
        <v>165856829.66685656</v>
      </c>
      <c r="U334" s="87">
        <f t="shared" si="102"/>
        <v>153299891.04778904</v>
      </c>
      <c r="V334" s="87">
        <f t="shared" si="102"/>
        <v>141987726.48422357</v>
      </c>
      <c r="W334" s="87"/>
    </row>
    <row r="335" spans="1:23" x14ac:dyDescent="0.45">
      <c r="B335" s="44" t="s">
        <v>89</v>
      </c>
      <c r="C335" s="87">
        <f t="shared" ref="C335:V335" si="103">C258+C306</f>
        <v>578124164.83218849</v>
      </c>
      <c r="D335" s="87">
        <f t="shared" si="103"/>
        <v>601127462.48336887</v>
      </c>
      <c r="E335" s="87">
        <f t="shared" si="103"/>
        <v>563419235.06205869</v>
      </c>
      <c r="F335" s="87">
        <f t="shared" si="103"/>
        <v>516570212.95705056</v>
      </c>
      <c r="G335" s="87">
        <f t="shared" si="103"/>
        <v>487856256.07952356</v>
      </c>
      <c r="H335" s="87">
        <f t="shared" si="103"/>
        <v>438090369.94070548</v>
      </c>
      <c r="I335" s="87">
        <f t="shared" si="103"/>
        <v>430060537.15114713</v>
      </c>
      <c r="J335" s="87">
        <f t="shared" si="103"/>
        <v>387773312.83806193</v>
      </c>
      <c r="K335" s="87">
        <f t="shared" si="103"/>
        <v>346994616.53673762</v>
      </c>
      <c r="L335" s="87">
        <f t="shared" si="103"/>
        <v>311247086.63529915</v>
      </c>
      <c r="M335" s="87">
        <f t="shared" si="103"/>
        <v>267017546.56552774</v>
      </c>
      <c r="N335" s="87">
        <f t="shared" si="103"/>
        <v>229308830.80614915</v>
      </c>
      <c r="O335" s="87">
        <f t="shared" si="103"/>
        <v>205920249.60127267</v>
      </c>
      <c r="P335" s="87">
        <f t="shared" si="103"/>
        <v>196740331.9675864</v>
      </c>
      <c r="Q335" s="87">
        <f t="shared" si="103"/>
        <v>186624615.44395605</v>
      </c>
      <c r="R335" s="87">
        <f t="shared" si="103"/>
        <v>174971262.37370566</v>
      </c>
      <c r="S335" s="87">
        <f t="shared" si="103"/>
        <v>163406476.06669766</v>
      </c>
      <c r="T335" s="87">
        <f t="shared" si="103"/>
        <v>151727964.22026339</v>
      </c>
      <c r="U335" s="87">
        <f t="shared" si="103"/>
        <v>140205483.77569157</v>
      </c>
      <c r="V335" s="87">
        <f t="shared" si="103"/>
        <v>129852038.55827595</v>
      </c>
      <c r="W335" s="87"/>
    </row>
    <row r="336" spans="1:23" x14ac:dyDescent="0.45">
      <c r="B336" s="44"/>
      <c r="C336" s="1"/>
      <c r="D336" s="1"/>
      <c r="E336" s="1"/>
      <c r="F336" s="1"/>
      <c r="G336" s="1"/>
      <c r="H336" s="1"/>
      <c r="I336" s="1"/>
      <c r="J336" s="1"/>
      <c r="K336" s="1"/>
      <c r="L336" s="1"/>
      <c r="M336" s="1"/>
      <c r="N336" s="1"/>
      <c r="O336" s="1"/>
      <c r="P336" s="1"/>
      <c r="Q336" s="1"/>
      <c r="R336" s="1"/>
      <c r="S336" s="1"/>
      <c r="T336" s="1"/>
      <c r="U336" s="1"/>
      <c r="V336" s="1"/>
      <c r="W336" s="1"/>
    </row>
    <row r="337" spans="1:23" x14ac:dyDescent="0.45">
      <c r="B337" s="44" t="s">
        <v>96</v>
      </c>
      <c r="C337" s="87">
        <f>SUM($C333:C333)</f>
        <v>580937388.5829699</v>
      </c>
      <c r="D337" s="87">
        <f>SUM($C333:D333)</f>
        <v>1187043780.2484651</v>
      </c>
      <c r="E337" s="87">
        <f>SUM($C333:E333)</f>
        <v>1757057533.3403513</v>
      </c>
      <c r="F337" s="87">
        <f>SUM($C333:F333)</f>
        <v>2281648573.1210775</v>
      </c>
      <c r="G337" s="87">
        <f>SUM($C333:G333)</f>
        <v>2779999955.3538976</v>
      </c>
      <c r="H337" s="87">
        <f>SUM($C333:H333)</f>
        <v>3230955535.1277366</v>
      </c>
      <c r="I337" s="87">
        <f>SUM($C333:I333)</f>
        <v>3673236843.4827437</v>
      </c>
      <c r="J337" s="87">
        <f>SUM($C333:J333)</f>
        <v>4072344287.9536839</v>
      </c>
      <c r="K337" s="87">
        <f>SUM($C333:K333)</f>
        <v>4428164637.224865</v>
      </c>
      <c r="L337" s="87">
        <f>SUM($C333:L333)</f>
        <v>4748995694.645813</v>
      </c>
      <c r="M337" s="87">
        <f>SUM($C333:M333)</f>
        <v>5025679604.5327835</v>
      </c>
      <c r="N337" s="87">
        <f>SUM($C333:N333)</f>
        <v>5264562700.1430931</v>
      </c>
      <c r="O337" s="87">
        <f>SUM($C333:O333)</f>
        <v>5479842520.8344612</v>
      </c>
      <c r="P337" s="87">
        <f>SUM($C333:P333)</f>
        <v>5685590149.3992901</v>
      </c>
      <c r="Q337" s="87">
        <f>SUM($C333:Q333)</f>
        <v>5880800062.9337549</v>
      </c>
      <c r="R337" s="87">
        <f>SUM($C333:R333)</f>
        <v>6063864498.9772387</v>
      </c>
      <c r="S337" s="87">
        <f>SUM($C333:S333)</f>
        <v>6234854436.8182087</v>
      </c>
      <c r="T337" s="87">
        <f>SUM($C333:T333)</f>
        <v>6393646833.7617683</v>
      </c>
      <c r="U337" s="87">
        <f>SUM($C333:U333)</f>
        <v>6540399521.1735086</v>
      </c>
      <c r="V337" s="87">
        <f>SUM($C333:V333)</f>
        <v>6676319403.6947584</v>
      </c>
      <c r="W337" s="87"/>
    </row>
    <row r="338" spans="1:23" x14ac:dyDescent="0.45">
      <c r="B338" s="44" t="s">
        <v>97</v>
      </c>
      <c r="C338" s="87">
        <f>SUM($C334:C334)</f>
        <v>583750612.3337512</v>
      </c>
      <c r="D338" s="87">
        <f>SUM($C334:D334)</f>
        <v>1194835933.1813726</v>
      </c>
      <c r="E338" s="87">
        <f>SUM($C334:E334)</f>
        <v>1771444204.3030868</v>
      </c>
      <c r="F338" s="87">
        <f>SUM($C334:F334)</f>
        <v>2304056070.9074883</v>
      </c>
      <c r="G338" s="87">
        <f>SUM($C334:G334)</f>
        <v>2812902579.2936049</v>
      </c>
      <c r="H338" s="87">
        <f>SUM($C334:H334)</f>
        <v>3276723368.9005775</v>
      </c>
      <c r="I338" s="87">
        <f>SUM($C334:I334)</f>
        <v>3731225448.459445</v>
      </c>
      <c r="J338" s="87">
        <f>SUM($C334:J334)</f>
        <v>4141667024.5632629</v>
      </c>
      <c r="K338" s="87">
        <f>SUM($C334:K334)</f>
        <v>4506313106.5688877</v>
      </c>
      <c r="L338" s="87">
        <f>SUM($C334:L334)</f>
        <v>4836728134.775485</v>
      </c>
      <c r="M338" s="87">
        <f>SUM($C334:M334)</f>
        <v>5123078407.9838982</v>
      </c>
      <c r="N338" s="87">
        <f>SUM($C334:N334)</f>
        <v>5371535768.3983679</v>
      </c>
      <c r="O338" s="87">
        <f>SUM($C334:O334)</f>
        <v>5596175160.1798315</v>
      </c>
      <c r="P338" s="87">
        <f>SUM($C334:P334)</f>
        <v>5810930085.3419018</v>
      </c>
      <c r="Q338" s="87">
        <f>SUM($C334:Q334)</f>
        <v>6014725296.9668751</v>
      </c>
      <c r="R338" s="87">
        <f>SUM($C334:R334)</f>
        <v>6205882906.6801367</v>
      </c>
      <c r="S338" s="87">
        <f>SUM($C334:S334)</f>
        <v>6384456306.2953796</v>
      </c>
      <c r="T338" s="87">
        <f>SUM($C334:T334)</f>
        <v>6550313135.9622364</v>
      </c>
      <c r="U338" s="87">
        <f>SUM($C334:U334)</f>
        <v>6703613027.010025</v>
      </c>
      <c r="V338" s="87">
        <f>SUM($C334:V334)</f>
        <v>6845600753.4942484</v>
      </c>
      <c r="W338" s="87"/>
    </row>
    <row r="339" spans="1:23" x14ac:dyDescent="0.45">
      <c r="B339" s="44" t="s">
        <v>98</v>
      </c>
      <c r="C339" s="87">
        <f>SUM($C335:C335)</f>
        <v>578124164.83218849</v>
      </c>
      <c r="D339" s="87">
        <f>SUM($C335:D335)</f>
        <v>1179251627.3155575</v>
      </c>
      <c r="E339" s="87">
        <f>SUM($C335:E335)</f>
        <v>1742670862.3776162</v>
      </c>
      <c r="F339" s="87">
        <f>SUM($C335:F335)</f>
        <v>2259241075.3346667</v>
      </c>
      <c r="G339" s="87">
        <f>SUM($C335:G335)</f>
        <v>2747097331.4141903</v>
      </c>
      <c r="H339" s="87">
        <f>SUM($C335:H335)</f>
        <v>3185187701.3548956</v>
      </c>
      <c r="I339" s="87">
        <f>SUM($C335:I335)</f>
        <v>3615248238.5060425</v>
      </c>
      <c r="J339" s="87">
        <f>SUM($C335:J335)</f>
        <v>4003021551.3441043</v>
      </c>
      <c r="K339" s="87">
        <f>SUM($C335:K335)</f>
        <v>4350016167.8808422</v>
      </c>
      <c r="L339" s="87">
        <f>SUM($C335:L335)</f>
        <v>4661263254.5161409</v>
      </c>
      <c r="M339" s="87">
        <f>SUM($C335:M335)</f>
        <v>4928280801.0816689</v>
      </c>
      <c r="N339" s="87">
        <f>SUM($C335:N335)</f>
        <v>5157589631.8878183</v>
      </c>
      <c r="O339" s="87">
        <f>SUM($C335:O335)</f>
        <v>5363509881.4890909</v>
      </c>
      <c r="P339" s="87">
        <f>SUM($C335:P335)</f>
        <v>5560250213.4566774</v>
      </c>
      <c r="Q339" s="87">
        <f>SUM($C335:Q335)</f>
        <v>5746874828.9006338</v>
      </c>
      <c r="R339" s="87">
        <f>SUM($C335:R335)</f>
        <v>5921846091.2743397</v>
      </c>
      <c r="S339" s="87">
        <f>SUM($C335:S335)</f>
        <v>6085252567.3410378</v>
      </c>
      <c r="T339" s="87">
        <f>SUM($C335:T335)</f>
        <v>6236980531.5613012</v>
      </c>
      <c r="U339" s="87">
        <f>SUM($C335:U335)</f>
        <v>6377186015.3369932</v>
      </c>
      <c r="V339" s="87">
        <f>SUM($C335:V335)</f>
        <v>6507038053.8952694</v>
      </c>
      <c r="W339" s="87"/>
    </row>
    <row r="340" spans="1:23" x14ac:dyDescent="0.45">
      <c r="B340" s="44"/>
      <c r="C340" s="1"/>
      <c r="D340" s="1"/>
      <c r="E340" s="1"/>
      <c r="F340" s="1"/>
      <c r="G340" s="1"/>
      <c r="H340" s="1"/>
      <c r="I340" s="1"/>
      <c r="J340" s="1"/>
      <c r="K340" s="1"/>
      <c r="L340" s="1"/>
      <c r="M340" s="1"/>
      <c r="N340" s="1"/>
      <c r="O340" s="1"/>
      <c r="P340" s="1"/>
      <c r="Q340" s="1"/>
      <c r="R340" s="1"/>
      <c r="S340" s="1"/>
      <c r="T340" s="1"/>
      <c r="U340" s="1"/>
      <c r="V340" s="1"/>
      <c r="W340" s="1"/>
    </row>
    <row r="341" spans="1:23" x14ac:dyDescent="0.45">
      <c r="B341" s="44" t="s">
        <v>228</v>
      </c>
      <c r="C341" s="87">
        <f>C221</f>
        <v>6300712135.0552063</v>
      </c>
      <c r="D341" s="87">
        <f t="shared" ref="D341:V341" si="104">C341</f>
        <v>6300712135.0552063</v>
      </c>
      <c r="E341" s="87">
        <f t="shared" si="104"/>
        <v>6300712135.0552063</v>
      </c>
      <c r="F341" s="87">
        <f t="shared" si="104"/>
        <v>6300712135.0552063</v>
      </c>
      <c r="G341" s="87">
        <f t="shared" si="104"/>
        <v>6300712135.0552063</v>
      </c>
      <c r="H341" s="87">
        <f>G341</f>
        <v>6300712135.0552063</v>
      </c>
      <c r="I341" s="87">
        <f t="shared" si="104"/>
        <v>6300712135.0552063</v>
      </c>
      <c r="J341" s="87">
        <f t="shared" si="104"/>
        <v>6300712135.0552063</v>
      </c>
      <c r="K341" s="87">
        <f t="shared" si="104"/>
        <v>6300712135.0552063</v>
      </c>
      <c r="L341" s="87">
        <f t="shared" si="104"/>
        <v>6300712135.0552063</v>
      </c>
      <c r="M341" s="87">
        <f t="shared" si="104"/>
        <v>6300712135.0552063</v>
      </c>
      <c r="N341" s="87">
        <f t="shared" si="104"/>
        <v>6300712135.0552063</v>
      </c>
      <c r="O341" s="87">
        <f t="shared" si="104"/>
        <v>6300712135.0552063</v>
      </c>
      <c r="P341" s="87">
        <f t="shared" si="104"/>
        <v>6300712135.0552063</v>
      </c>
      <c r="Q341" s="87">
        <f t="shared" si="104"/>
        <v>6300712135.0552063</v>
      </c>
      <c r="R341" s="87">
        <f t="shared" si="104"/>
        <v>6300712135.0552063</v>
      </c>
      <c r="S341" s="87">
        <f t="shared" si="104"/>
        <v>6300712135.0552063</v>
      </c>
      <c r="T341" s="87">
        <f t="shared" si="104"/>
        <v>6300712135.0552063</v>
      </c>
      <c r="U341" s="87">
        <f t="shared" si="104"/>
        <v>6300712135.0552063</v>
      </c>
      <c r="V341" s="87">
        <f t="shared" si="104"/>
        <v>6300712135.0552063</v>
      </c>
      <c r="W341" s="87"/>
    </row>
    <row r="342" spans="1:23" x14ac:dyDescent="0.45">
      <c r="B342" s="44" t="s">
        <v>229</v>
      </c>
      <c r="C342" s="87">
        <f>C222</f>
        <v>6772305578.3247585</v>
      </c>
      <c r="D342" s="87">
        <f t="shared" ref="D342:V342" si="105">C342</f>
        <v>6772305578.3247585</v>
      </c>
      <c r="E342" s="87">
        <f t="shared" si="105"/>
        <v>6772305578.3247585</v>
      </c>
      <c r="F342" s="87">
        <f t="shared" si="105"/>
        <v>6772305578.3247585</v>
      </c>
      <c r="G342" s="87">
        <f t="shared" si="105"/>
        <v>6772305578.3247585</v>
      </c>
      <c r="H342" s="87">
        <f t="shared" si="105"/>
        <v>6772305578.3247585</v>
      </c>
      <c r="I342" s="87">
        <f t="shared" si="105"/>
        <v>6772305578.3247585</v>
      </c>
      <c r="J342" s="87">
        <f t="shared" si="105"/>
        <v>6772305578.3247585</v>
      </c>
      <c r="K342" s="87">
        <f t="shared" si="105"/>
        <v>6772305578.3247585</v>
      </c>
      <c r="L342" s="87">
        <f t="shared" si="105"/>
        <v>6772305578.3247585</v>
      </c>
      <c r="M342" s="87">
        <f t="shared" si="105"/>
        <v>6772305578.3247585</v>
      </c>
      <c r="N342" s="87">
        <f t="shared" si="105"/>
        <v>6772305578.3247585</v>
      </c>
      <c r="O342" s="87">
        <f t="shared" si="105"/>
        <v>6772305578.3247585</v>
      </c>
      <c r="P342" s="87">
        <f t="shared" si="105"/>
        <v>6772305578.3247585</v>
      </c>
      <c r="Q342" s="87">
        <f t="shared" si="105"/>
        <v>6772305578.3247585</v>
      </c>
      <c r="R342" s="87">
        <f t="shared" si="105"/>
        <v>6772305578.3247585</v>
      </c>
      <c r="S342" s="87">
        <f t="shared" si="105"/>
        <v>6772305578.3247585</v>
      </c>
      <c r="T342" s="87">
        <f t="shared" si="105"/>
        <v>6772305578.3247585</v>
      </c>
      <c r="U342" s="87">
        <f t="shared" si="105"/>
        <v>6772305578.3247585</v>
      </c>
      <c r="V342" s="87">
        <f t="shared" si="105"/>
        <v>6772305578.3247585</v>
      </c>
      <c r="W342" s="87"/>
    </row>
    <row r="343" spans="1:23" x14ac:dyDescent="0.45">
      <c r="B343" s="44" t="s">
        <v>230</v>
      </c>
      <c r="C343" s="87">
        <f>C223</f>
        <v>5892523100.0652246</v>
      </c>
      <c r="D343" s="87">
        <f t="shared" ref="D343:V343" si="106">C343</f>
        <v>5892523100.0652246</v>
      </c>
      <c r="E343" s="87">
        <f t="shared" si="106"/>
        <v>5892523100.0652246</v>
      </c>
      <c r="F343" s="87">
        <f t="shared" si="106"/>
        <v>5892523100.0652246</v>
      </c>
      <c r="G343" s="87">
        <f t="shared" si="106"/>
        <v>5892523100.0652246</v>
      </c>
      <c r="H343" s="87">
        <f t="shared" si="106"/>
        <v>5892523100.0652246</v>
      </c>
      <c r="I343" s="87">
        <f t="shared" si="106"/>
        <v>5892523100.0652246</v>
      </c>
      <c r="J343" s="87">
        <f t="shared" si="106"/>
        <v>5892523100.0652246</v>
      </c>
      <c r="K343" s="87">
        <f t="shared" si="106"/>
        <v>5892523100.0652246</v>
      </c>
      <c r="L343" s="87">
        <f t="shared" si="106"/>
        <v>5892523100.0652246</v>
      </c>
      <c r="M343" s="87">
        <f t="shared" si="106"/>
        <v>5892523100.0652246</v>
      </c>
      <c r="N343" s="87">
        <f t="shared" si="106"/>
        <v>5892523100.0652246</v>
      </c>
      <c r="O343" s="87">
        <f t="shared" si="106"/>
        <v>5892523100.0652246</v>
      </c>
      <c r="P343" s="87">
        <f t="shared" si="106"/>
        <v>5892523100.0652246</v>
      </c>
      <c r="Q343" s="87">
        <f t="shared" si="106"/>
        <v>5892523100.0652246</v>
      </c>
      <c r="R343" s="87">
        <f t="shared" si="106"/>
        <v>5892523100.0652246</v>
      </c>
      <c r="S343" s="87">
        <f t="shared" si="106"/>
        <v>5892523100.0652246</v>
      </c>
      <c r="T343" s="87">
        <f t="shared" si="106"/>
        <v>5892523100.0652246</v>
      </c>
      <c r="U343" s="87">
        <f t="shared" si="106"/>
        <v>5892523100.0652246</v>
      </c>
      <c r="V343" s="87">
        <f t="shared" si="106"/>
        <v>5892523100.0652246</v>
      </c>
      <c r="W343" s="87"/>
    </row>
    <row r="344" spans="1:23" x14ac:dyDescent="0.45">
      <c r="B344" s="44"/>
      <c r="C344" s="1"/>
      <c r="D344" s="1"/>
      <c r="E344" s="1"/>
      <c r="F344" s="1"/>
      <c r="G344" s="1"/>
      <c r="H344" s="1"/>
      <c r="I344" s="1"/>
      <c r="J344" s="1"/>
      <c r="K344" s="1"/>
      <c r="L344" s="1"/>
      <c r="M344" s="1"/>
      <c r="N344" s="1"/>
      <c r="O344" s="1"/>
      <c r="P344" s="1"/>
      <c r="Q344" s="1"/>
      <c r="R344" s="1"/>
      <c r="S344" s="1"/>
      <c r="T344" s="1"/>
      <c r="U344" s="1"/>
      <c r="V344" s="1"/>
      <c r="W344" s="1"/>
    </row>
    <row r="345" spans="1:23" x14ac:dyDescent="0.45">
      <c r="B345" s="44"/>
      <c r="C345" s="1"/>
      <c r="D345" s="1"/>
      <c r="E345" s="1"/>
      <c r="F345" s="1"/>
      <c r="G345" s="1"/>
      <c r="H345" s="1"/>
      <c r="I345" s="1"/>
      <c r="J345" s="1"/>
      <c r="K345" s="1"/>
      <c r="L345" s="1"/>
      <c r="M345" s="1"/>
      <c r="N345" s="1"/>
      <c r="O345" s="1"/>
      <c r="P345" s="1"/>
      <c r="Q345" s="1"/>
      <c r="R345" s="1"/>
      <c r="S345" s="1"/>
      <c r="T345" s="1"/>
      <c r="U345" s="1"/>
      <c r="V345" s="1"/>
      <c r="W345" s="1"/>
    </row>
    <row r="346" spans="1:23" ht="15.75" x14ac:dyDescent="0.5">
      <c r="A346" s="57" t="s">
        <v>231</v>
      </c>
      <c r="B346" s="44"/>
      <c r="C346" s="1"/>
      <c r="D346" s="1"/>
      <c r="E346" s="1"/>
      <c r="F346" s="1"/>
      <c r="G346" s="1"/>
      <c r="H346" s="1"/>
      <c r="I346" s="1"/>
      <c r="J346" s="1"/>
      <c r="K346" s="1"/>
      <c r="L346" s="1"/>
      <c r="M346" s="1"/>
      <c r="N346" s="1"/>
      <c r="O346" s="1"/>
      <c r="P346" s="1"/>
      <c r="Q346" s="1"/>
      <c r="R346" s="1"/>
      <c r="S346" s="1"/>
      <c r="T346" s="1"/>
      <c r="U346" s="1"/>
      <c r="V346" s="1"/>
      <c r="W346" s="1"/>
    </row>
    <row r="347" spans="1:23" x14ac:dyDescent="0.45">
      <c r="B347" s="44"/>
      <c r="C347" s="47">
        <v>1</v>
      </c>
      <c r="D347" s="47">
        <v>2</v>
      </c>
      <c r="E347" s="47">
        <v>3</v>
      </c>
      <c r="F347" s="47">
        <v>4</v>
      </c>
      <c r="G347" s="47">
        <v>5</v>
      </c>
      <c r="H347" s="47">
        <v>6</v>
      </c>
      <c r="I347" s="47">
        <v>7</v>
      </c>
      <c r="J347" s="47">
        <v>8</v>
      </c>
      <c r="K347" s="47">
        <v>9</v>
      </c>
      <c r="L347" s="47">
        <v>10</v>
      </c>
      <c r="M347" s="47">
        <v>11</v>
      </c>
      <c r="N347" s="47">
        <v>12</v>
      </c>
      <c r="O347" s="47">
        <v>13</v>
      </c>
      <c r="P347" s="47">
        <v>14</v>
      </c>
      <c r="Q347" s="47">
        <v>15</v>
      </c>
      <c r="R347" s="47">
        <v>16</v>
      </c>
      <c r="S347" s="47">
        <v>17</v>
      </c>
      <c r="T347" s="47">
        <v>18</v>
      </c>
      <c r="U347" s="47">
        <v>19</v>
      </c>
      <c r="V347" s="47">
        <v>20</v>
      </c>
      <c r="W347" s="47"/>
    </row>
    <row r="348" spans="1:23" x14ac:dyDescent="0.45">
      <c r="C348" s="17" t="s">
        <v>5</v>
      </c>
      <c r="D348" s="17" t="s">
        <v>6</v>
      </c>
      <c r="E348" s="58" t="s">
        <v>7</v>
      </c>
      <c r="F348" s="58" t="s">
        <v>8</v>
      </c>
      <c r="G348" s="17" t="s">
        <v>9</v>
      </c>
      <c r="H348" s="17" t="s">
        <v>10</v>
      </c>
      <c r="I348" s="17" t="s">
        <v>11</v>
      </c>
      <c r="J348" s="17" t="s">
        <v>12</v>
      </c>
      <c r="K348" s="17" t="s">
        <v>13</v>
      </c>
      <c r="L348" s="17" t="s">
        <v>14</v>
      </c>
      <c r="M348" s="17" t="s">
        <v>49</v>
      </c>
      <c r="N348" s="17" t="s">
        <v>50</v>
      </c>
      <c r="O348" s="17" t="s">
        <v>51</v>
      </c>
      <c r="P348" s="17" t="s">
        <v>52</v>
      </c>
      <c r="Q348" s="17" t="s">
        <v>53</v>
      </c>
      <c r="R348" s="17" t="s">
        <v>54</v>
      </c>
      <c r="S348" s="17" t="s">
        <v>55</v>
      </c>
      <c r="T348" s="17" t="s">
        <v>56</v>
      </c>
      <c r="U348" s="17" t="s">
        <v>57</v>
      </c>
      <c r="V348" s="17" t="s">
        <v>58</v>
      </c>
      <c r="W348" s="17"/>
    </row>
    <row r="349" spans="1:23" x14ac:dyDescent="0.45">
      <c r="B349" s="44" t="s">
        <v>87</v>
      </c>
      <c r="C349" s="87">
        <f t="shared" ref="C349:V349" si="107">C247+C322</f>
        <v>580937388.5829699</v>
      </c>
      <c r="D349" s="87">
        <f t="shared" si="107"/>
        <v>606106391.66549516</v>
      </c>
      <c r="E349" s="87">
        <f t="shared" si="107"/>
        <v>570013753.09188628</v>
      </c>
      <c r="F349" s="87">
        <f t="shared" si="107"/>
        <v>524591039.78072608</v>
      </c>
      <c r="G349" s="87">
        <f t="shared" si="107"/>
        <v>498351382.23281997</v>
      </c>
      <c r="H349" s="87">
        <f t="shared" si="107"/>
        <v>459870166.25095057</v>
      </c>
      <c r="I349" s="87">
        <f t="shared" si="107"/>
        <v>459051047.40094841</v>
      </c>
      <c r="J349" s="87">
        <f t="shared" si="107"/>
        <v>422104745.00895536</v>
      </c>
      <c r="K349" s="87">
        <f t="shared" si="107"/>
        <v>383225969.49944299</v>
      </c>
      <c r="L349" s="87">
        <f t="shared" si="107"/>
        <v>351432919.54808319</v>
      </c>
      <c r="M349" s="87">
        <f t="shared" si="107"/>
        <v>303015547.84071463</v>
      </c>
      <c r="N349" s="87">
        <f t="shared" si="107"/>
        <v>261378354.6957303</v>
      </c>
      <c r="O349" s="87">
        <f t="shared" si="107"/>
        <v>235450645.26795167</v>
      </c>
      <c r="P349" s="87">
        <f t="shared" si="107"/>
        <v>225159265.89557067</v>
      </c>
      <c r="Q349" s="87">
        <f t="shared" si="107"/>
        <v>213712101.30080238</v>
      </c>
      <c r="R349" s="87">
        <f t="shared" si="107"/>
        <v>200506045.79135653</v>
      </c>
      <c r="S349" s="87">
        <f t="shared" si="107"/>
        <v>187333066.77921289</v>
      </c>
      <c r="T349" s="87">
        <f t="shared" si="107"/>
        <v>174016965.65755641</v>
      </c>
      <c r="U349" s="87">
        <f t="shared" si="107"/>
        <v>160862575.00580558</v>
      </c>
      <c r="V349" s="87">
        <f t="shared" si="107"/>
        <v>148996701.42214435</v>
      </c>
      <c r="W349" s="87"/>
    </row>
    <row r="350" spans="1:23" x14ac:dyDescent="0.45">
      <c r="B350" s="44" t="s">
        <v>88</v>
      </c>
      <c r="C350" s="87">
        <f t="shared" ref="C350:V350" si="108">C287+C322</f>
        <v>583750612.3337512</v>
      </c>
      <c r="D350" s="87">
        <f t="shared" si="108"/>
        <v>611085320.84762144</v>
      </c>
      <c r="E350" s="87">
        <f t="shared" si="108"/>
        <v>576608271.121714</v>
      </c>
      <c r="F350" s="87">
        <f t="shared" si="108"/>
        <v>532611866.60440159</v>
      </c>
      <c r="G350" s="87">
        <f t="shared" si="108"/>
        <v>508846508.38611639</v>
      </c>
      <c r="H350" s="87">
        <f t="shared" si="108"/>
        <v>472735376.08408421</v>
      </c>
      <c r="I350" s="87">
        <f t="shared" si="108"/>
        <v>471271818.60480869</v>
      </c>
      <c r="J350" s="87">
        <f t="shared" si="108"/>
        <v>433438876.64183319</v>
      </c>
      <c r="K350" s="87">
        <f t="shared" si="108"/>
        <v>392051702.23388666</v>
      </c>
      <c r="L350" s="87">
        <f t="shared" si="108"/>
        <v>361016890.33373207</v>
      </c>
      <c r="M350" s="87">
        <f t="shared" si="108"/>
        <v>312681911.16215742</v>
      </c>
      <c r="N350" s="87">
        <f t="shared" si="108"/>
        <v>270952619.49989074</v>
      </c>
      <c r="O350" s="87">
        <f t="shared" si="108"/>
        <v>244810216.35804707</v>
      </c>
      <c r="P350" s="87">
        <f t="shared" si="108"/>
        <v>234166562.49281287</v>
      </c>
      <c r="Q350" s="87">
        <f t="shared" si="108"/>
        <v>222297399.3913112</v>
      </c>
      <c r="R350" s="87">
        <f t="shared" si="108"/>
        <v>208599219.46113449</v>
      </c>
      <c r="S350" s="87">
        <f t="shared" si="108"/>
        <v>194916528.55348539</v>
      </c>
      <c r="T350" s="87">
        <f t="shared" si="108"/>
        <v>181081398.380853</v>
      </c>
      <c r="U350" s="87">
        <f t="shared" si="108"/>
        <v>167409778.64185432</v>
      </c>
      <c r="V350" s="87">
        <f t="shared" si="108"/>
        <v>155064545.38511816</v>
      </c>
      <c r="W350" s="87"/>
    </row>
    <row r="351" spans="1:23" x14ac:dyDescent="0.45">
      <c r="B351" s="44" t="s">
        <v>89</v>
      </c>
      <c r="C351" s="87">
        <f t="shared" ref="C351:V351" si="109">C267+C322</f>
        <v>578124164.83218849</v>
      </c>
      <c r="D351" s="87">
        <f t="shared" si="109"/>
        <v>601127462.48336887</v>
      </c>
      <c r="E351" s="87">
        <f t="shared" si="109"/>
        <v>563419235.06205869</v>
      </c>
      <c r="F351" s="87">
        <f t="shared" si="109"/>
        <v>516570212.95705056</v>
      </c>
      <c r="G351" s="87">
        <f t="shared" si="109"/>
        <v>487856256.07952356</v>
      </c>
      <c r="H351" s="87">
        <f t="shared" si="109"/>
        <v>447004956.41781688</v>
      </c>
      <c r="I351" s="87">
        <f t="shared" si="109"/>
        <v>446830276.19708818</v>
      </c>
      <c r="J351" s="87">
        <f t="shared" si="109"/>
        <v>410770613.37607741</v>
      </c>
      <c r="K351" s="87">
        <f t="shared" si="109"/>
        <v>374400236.76499933</v>
      </c>
      <c r="L351" s="87">
        <f t="shared" si="109"/>
        <v>341848948.76243418</v>
      </c>
      <c r="M351" s="87">
        <f t="shared" si="109"/>
        <v>293349184.51927191</v>
      </c>
      <c r="N351" s="87">
        <f t="shared" si="109"/>
        <v>251804089.89156982</v>
      </c>
      <c r="O351" s="87">
        <f t="shared" si="109"/>
        <v>226091074.1778563</v>
      </c>
      <c r="P351" s="87">
        <f t="shared" si="109"/>
        <v>216151969.29832852</v>
      </c>
      <c r="Q351" s="87">
        <f t="shared" si="109"/>
        <v>205126803.21029368</v>
      </c>
      <c r="R351" s="87">
        <f t="shared" si="109"/>
        <v>192412872.12157851</v>
      </c>
      <c r="S351" s="87">
        <f t="shared" si="109"/>
        <v>179749605.00494039</v>
      </c>
      <c r="T351" s="87">
        <f t="shared" si="109"/>
        <v>166952532.93425986</v>
      </c>
      <c r="U351" s="87">
        <f t="shared" si="109"/>
        <v>154315371.36975688</v>
      </c>
      <c r="V351" s="87">
        <f t="shared" si="109"/>
        <v>142928857.45917058</v>
      </c>
      <c r="W351" s="87"/>
    </row>
    <row r="352" spans="1:23" x14ac:dyDescent="0.45">
      <c r="B352" s="44"/>
      <c r="C352" s="1"/>
      <c r="D352" s="1"/>
      <c r="E352" s="1"/>
      <c r="F352" s="1"/>
      <c r="G352" s="1"/>
      <c r="H352" s="1"/>
      <c r="I352" s="1"/>
      <c r="J352" s="1"/>
      <c r="K352" s="1"/>
      <c r="L352" s="1"/>
      <c r="M352" s="1"/>
      <c r="N352" s="1"/>
      <c r="O352" s="1"/>
      <c r="P352" s="1"/>
      <c r="Q352" s="1"/>
      <c r="R352" s="1"/>
      <c r="S352" s="1"/>
      <c r="T352" s="1"/>
      <c r="U352" s="1"/>
      <c r="V352" s="1"/>
      <c r="W352" s="1"/>
    </row>
    <row r="353" spans="2:23" x14ac:dyDescent="0.45">
      <c r="B353" s="44" t="s">
        <v>96</v>
      </c>
      <c r="C353" s="87">
        <f>SUM($C349:C349)</f>
        <v>580937388.5829699</v>
      </c>
      <c r="D353" s="87">
        <f>SUM($C349:D349)</f>
        <v>1187043780.2484651</v>
      </c>
      <c r="E353" s="87">
        <f>SUM($C349:E349)</f>
        <v>1757057533.3403513</v>
      </c>
      <c r="F353" s="87">
        <f>SUM($C349:F349)</f>
        <v>2281648573.1210775</v>
      </c>
      <c r="G353" s="87">
        <f>SUM($C349:G349)</f>
        <v>2779999955.3538976</v>
      </c>
      <c r="H353" s="87">
        <f>SUM($C349:H349)</f>
        <v>3239870121.6048479</v>
      </c>
      <c r="I353" s="87">
        <f>SUM($C349:I349)</f>
        <v>3698921169.0057964</v>
      </c>
      <c r="J353" s="87">
        <f>SUM($C349:J349)</f>
        <v>4121025914.0147519</v>
      </c>
      <c r="K353" s="87">
        <f>SUM($C349:K349)</f>
        <v>4504251883.5141945</v>
      </c>
      <c r="L353" s="87">
        <f>SUM($C349:L349)</f>
        <v>4855684803.0622778</v>
      </c>
      <c r="M353" s="87">
        <f>SUM($C349:M349)</f>
        <v>5158700350.9029922</v>
      </c>
      <c r="N353" s="87">
        <f>SUM($C349:N349)</f>
        <v>5420078705.5987225</v>
      </c>
      <c r="O353" s="87">
        <f>SUM($C349:O349)</f>
        <v>5655529350.8666744</v>
      </c>
      <c r="P353" s="87">
        <f>SUM($C349:P349)</f>
        <v>5880688616.7622452</v>
      </c>
      <c r="Q353" s="87">
        <f>SUM($C349:Q349)</f>
        <v>6094400718.0630474</v>
      </c>
      <c r="R353" s="87">
        <f>SUM($C349:R349)</f>
        <v>6294906763.8544035</v>
      </c>
      <c r="S353" s="87">
        <f>SUM($C349:S349)</f>
        <v>6482239830.6336164</v>
      </c>
      <c r="T353" s="87">
        <f>SUM($C349:T349)</f>
        <v>6656256796.291173</v>
      </c>
      <c r="U353" s="87">
        <f>SUM($C349:U349)</f>
        <v>6817119371.296979</v>
      </c>
      <c r="V353" s="87">
        <f>SUM($C349:V349)</f>
        <v>6966116072.7191229</v>
      </c>
      <c r="W353" s="87"/>
    </row>
    <row r="354" spans="2:23" x14ac:dyDescent="0.45">
      <c r="B354" s="44" t="s">
        <v>97</v>
      </c>
      <c r="C354" s="87">
        <f>SUM($C350:C350)</f>
        <v>583750612.3337512</v>
      </c>
      <c r="D354" s="87">
        <f>SUM($C350:D350)</f>
        <v>1194835933.1813726</v>
      </c>
      <c r="E354" s="87">
        <f>SUM($C350:E350)</f>
        <v>1771444204.3030868</v>
      </c>
      <c r="F354" s="87">
        <f>SUM($C350:F350)</f>
        <v>2304056070.9074883</v>
      </c>
      <c r="G354" s="87">
        <f>SUM($C350:G350)</f>
        <v>2812902579.2936049</v>
      </c>
      <c r="H354" s="87">
        <f>SUM($C350:H350)</f>
        <v>3285637955.3776889</v>
      </c>
      <c r="I354" s="87">
        <f>SUM($C350:I350)</f>
        <v>3756909773.9824977</v>
      </c>
      <c r="J354" s="87">
        <f>SUM($C350:J350)</f>
        <v>4190348650.624331</v>
      </c>
      <c r="K354" s="87">
        <f>SUM($C350:K350)</f>
        <v>4582400352.8582172</v>
      </c>
      <c r="L354" s="87">
        <f>SUM($C350:L350)</f>
        <v>4943417243.1919489</v>
      </c>
      <c r="M354" s="87">
        <f>SUM($C350:M350)</f>
        <v>5256099154.3541059</v>
      </c>
      <c r="N354" s="87">
        <f>SUM($C350:N350)</f>
        <v>5527051773.8539963</v>
      </c>
      <c r="O354" s="87">
        <f>SUM($C350:O350)</f>
        <v>5771861990.2120438</v>
      </c>
      <c r="P354" s="87">
        <f>SUM($C350:P350)</f>
        <v>6006028552.7048569</v>
      </c>
      <c r="Q354" s="87">
        <f>SUM($C350:Q350)</f>
        <v>6228325952.0961685</v>
      </c>
      <c r="R354" s="87">
        <f>SUM($C350:R350)</f>
        <v>6436925171.5573034</v>
      </c>
      <c r="S354" s="87">
        <f>SUM($C350:S350)</f>
        <v>6631841700.1107883</v>
      </c>
      <c r="T354" s="87">
        <f>SUM($C350:T350)</f>
        <v>6812923098.491641</v>
      </c>
      <c r="U354" s="87">
        <f>SUM($C350:U350)</f>
        <v>6980332877.1334953</v>
      </c>
      <c r="V354" s="87">
        <f>SUM($C350:V350)</f>
        <v>7135397422.5186138</v>
      </c>
      <c r="W354" s="87"/>
    </row>
    <row r="355" spans="2:23" x14ac:dyDescent="0.45">
      <c r="B355" s="44" t="s">
        <v>98</v>
      </c>
      <c r="C355" s="87">
        <f>SUM($C351:C351)</f>
        <v>578124164.83218849</v>
      </c>
      <c r="D355" s="87">
        <f>SUM($C351:D351)</f>
        <v>1179251627.3155575</v>
      </c>
      <c r="E355" s="87">
        <f>SUM($C351:E351)</f>
        <v>1742670862.3776162</v>
      </c>
      <c r="F355" s="87">
        <f>SUM($C351:F351)</f>
        <v>2259241075.3346667</v>
      </c>
      <c r="G355" s="87">
        <f>SUM($C351:G351)</f>
        <v>2747097331.4141903</v>
      </c>
      <c r="H355" s="87">
        <f>SUM($C351:H351)</f>
        <v>3194102287.8320074</v>
      </c>
      <c r="I355" s="87">
        <f>SUM($C351:I351)</f>
        <v>3640932564.0290956</v>
      </c>
      <c r="J355" s="87">
        <f>SUM($C351:J351)</f>
        <v>4051703177.4051733</v>
      </c>
      <c r="K355" s="87">
        <f>SUM($C351:K351)</f>
        <v>4426103414.1701727</v>
      </c>
      <c r="L355" s="87">
        <f>SUM($C351:L351)</f>
        <v>4767952362.9326067</v>
      </c>
      <c r="M355" s="87">
        <f>SUM($C351:M351)</f>
        <v>5061301547.4518785</v>
      </c>
      <c r="N355" s="87">
        <f>SUM($C351:N351)</f>
        <v>5313105637.3434486</v>
      </c>
      <c r="O355" s="87">
        <f>SUM($C351:O351)</f>
        <v>5539196711.5213051</v>
      </c>
      <c r="P355" s="87">
        <f>SUM($C351:P351)</f>
        <v>5755348680.8196335</v>
      </c>
      <c r="Q355" s="87">
        <f>SUM($C351:Q351)</f>
        <v>5960475484.0299273</v>
      </c>
      <c r="R355" s="87">
        <f>SUM($C351:R351)</f>
        <v>6152888356.1515055</v>
      </c>
      <c r="S355" s="87">
        <f>SUM($C351:S351)</f>
        <v>6332637961.1564455</v>
      </c>
      <c r="T355" s="87">
        <f>SUM($C351:T351)</f>
        <v>6499590494.0907049</v>
      </c>
      <c r="U355" s="87">
        <f>SUM($C351:U351)</f>
        <v>6653905865.4604616</v>
      </c>
      <c r="V355" s="87">
        <f>SUM($C351:V351)</f>
        <v>6796834722.919632</v>
      </c>
      <c r="W355" s="87"/>
    </row>
    <row r="356" spans="2:23" x14ac:dyDescent="0.45">
      <c r="B356" s="44"/>
      <c r="C356" s="1"/>
      <c r="D356" s="1"/>
      <c r="E356" s="1"/>
      <c r="F356" s="1"/>
      <c r="G356" s="1"/>
      <c r="H356" s="1"/>
      <c r="I356" s="1"/>
      <c r="J356" s="1"/>
      <c r="K356" s="1"/>
      <c r="L356" s="1"/>
      <c r="M356" s="1"/>
      <c r="N356" s="1"/>
      <c r="O356" s="1"/>
      <c r="P356" s="1"/>
      <c r="Q356" s="1"/>
      <c r="R356" s="1"/>
      <c r="S356" s="1"/>
      <c r="T356" s="1"/>
      <c r="U356" s="1"/>
      <c r="V356" s="1"/>
      <c r="W356" s="1"/>
    </row>
    <row r="357" spans="2:23" x14ac:dyDescent="0.45">
      <c r="B357" s="44" t="s">
        <v>228</v>
      </c>
      <c r="C357" s="87">
        <f>C341</f>
        <v>6300712135.0552063</v>
      </c>
      <c r="D357" s="87">
        <f t="shared" ref="D357:V357" si="110">C357</f>
        <v>6300712135.0552063</v>
      </c>
      <c r="E357" s="87">
        <f t="shared" si="110"/>
        <v>6300712135.0552063</v>
      </c>
      <c r="F357" s="87">
        <f t="shared" si="110"/>
        <v>6300712135.0552063</v>
      </c>
      <c r="G357" s="87">
        <f t="shared" si="110"/>
        <v>6300712135.0552063</v>
      </c>
      <c r="H357" s="87">
        <f t="shared" si="110"/>
        <v>6300712135.0552063</v>
      </c>
      <c r="I357" s="87">
        <f t="shared" si="110"/>
        <v>6300712135.0552063</v>
      </c>
      <c r="J357" s="87">
        <f t="shared" si="110"/>
        <v>6300712135.0552063</v>
      </c>
      <c r="K357" s="87">
        <f t="shared" si="110"/>
        <v>6300712135.0552063</v>
      </c>
      <c r="L357" s="87">
        <f t="shared" si="110"/>
        <v>6300712135.0552063</v>
      </c>
      <c r="M357" s="87">
        <f t="shared" si="110"/>
        <v>6300712135.0552063</v>
      </c>
      <c r="N357" s="87">
        <f t="shared" si="110"/>
        <v>6300712135.0552063</v>
      </c>
      <c r="O357" s="87">
        <f t="shared" si="110"/>
        <v>6300712135.0552063</v>
      </c>
      <c r="P357" s="87">
        <f t="shared" si="110"/>
        <v>6300712135.0552063</v>
      </c>
      <c r="Q357" s="87">
        <f t="shared" si="110"/>
        <v>6300712135.0552063</v>
      </c>
      <c r="R357" s="87">
        <f t="shared" si="110"/>
        <v>6300712135.0552063</v>
      </c>
      <c r="S357" s="87">
        <f t="shared" si="110"/>
        <v>6300712135.0552063</v>
      </c>
      <c r="T357" s="87">
        <f t="shared" si="110"/>
        <v>6300712135.0552063</v>
      </c>
      <c r="U357" s="87">
        <f t="shared" si="110"/>
        <v>6300712135.0552063</v>
      </c>
      <c r="V357" s="87">
        <f t="shared" si="110"/>
        <v>6300712135.0552063</v>
      </c>
      <c r="W357" s="87"/>
    </row>
    <row r="358" spans="2:23" x14ac:dyDescent="0.45">
      <c r="B358" s="44" t="s">
        <v>229</v>
      </c>
      <c r="C358" s="87">
        <f>C342</f>
        <v>6772305578.3247585</v>
      </c>
      <c r="D358" s="87">
        <f t="shared" ref="D358:V358" si="111">C358</f>
        <v>6772305578.3247585</v>
      </c>
      <c r="E358" s="87">
        <f t="shared" si="111"/>
        <v>6772305578.3247585</v>
      </c>
      <c r="F358" s="87">
        <f t="shared" si="111"/>
        <v>6772305578.3247585</v>
      </c>
      <c r="G358" s="87">
        <f t="shared" si="111"/>
        <v>6772305578.3247585</v>
      </c>
      <c r="H358" s="87">
        <f t="shared" si="111"/>
        <v>6772305578.3247585</v>
      </c>
      <c r="I358" s="87">
        <f t="shared" si="111"/>
        <v>6772305578.3247585</v>
      </c>
      <c r="J358" s="87">
        <f t="shared" si="111"/>
        <v>6772305578.3247585</v>
      </c>
      <c r="K358" s="87">
        <f t="shared" si="111"/>
        <v>6772305578.3247585</v>
      </c>
      <c r="L358" s="87">
        <f t="shared" si="111"/>
        <v>6772305578.3247585</v>
      </c>
      <c r="M358" s="87">
        <f t="shared" si="111"/>
        <v>6772305578.3247585</v>
      </c>
      <c r="N358" s="87">
        <f t="shared" si="111"/>
        <v>6772305578.3247585</v>
      </c>
      <c r="O358" s="87">
        <f t="shared" si="111"/>
        <v>6772305578.3247585</v>
      </c>
      <c r="P358" s="87">
        <f t="shared" si="111"/>
        <v>6772305578.3247585</v>
      </c>
      <c r="Q358" s="87">
        <f t="shared" si="111"/>
        <v>6772305578.3247585</v>
      </c>
      <c r="R358" s="87">
        <f t="shared" si="111"/>
        <v>6772305578.3247585</v>
      </c>
      <c r="S358" s="87">
        <f t="shared" si="111"/>
        <v>6772305578.3247585</v>
      </c>
      <c r="T358" s="87">
        <f t="shared" si="111"/>
        <v>6772305578.3247585</v>
      </c>
      <c r="U358" s="87">
        <f t="shared" si="111"/>
        <v>6772305578.3247585</v>
      </c>
      <c r="V358" s="87">
        <f t="shared" si="111"/>
        <v>6772305578.3247585</v>
      </c>
      <c r="W358" s="87"/>
    </row>
    <row r="359" spans="2:23" x14ac:dyDescent="0.45">
      <c r="B359" s="44" t="s">
        <v>230</v>
      </c>
      <c r="C359" s="87">
        <f>C343</f>
        <v>5892523100.0652246</v>
      </c>
      <c r="D359" s="87">
        <f t="shared" ref="D359:V359" si="112">C359</f>
        <v>5892523100.0652246</v>
      </c>
      <c r="E359" s="87">
        <f t="shared" si="112"/>
        <v>5892523100.0652246</v>
      </c>
      <c r="F359" s="87">
        <f t="shared" si="112"/>
        <v>5892523100.0652246</v>
      </c>
      <c r="G359" s="87">
        <f t="shared" si="112"/>
        <v>5892523100.0652246</v>
      </c>
      <c r="H359" s="87">
        <f t="shared" si="112"/>
        <v>5892523100.0652246</v>
      </c>
      <c r="I359" s="87">
        <f t="shared" si="112"/>
        <v>5892523100.0652246</v>
      </c>
      <c r="J359" s="87">
        <f t="shared" si="112"/>
        <v>5892523100.0652246</v>
      </c>
      <c r="K359" s="87">
        <f t="shared" si="112"/>
        <v>5892523100.0652246</v>
      </c>
      <c r="L359" s="87">
        <f t="shared" si="112"/>
        <v>5892523100.0652246</v>
      </c>
      <c r="M359" s="87">
        <f t="shared" si="112"/>
        <v>5892523100.0652246</v>
      </c>
      <c r="N359" s="87">
        <f t="shared" si="112"/>
        <v>5892523100.0652246</v>
      </c>
      <c r="O359" s="87">
        <f t="shared" si="112"/>
        <v>5892523100.0652246</v>
      </c>
      <c r="P359" s="87">
        <f t="shared" si="112"/>
        <v>5892523100.0652246</v>
      </c>
      <c r="Q359" s="87">
        <f t="shared" si="112"/>
        <v>5892523100.0652246</v>
      </c>
      <c r="R359" s="87">
        <f t="shared" si="112"/>
        <v>5892523100.0652246</v>
      </c>
      <c r="S359" s="87">
        <f t="shared" si="112"/>
        <v>5892523100.0652246</v>
      </c>
      <c r="T359" s="87">
        <f t="shared" si="112"/>
        <v>5892523100.0652246</v>
      </c>
      <c r="U359" s="87">
        <f t="shared" si="112"/>
        <v>5892523100.0652246</v>
      </c>
      <c r="V359" s="87">
        <f t="shared" si="112"/>
        <v>5892523100.0652246</v>
      </c>
      <c r="W359" s="87"/>
    </row>
    <row r="360" spans="2:23" x14ac:dyDescent="0.45">
      <c r="B360" s="44"/>
    </row>
    <row r="361" spans="2:23" x14ac:dyDescent="0.45">
      <c r="B361" s="44"/>
    </row>
    <row r="362" spans="2:23" x14ac:dyDescent="0.45">
      <c r="B362" s="44"/>
    </row>
    <row r="363" spans="2:23" x14ac:dyDescent="0.45">
      <c r="B363" s="44"/>
    </row>
    <row r="364" spans="2:23" x14ac:dyDescent="0.45">
      <c r="B364" s="44"/>
    </row>
    <row r="365" spans="2:23" x14ac:dyDescent="0.45">
      <c r="B365" s="44"/>
    </row>
    <row r="366" spans="2:23" x14ac:dyDescent="0.45">
      <c r="B366" s="44"/>
    </row>
    <row r="367" spans="2:23" x14ac:dyDescent="0.45">
      <c r="B367" s="44"/>
    </row>
    <row r="368" spans="2:23" x14ac:dyDescent="0.45">
      <c r="B368" s="44"/>
    </row>
    <row r="369" spans="2:2" x14ac:dyDescent="0.45">
      <c r="B369" s="44"/>
    </row>
    <row r="370" spans="2:2" x14ac:dyDescent="0.45">
      <c r="B370" s="44"/>
    </row>
    <row r="371" spans="2:2" x14ac:dyDescent="0.45">
      <c r="B371" s="44"/>
    </row>
    <row r="372" spans="2:2" x14ac:dyDescent="0.45">
      <c r="B372" s="44"/>
    </row>
    <row r="373" spans="2:2" x14ac:dyDescent="0.45">
      <c r="B373" s="44"/>
    </row>
    <row r="374" spans="2:2" x14ac:dyDescent="0.45">
      <c r="B374" s="44"/>
    </row>
    <row r="375" spans="2:2" x14ac:dyDescent="0.45">
      <c r="B375" s="44"/>
    </row>
    <row r="376" spans="2:2" x14ac:dyDescent="0.45">
      <c r="B376" s="44"/>
    </row>
    <row r="377" spans="2:2" x14ac:dyDescent="0.45">
      <c r="B377" s="44"/>
    </row>
    <row r="378" spans="2:2" x14ac:dyDescent="0.45">
      <c r="B378" s="44"/>
    </row>
    <row r="379" spans="2:2" x14ac:dyDescent="0.45">
      <c r="B379" s="44"/>
    </row>
    <row r="380" spans="2:2" x14ac:dyDescent="0.45">
      <c r="B380" s="44"/>
    </row>
    <row r="381" spans="2:2" x14ac:dyDescent="0.45">
      <c r="B381" s="44"/>
    </row>
    <row r="382" spans="2:2" x14ac:dyDescent="0.45">
      <c r="B382" s="44"/>
    </row>
    <row r="383" spans="2:2" x14ac:dyDescent="0.45">
      <c r="B383" s="44"/>
    </row>
    <row r="384" spans="2:2" x14ac:dyDescent="0.45">
      <c r="B384" s="44"/>
    </row>
    <row r="385" spans="2:2" x14ac:dyDescent="0.45">
      <c r="B385" s="44"/>
    </row>
    <row r="386" spans="2:2" x14ac:dyDescent="0.45">
      <c r="B386" s="44"/>
    </row>
    <row r="387" spans="2:2" x14ac:dyDescent="0.45">
      <c r="B387" s="44"/>
    </row>
    <row r="388" spans="2:2" x14ac:dyDescent="0.45">
      <c r="B388" s="44"/>
    </row>
  </sheetData>
  <conditionalFormatting sqref="J13:J15">
    <cfRule type="cellIs" dxfId="2" priority="1" stopIfTrue="1" operator="notEqual">
      <formula>TRUE</formula>
    </cfRule>
  </conditionalFormatting>
  <conditionalFormatting sqref="J18:J20">
    <cfRule type="cellIs" dxfId="1" priority="2" stopIfTrue="1" operator="notEqual">
      <formula>TRUE</formula>
    </cfRule>
  </conditionalFormatting>
  <dataValidations disablePrompts="1" count="1">
    <dataValidation type="list" allowBlank="1" showInputMessage="1" showErrorMessage="1" sqref="B10:B11" xr:uid="{69547727-40C4-48BE-95EC-E2DB5C58C378}">
      <formula1>$C$117:$D$117</formula1>
    </dataValidation>
  </dataValidations>
  <pageMargins left="0.7" right="0.7" top="0.75" bottom="0.75" header="0.3" footer="0.3"/>
  <pageSetup paperSize="9" orientation="portrait" r:id="rId1"/>
  <headerFooter>
    <oddHeader>&amp;L&amp;"Calibri"&amp;12&amp;K000000 Classification: CONFIDENTIAL&amp;1#_x000D_</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98C79-6579-493A-AFCD-66F59659D29E}">
  <dimension ref="A1:V374"/>
  <sheetViews>
    <sheetView zoomScaleNormal="80" workbookViewId="0">
      <selection activeCell="P20" sqref="P20"/>
    </sheetView>
  </sheetViews>
  <sheetFormatPr defaultColWidth="9" defaultRowHeight="14.25" x14ac:dyDescent="0.45"/>
  <cols>
    <col min="1" max="1" width="5.86328125" customWidth="1"/>
    <col min="2" max="2" width="37.86328125" customWidth="1"/>
    <col min="3" max="7" width="15.86328125" customWidth="1"/>
    <col min="8" max="9" width="16.265625" customWidth="1"/>
    <col min="10" max="22" width="17.73046875" customWidth="1"/>
  </cols>
  <sheetData>
    <row r="1" spans="1:22" ht="25.5" x14ac:dyDescent="0.75">
      <c r="A1" s="7" t="s">
        <v>39</v>
      </c>
    </row>
    <row r="2" spans="1:22" x14ac:dyDescent="0.45">
      <c r="A2" s="1" t="s">
        <v>40</v>
      </c>
    </row>
    <row r="3" spans="1:22" x14ac:dyDescent="0.45">
      <c r="A3" s="1" t="s">
        <v>41</v>
      </c>
      <c r="K3" s="53"/>
      <c r="O3" s="44"/>
      <c r="S3" s="118"/>
    </row>
    <row r="4" spans="1:22" x14ac:dyDescent="0.45">
      <c r="O4" s="44"/>
      <c r="S4" s="118"/>
    </row>
    <row r="5" spans="1:22" ht="21" x14ac:dyDescent="0.65">
      <c r="A5" s="40" t="s">
        <v>42</v>
      </c>
      <c r="B5" s="44"/>
      <c r="J5" s="28"/>
      <c r="O5" s="44"/>
      <c r="S5" s="118"/>
    </row>
    <row r="6" spans="1:22" ht="16.5" customHeight="1" x14ac:dyDescent="0.65">
      <c r="A6" s="40"/>
      <c r="B6" s="44"/>
      <c r="J6" s="28"/>
      <c r="O6" s="44"/>
      <c r="S6" s="118"/>
    </row>
    <row r="7" spans="1:22" ht="15.75" x14ac:dyDescent="0.5">
      <c r="A7" s="57" t="str">
        <f>"20-year cost and revenue forecasts for "&amp;ROUND($C$62*MAX($C$36:$V$36)/million,1)&amp;"m FTTP rollout (PV, £m)"</f>
        <v>20-year cost and revenue forecasts for 3.5m FTTP rollout (PV, £m)</v>
      </c>
      <c r="J7" s="28"/>
      <c r="O7" s="44"/>
      <c r="S7" s="119"/>
    </row>
    <row r="8" spans="1:22" x14ac:dyDescent="0.45">
      <c r="D8" s="5" t="s">
        <v>232</v>
      </c>
      <c r="E8" s="12">
        <v>9232330</v>
      </c>
      <c r="G8" s="5" t="s">
        <v>233</v>
      </c>
      <c r="H8" s="74">
        <f>E9/E8</f>
        <v>0.48218586207382103</v>
      </c>
      <c r="J8" s="28"/>
      <c r="O8" s="44"/>
      <c r="S8" s="118"/>
      <c r="U8" s="81"/>
      <c r="V8" s="81"/>
    </row>
    <row r="9" spans="1:22" ht="15.75" x14ac:dyDescent="0.45">
      <c r="B9" s="83" t="s">
        <v>37</v>
      </c>
      <c r="D9" s="5" t="s">
        <v>234</v>
      </c>
      <c r="E9" s="12">
        <v>4451699</v>
      </c>
      <c r="J9" s="28"/>
      <c r="O9" s="44"/>
      <c r="S9" s="118"/>
      <c r="U9" s="81"/>
      <c r="V9" s="81"/>
    </row>
    <row r="10" spans="1:22" ht="18" x14ac:dyDescent="0.55000000000000004">
      <c r="A10" s="56"/>
      <c r="B10" s="84" t="s">
        <v>38</v>
      </c>
      <c r="J10" s="28"/>
      <c r="O10" s="44"/>
      <c r="S10" s="118"/>
    </row>
    <row r="11" spans="1:22" ht="17.25" customHeight="1" x14ac:dyDescent="0.45">
      <c r="Q11" s="53"/>
      <c r="R11" s="53"/>
      <c r="S11" s="53"/>
      <c r="T11" s="53"/>
    </row>
    <row r="12" spans="1:22" ht="28.5" x14ac:dyDescent="0.45">
      <c r="B12" s="42" t="s">
        <v>17</v>
      </c>
      <c r="D12" s="53" t="s">
        <v>105</v>
      </c>
      <c r="E12" s="53" t="s">
        <v>106</v>
      </c>
      <c r="F12" s="53" t="s">
        <v>107</v>
      </c>
      <c r="G12" s="53" t="s">
        <v>108</v>
      </c>
      <c r="H12" s="53" t="s">
        <v>109</v>
      </c>
      <c r="I12" s="53" t="s">
        <v>110</v>
      </c>
      <c r="T12" s="118"/>
    </row>
    <row r="13" spans="1:22" x14ac:dyDescent="0.45">
      <c r="B13" s="44" t="s">
        <v>23</v>
      </c>
      <c r="D13" s="26">
        <f>SUM(C153:V153)/million</f>
        <v>1392.229990591831</v>
      </c>
      <c r="E13" s="26">
        <f>SUM(C152:V152)/million</f>
        <v>855.35697820948883</v>
      </c>
      <c r="F13" s="26">
        <f>SUM(C154:V154)/million</f>
        <v>1094.4362370934391</v>
      </c>
      <c r="G13" s="120">
        <f>C157/million</f>
        <v>3342.023205894759</v>
      </c>
      <c r="H13" s="120">
        <f>C189/million</f>
        <v>3962.622396157773</v>
      </c>
      <c r="I13" s="120">
        <f>SUM(G13:H13)</f>
        <v>7304.645602052532</v>
      </c>
      <c r="J13" s="41" t="b">
        <f>I13=C221/million</f>
        <v>1</v>
      </c>
      <c r="T13" s="118"/>
    </row>
    <row r="14" spans="1:22" x14ac:dyDescent="0.45">
      <c r="B14" s="44" t="s">
        <v>24</v>
      </c>
      <c r="D14" s="26">
        <f>SUM(C163:V163)/million</f>
        <v>1688.6006544765398</v>
      </c>
      <c r="E14" s="26">
        <f>SUM(C162:V162)/million</f>
        <v>855.35697820948883</v>
      </c>
      <c r="F14" s="26">
        <f>SUM(C164:V164)/million</f>
        <v>1157.9040572951153</v>
      </c>
      <c r="G14" s="120">
        <f>C167/million</f>
        <v>3701.8616899811436</v>
      </c>
      <c r="H14" s="120">
        <f>C199/million</f>
        <v>4384.1919757977321</v>
      </c>
      <c r="I14" s="120">
        <f t="shared" ref="I14:I15" si="0">SUM(G14:H14)</f>
        <v>8086.0536657788762</v>
      </c>
      <c r="J14" s="41" t="b">
        <f>I14=C222/million</f>
        <v>1</v>
      </c>
      <c r="T14" s="118"/>
    </row>
    <row r="15" spans="1:22" x14ac:dyDescent="0.45">
      <c r="B15" s="44" t="s">
        <v>25</v>
      </c>
      <c r="D15" s="26">
        <f>SUM(C173:V173)/million</f>
        <v>1212.8727828643619</v>
      </c>
      <c r="E15" s="26">
        <f>SUM(C172:V172)/million</f>
        <v>855.35697820948883</v>
      </c>
      <c r="F15" s="26">
        <f>SUM(C174:V174)/million</f>
        <v>1057.0965105436667</v>
      </c>
      <c r="G15" s="120">
        <f>C177/million</f>
        <v>3125.3262716175168</v>
      </c>
      <c r="H15" s="120">
        <f>C209/million</f>
        <v>3583.9095390732305</v>
      </c>
      <c r="I15" s="120">
        <f t="shared" si="0"/>
        <v>6709.2358106907468</v>
      </c>
      <c r="J15" s="41" t="b">
        <f>I15=C223/million</f>
        <v>1</v>
      </c>
      <c r="Q15" s="119"/>
      <c r="R15" s="119"/>
      <c r="S15" s="119"/>
      <c r="T15" s="119"/>
    </row>
    <row r="16" spans="1:22" x14ac:dyDescent="0.45">
      <c r="R16" s="121"/>
      <c r="T16" s="118"/>
    </row>
    <row r="17" spans="1:20" ht="28.5" x14ac:dyDescent="0.45">
      <c r="B17" s="42" t="s">
        <v>27</v>
      </c>
      <c r="C17" s="53" t="s">
        <v>111</v>
      </c>
      <c r="D17" s="53" t="s">
        <v>112</v>
      </c>
      <c r="E17" s="53" t="s">
        <v>113</v>
      </c>
      <c r="F17" s="53" t="s">
        <v>114</v>
      </c>
      <c r="G17" s="53" t="s">
        <v>115</v>
      </c>
      <c r="H17" s="53" t="s">
        <v>116</v>
      </c>
      <c r="I17" s="53" t="s">
        <v>117</v>
      </c>
      <c r="R17" s="121"/>
      <c r="S17" s="118"/>
      <c r="T17" s="118"/>
    </row>
    <row r="18" spans="1:20" x14ac:dyDescent="0.45">
      <c r="B18" s="44" t="s">
        <v>29</v>
      </c>
      <c r="C18" s="120">
        <f>SUM($C$299:$G$299)/million</f>
        <v>2422.9715955079391</v>
      </c>
      <c r="D18" s="120">
        <f>SUM($C$238:$G$238)/million</f>
        <v>245.715140445656</v>
      </c>
      <c r="E18" s="121">
        <f>IF($B$10="5-yr indexation",AVERAGE(C233:V233),AVERAGE(C242:V242))</f>
        <v>16.930988359949605</v>
      </c>
      <c r="F18" s="121">
        <f>IF($B$10="5-yr indexation",AVERAGE(C295:V295),AVERAGE(C304:V304))</f>
        <v>14.025450577238809</v>
      </c>
      <c r="G18" s="120">
        <f>IF($B$10="5-yr indexation",C239/million,C248/million)</f>
        <v>3285.6723003545367</v>
      </c>
      <c r="H18" s="120">
        <f>IF($B$10="5-yr indexation",$C$300/million,$C$309/million)</f>
        <v>3888.3294296904628</v>
      </c>
      <c r="I18" s="120">
        <f>SUM(G18:H18)</f>
        <v>7174.0017300449999</v>
      </c>
      <c r="J18" s="41" t="b">
        <f>IF($B$10="5-yr indexation",I18=(C239+$C$300)/million,I18=(C248+$C$309)/million)</f>
        <v>1</v>
      </c>
      <c r="T18" s="118"/>
    </row>
    <row r="19" spans="1:20" x14ac:dyDescent="0.45">
      <c r="B19" s="44" t="s">
        <v>30</v>
      </c>
      <c r="C19" s="120">
        <f>SUM($C$299:$G$299)/million</f>
        <v>2422.9715955079391</v>
      </c>
      <c r="D19" s="120">
        <f>SUM($C$278:$G$278)/million</f>
        <v>261.75662404872156</v>
      </c>
      <c r="E19" s="121">
        <f>IF($B$10="5-yr indexation",AVERAGE(C273:V273),AVERAGE(C282:V282))</f>
        <v>18.025450577238814</v>
      </c>
      <c r="F19" s="121">
        <f>F18</f>
        <v>14.025450577238809</v>
      </c>
      <c r="G19" s="120">
        <f>IF($B$10="5-yr indexation",C279/million,C288/million)</f>
        <v>3488.2391209500606</v>
      </c>
      <c r="H19" s="120">
        <f>H18</f>
        <v>3888.3294296904628</v>
      </c>
      <c r="I19" s="120">
        <f t="shared" ref="I19:I20" si="1">SUM(G19:H19)</f>
        <v>7376.5685506405234</v>
      </c>
      <c r="J19" s="41" t="b">
        <f>IF($B$10="5-yr indexation",I19=(C279+$C$300)/million,I19=(C288+$C$309)/million)</f>
        <v>1</v>
      </c>
      <c r="O19" s="26"/>
      <c r="P19" s="26"/>
      <c r="T19" s="119"/>
    </row>
    <row r="20" spans="1:20" x14ac:dyDescent="0.45">
      <c r="B20" s="44" t="s">
        <v>31</v>
      </c>
      <c r="C20" s="120">
        <f>SUM($C$299:$G$299)/million</f>
        <v>2422.9715955079391</v>
      </c>
      <c r="D20" s="120">
        <f>SUM($C$258:$G$258)/million</f>
        <v>229.67365684259042</v>
      </c>
      <c r="E20" s="121">
        <f>IF($B$10="5-yr indexation",AVERAGE(C253:V253),AVERAGE(C262:V262))</f>
        <v>15.836526142660398</v>
      </c>
      <c r="F20" s="121">
        <f>F18</f>
        <v>14.025450577238809</v>
      </c>
      <c r="G20" s="120">
        <f>IF($B$10="5-yr indexation",C259/million,C268/million)</f>
        <v>3083.1054797590114</v>
      </c>
      <c r="H20" s="120">
        <f>H19</f>
        <v>3888.3294296904628</v>
      </c>
      <c r="I20" s="120">
        <f t="shared" si="1"/>
        <v>6971.4349094494737</v>
      </c>
      <c r="J20" s="41" t="b">
        <f>IF($B$10="5-yr indexation",I20=(C259+$C$300)/million,I20=(C268+$C$309)/million)</f>
        <v>1</v>
      </c>
      <c r="O20" s="26"/>
      <c r="P20" s="26"/>
      <c r="T20" s="118"/>
    </row>
    <row r="21" spans="1:20" x14ac:dyDescent="0.45">
      <c r="E21" s="85"/>
      <c r="F21" s="85"/>
      <c r="O21" s="26"/>
      <c r="P21" s="26"/>
      <c r="T21" s="118"/>
    </row>
    <row r="22" spans="1:20" ht="32.25" customHeight="1" x14ac:dyDescent="0.45">
      <c r="B22" s="42" t="s">
        <v>32</v>
      </c>
      <c r="E22" s="5"/>
      <c r="F22" s="5"/>
      <c r="G22" s="53" t="s">
        <v>118</v>
      </c>
      <c r="H22" s="53" t="s">
        <v>119</v>
      </c>
      <c r="I22" s="53" t="s">
        <v>33</v>
      </c>
      <c r="O22" s="26"/>
      <c r="P22" s="26"/>
      <c r="T22" s="118"/>
    </row>
    <row r="23" spans="1:20" x14ac:dyDescent="0.45">
      <c r="B23" s="44" t="s">
        <v>34</v>
      </c>
      <c r="E23" s="5"/>
      <c r="F23" s="5"/>
      <c r="G23" s="120">
        <f>G18-G13</f>
        <v>-56.350905540222357</v>
      </c>
      <c r="H23" s="120">
        <f>H18-H13</f>
        <v>-74.29296646731018</v>
      </c>
      <c r="I23" s="120">
        <f>I18-I13</f>
        <v>-130.64387200753208</v>
      </c>
      <c r="O23" s="26"/>
      <c r="P23" s="26"/>
      <c r="T23" s="118"/>
    </row>
    <row r="24" spans="1:20" x14ac:dyDescent="0.45">
      <c r="B24" s="44" t="s">
        <v>35</v>
      </c>
      <c r="E24" s="5"/>
      <c r="F24" s="5"/>
      <c r="G24" s="120">
        <f>G20-G14</f>
        <v>-618.75621022213227</v>
      </c>
      <c r="H24" s="120">
        <f t="shared" ref="H24:I24" si="2">H20-H14</f>
        <v>-495.86254610726928</v>
      </c>
      <c r="I24" s="120">
        <f t="shared" si="2"/>
        <v>-1114.6187563294025</v>
      </c>
      <c r="O24" s="26"/>
      <c r="P24" s="26"/>
      <c r="T24" s="118"/>
    </row>
    <row r="25" spans="1:20" x14ac:dyDescent="0.45">
      <c r="B25" s="44" t="s">
        <v>36</v>
      </c>
      <c r="E25" s="5"/>
      <c r="F25" s="5"/>
      <c r="G25" s="120">
        <f>G19-G15</f>
        <v>362.91284933254383</v>
      </c>
      <c r="H25" s="120">
        <f t="shared" ref="H25:I25" si="3">H19-H15</f>
        <v>304.41989061723234</v>
      </c>
      <c r="I25" s="120">
        <f t="shared" si="3"/>
        <v>667.33273994977662</v>
      </c>
      <c r="O25" s="26"/>
      <c r="P25" s="26"/>
      <c r="T25" s="118"/>
    </row>
    <row r="26" spans="1:20" x14ac:dyDescent="0.45">
      <c r="O26" s="26"/>
      <c r="P26" s="26"/>
      <c r="T26" s="118"/>
    </row>
    <row r="27" spans="1:20" x14ac:dyDescent="0.45">
      <c r="E27" s="118"/>
      <c r="F27" s="5"/>
    </row>
    <row r="28" spans="1:20" x14ac:dyDescent="0.45">
      <c r="B28" s="44"/>
      <c r="F28" s="5"/>
    </row>
    <row r="29" spans="1:20" ht="21" x14ac:dyDescent="0.65">
      <c r="A29" s="40" t="s">
        <v>120</v>
      </c>
      <c r="F29" s="5"/>
    </row>
    <row r="31" spans="1:20" ht="15.75" x14ac:dyDescent="0.5">
      <c r="A31" s="57" t="s">
        <v>121</v>
      </c>
      <c r="C31" s="43" t="s">
        <v>122</v>
      </c>
    </row>
    <row r="32" spans="1:20" x14ac:dyDescent="0.45">
      <c r="A32" s="43" t="s">
        <v>123</v>
      </c>
    </row>
    <row r="33" spans="2:22" ht="15.75" x14ac:dyDescent="0.5">
      <c r="B33" s="57"/>
      <c r="C33" s="26">
        <f>C36</f>
        <v>295006.3</v>
      </c>
      <c r="D33" s="26">
        <f t="shared" ref="D33:L33" si="4">D36-C36</f>
        <v>335033.3</v>
      </c>
      <c r="E33" s="26">
        <f t="shared" si="4"/>
        <v>270825.29999999993</v>
      </c>
      <c r="F33" s="26">
        <f t="shared" si="4"/>
        <v>228375.30000000005</v>
      </c>
      <c r="G33" s="26">
        <f t="shared" si="4"/>
        <v>389561.30000000005</v>
      </c>
      <c r="H33" s="26">
        <f t="shared" si="4"/>
        <v>550296.30000000005</v>
      </c>
      <c r="I33" s="26">
        <f t="shared" si="4"/>
        <v>527499.30000000005</v>
      </c>
      <c r="J33" s="26">
        <f t="shared" si="4"/>
        <v>276085.29999999981</v>
      </c>
      <c r="K33" s="26">
        <f t="shared" si="4"/>
        <v>337774.29999999981</v>
      </c>
      <c r="L33" s="26">
        <f t="shared" si="4"/>
        <v>287345.30000000028</v>
      </c>
    </row>
    <row r="34" spans="2:22" x14ac:dyDescent="0.45">
      <c r="B34" s="42" t="s">
        <v>124</v>
      </c>
      <c r="C34" s="47">
        <v>1</v>
      </c>
      <c r="D34" s="47">
        <v>2</v>
      </c>
      <c r="E34" s="47">
        <v>3</v>
      </c>
      <c r="F34" s="47">
        <v>4</v>
      </c>
      <c r="G34" s="47">
        <v>5</v>
      </c>
      <c r="H34" s="47">
        <v>6</v>
      </c>
      <c r="I34" s="47">
        <v>7</v>
      </c>
      <c r="J34" s="47">
        <v>8</v>
      </c>
      <c r="K34" s="47">
        <v>9</v>
      </c>
      <c r="L34" s="47">
        <v>10</v>
      </c>
      <c r="M34" s="47">
        <v>11</v>
      </c>
      <c r="N34" s="47">
        <v>12</v>
      </c>
      <c r="O34" s="47">
        <v>13</v>
      </c>
      <c r="P34" s="47">
        <v>14</v>
      </c>
      <c r="Q34" s="47">
        <v>15</v>
      </c>
      <c r="R34" s="47">
        <v>16</v>
      </c>
      <c r="S34" s="47">
        <v>17</v>
      </c>
      <c r="T34" s="47">
        <v>18</v>
      </c>
      <c r="U34" s="47">
        <v>19</v>
      </c>
      <c r="V34" s="47">
        <v>20</v>
      </c>
    </row>
    <row r="35" spans="2:22" x14ac:dyDescent="0.45">
      <c r="B35" s="44"/>
      <c r="C35" s="17" t="s">
        <v>5</v>
      </c>
      <c r="D35" s="17" t="s">
        <v>6</v>
      </c>
      <c r="E35" s="58" t="s">
        <v>7</v>
      </c>
      <c r="F35" s="58" t="s">
        <v>8</v>
      </c>
      <c r="G35" s="17" t="s">
        <v>9</v>
      </c>
      <c r="H35" s="17" t="s">
        <v>10</v>
      </c>
      <c r="I35" s="17" t="s">
        <v>11</v>
      </c>
      <c r="J35" s="17" t="s">
        <v>12</v>
      </c>
      <c r="K35" s="17" t="s">
        <v>13</v>
      </c>
      <c r="L35" s="17" t="s">
        <v>14</v>
      </c>
      <c r="M35" s="17" t="s">
        <v>49</v>
      </c>
      <c r="N35" s="17" t="s">
        <v>50</v>
      </c>
      <c r="O35" s="17" t="s">
        <v>51</v>
      </c>
      <c r="P35" s="17" t="s">
        <v>52</v>
      </c>
      <c r="Q35" s="17" t="s">
        <v>53</v>
      </c>
      <c r="R35" s="17" t="s">
        <v>54</v>
      </c>
      <c r="S35" s="17" t="s">
        <v>55</v>
      </c>
      <c r="T35" s="17" t="s">
        <v>56</v>
      </c>
      <c r="U35" s="17" t="s">
        <v>57</v>
      </c>
      <c r="V35" s="17" t="s">
        <v>58</v>
      </c>
    </row>
    <row r="36" spans="2:22" x14ac:dyDescent="0.45">
      <c r="B36" s="44" t="s">
        <v>125</v>
      </c>
      <c r="C36" s="4">
        <v>295006.3</v>
      </c>
      <c r="D36" s="4">
        <v>630039.6</v>
      </c>
      <c r="E36" s="4">
        <v>900864.89999999991</v>
      </c>
      <c r="F36" s="4">
        <v>1129240.2</v>
      </c>
      <c r="G36" s="4">
        <v>1518801.5</v>
      </c>
      <c r="H36" s="4">
        <v>2069097.8</v>
      </c>
      <c r="I36" s="4">
        <v>2596597.1</v>
      </c>
      <c r="J36" s="4">
        <v>2872682.4</v>
      </c>
      <c r="K36" s="4">
        <v>3210456.6999999997</v>
      </c>
      <c r="L36" s="4">
        <v>3497802</v>
      </c>
      <c r="M36" s="4">
        <v>3497802</v>
      </c>
      <c r="N36" s="4">
        <v>3497802</v>
      </c>
      <c r="O36" s="4">
        <v>3497802</v>
      </c>
      <c r="P36" s="4">
        <v>3497802</v>
      </c>
      <c r="Q36" s="4">
        <v>3497802</v>
      </c>
      <c r="R36" s="4">
        <v>3497802</v>
      </c>
      <c r="S36" s="4">
        <v>3497802</v>
      </c>
      <c r="T36" s="4">
        <v>3497802</v>
      </c>
      <c r="U36" s="4">
        <v>3497802</v>
      </c>
      <c r="V36" s="4">
        <v>3497802</v>
      </c>
    </row>
    <row r="37" spans="2:22" x14ac:dyDescent="0.45">
      <c r="B37" s="44" t="s">
        <v>126</v>
      </c>
      <c r="C37" s="4">
        <v>59001</v>
      </c>
      <c r="D37" s="4">
        <v>155509</v>
      </c>
      <c r="E37" s="4">
        <v>272678</v>
      </c>
      <c r="F37" s="4">
        <v>408439</v>
      </c>
      <c r="G37" s="4">
        <v>599275</v>
      </c>
      <c r="H37" s="4">
        <v>861215</v>
      </c>
      <c r="I37" s="4">
        <v>1173624</v>
      </c>
      <c r="J37" s="4">
        <v>1488501</v>
      </c>
      <c r="K37" s="4">
        <v>1813824</v>
      </c>
      <c r="L37" s="4">
        <v>2129334</v>
      </c>
      <c r="M37" s="4">
        <v>2389028</v>
      </c>
      <c r="N37" s="4">
        <v>2625884</v>
      </c>
      <c r="O37" s="4">
        <v>2823784</v>
      </c>
      <c r="P37" s="4">
        <v>2966655</v>
      </c>
      <c r="Q37" s="4">
        <v>3056775</v>
      </c>
      <c r="R37" s="4">
        <v>3119287</v>
      </c>
      <c r="S37" s="4">
        <v>3148022</v>
      </c>
      <c r="T37" s="4">
        <v>3148022</v>
      </c>
      <c r="U37" s="4">
        <v>3148022</v>
      </c>
      <c r="V37" s="4">
        <v>3148022</v>
      </c>
    </row>
    <row r="38" spans="2:22" x14ac:dyDescent="0.45">
      <c r="B38" s="44" t="s">
        <v>127</v>
      </c>
      <c r="C38" s="4">
        <v>18091143.26792388</v>
      </c>
      <c r="D38" s="4">
        <v>29854625.623868302</v>
      </c>
      <c r="E38" s="4">
        <v>37546309.874290101</v>
      </c>
      <c r="F38" s="4">
        <v>45914817.612122312</v>
      </c>
      <c r="G38" s="4">
        <v>69123546.711914808</v>
      </c>
      <c r="H38" s="4">
        <v>100707196.93366659</v>
      </c>
      <c r="I38" s="4">
        <v>126953692.73804344</v>
      </c>
      <c r="J38" s="4">
        <v>133953855.94567721</v>
      </c>
      <c r="K38" s="4">
        <v>145691035.67863145</v>
      </c>
      <c r="L38" s="4">
        <v>149043076.66798267</v>
      </c>
      <c r="M38" s="4">
        <v>132162546.46845953</v>
      </c>
      <c r="N38" s="4">
        <v>127336047.56564336</v>
      </c>
      <c r="O38" s="4">
        <v>115443447.30866592</v>
      </c>
      <c r="P38" s="4">
        <v>96855363.898590133</v>
      </c>
      <c r="Q38" s="4">
        <v>79228048.972335026</v>
      </c>
      <c r="R38" s="4">
        <v>70439907.934565827</v>
      </c>
      <c r="S38" s="4">
        <v>58415565.850758165</v>
      </c>
      <c r="T38" s="4">
        <v>46515166.883943506</v>
      </c>
      <c r="U38" s="4">
        <v>44982958.609317385</v>
      </c>
      <c r="V38" s="4">
        <v>42988001.083069809</v>
      </c>
    </row>
    <row r="39" spans="2:22" x14ac:dyDescent="0.45">
      <c r="B39" s="44" t="s">
        <v>128</v>
      </c>
      <c r="C39" s="4">
        <v>131326721.43083964</v>
      </c>
      <c r="D39" s="4">
        <v>111421397.59793946</v>
      </c>
      <c r="E39" s="4">
        <v>97367139.100089222</v>
      </c>
      <c r="F39" s="4">
        <v>208657724.34179163</v>
      </c>
      <c r="G39" s="4">
        <v>301301730.66506052</v>
      </c>
      <c r="H39" s="4">
        <v>356498668.10098964</v>
      </c>
      <c r="I39" s="4">
        <v>222111671.0448378</v>
      </c>
      <c r="J39" s="4">
        <v>244659950.20144659</v>
      </c>
      <c r="K39" s="4">
        <v>238238175.26183149</v>
      </c>
      <c r="L39" s="4">
        <v>5061054.9122364437</v>
      </c>
      <c r="M39" s="4">
        <v>5504862.7332856916</v>
      </c>
      <c r="N39" s="4">
        <v>4304736.9319168068</v>
      </c>
      <c r="O39" s="4">
        <v>3113223.4591539903</v>
      </c>
      <c r="P39" s="4">
        <v>3332377.0616435437</v>
      </c>
      <c r="Q39" s="4">
        <v>5001464.2369820746</v>
      </c>
      <c r="R39" s="4">
        <v>5462113.9737762921</v>
      </c>
      <c r="S39" s="4">
        <v>3929088.7350434284</v>
      </c>
      <c r="T39" s="4">
        <v>2679712.2045178898</v>
      </c>
      <c r="U39" s="4">
        <v>2660563.4794670762</v>
      </c>
      <c r="V39" s="4">
        <v>27888785.62416571</v>
      </c>
    </row>
    <row r="40" spans="2:22" x14ac:dyDescent="0.45">
      <c r="B40" s="44" t="s">
        <v>129</v>
      </c>
      <c r="C40" s="4">
        <v>18350283.834250916</v>
      </c>
      <c r="D40" s="4">
        <v>23066819.86467908</v>
      </c>
      <c r="E40" s="4">
        <v>26436183.305454884</v>
      </c>
      <c r="F40" s="4">
        <v>36228842.108925998</v>
      </c>
      <c r="G40" s="4">
        <v>53124111.863846585</v>
      </c>
      <c r="H40" s="4">
        <v>73466428.564008281</v>
      </c>
      <c r="I40" s="4">
        <v>90309501.482495219</v>
      </c>
      <c r="J40" s="4">
        <v>109084987.0350399</v>
      </c>
      <c r="K40" s="4">
        <v>127841762.09504306</v>
      </c>
      <c r="L40" s="4">
        <v>137772890.43743065</v>
      </c>
      <c r="M40" s="4">
        <v>146395604.00420731</v>
      </c>
      <c r="N40" s="4">
        <v>154656018.16657671</v>
      </c>
      <c r="O40" s="4">
        <v>162097373.0997692</v>
      </c>
      <c r="P40" s="4">
        <v>168242342.96704748</v>
      </c>
      <c r="Q40" s="4">
        <v>173087977.94770157</v>
      </c>
      <c r="R40" s="4">
        <v>177256305.64270157</v>
      </c>
      <c r="S40" s="4">
        <v>180547288.46939918</v>
      </c>
      <c r="T40" s="4">
        <v>183062535.29702649</v>
      </c>
      <c r="U40" s="4">
        <v>185572902.21348831</v>
      </c>
      <c r="V40" s="4">
        <v>188081371.24807665</v>
      </c>
    </row>
    <row r="41" spans="2:22" x14ac:dyDescent="0.45">
      <c r="B41" s="44" t="s">
        <v>130</v>
      </c>
      <c r="C41" s="4">
        <v>1888643.049193057</v>
      </c>
      <c r="D41" s="4">
        <v>3156991.7550002066</v>
      </c>
      <c r="E41" s="4">
        <v>3929514.2955581765</v>
      </c>
      <c r="F41" s="4">
        <v>4675236.4715783754</v>
      </c>
      <c r="G41" s="4">
        <v>6435334.0647112476</v>
      </c>
      <c r="H41" s="4">
        <v>8685357.3498624396</v>
      </c>
      <c r="I41" s="4">
        <v>10380321.609052343</v>
      </c>
      <c r="J41" s="4">
        <v>10704799.33854101</v>
      </c>
      <c r="K41" s="4">
        <v>11206139.010018682</v>
      </c>
      <c r="L41" s="4">
        <v>11126263.545735532</v>
      </c>
      <c r="M41" s="4">
        <v>9783331.88156249</v>
      </c>
      <c r="N41" s="4">
        <v>9236944.9522134941</v>
      </c>
      <c r="O41" s="4">
        <v>8248626.0730855325</v>
      </c>
      <c r="P41" s="4">
        <v>6828065.1078565894</v>
      </c>
      <c r="Q41" s="4">
        <v>5438776.5896952162</v>
      </c>
      <c r="R41" s="4">
        <v>4639171.6922986796</v>
      </c>
      <c r="S41" s="4">
        <v>3690903.7585638803</v>
      </c>
      <c r="T41" s="4">
        <v>2860672.1299634026</v>
      </c>
      <c r="U41" s="4">
        <v>2691715.6627683816</v>
      </c>
      <c r="V41" s="4">
        <v>2532019.560920503</v>
      </c>
    </row>
    <row r="43" spans="2:22" x14ac:dyDescent="0.45">
      <c r="B43" s="42" t="s">
        <v>131</v>
      </c>
      <c r="C43" s="47">
        <v>1</v>
      </c>
      <c r="D43" s="47">
        <v>2</v>
      </c>
      <c r="E43" s="47">
        <v>3</v>
      </c>
      <c r="F43" s="47">
        <v>4</v>
      </c>
      <c r="G43" s="47">
        <v>5</v>
      </c>
      <c r="H43" s="47">
        <v>6</v>
      </c>
      <c r="I43" s="47">
        <v>7</v>
      </c>
      <c r="J43" s="47">
        <v>8</v>
      </c>
      <c r="K43" s="47">
        <v>9</v>
      </c>
      <c r="L43" s="47">
        <v>10</v>
      </c>
      <c r="M43" s="47">
        <v>11</v>
      </c>
      <c r="N43" s="47">
        <v>12</v>
      </c>
      <c r="O43" s="47">
        <v>13</v>
      </c>
      <c r="P43" s="47">
        <v>14</v>
      </c>
      <c r="Q43" s="47">
        <v>15</v>
      </c>
      <c r="R43" s="47">
        <v>16</v>
      </c>
      <c r="S43" s="47">
        <v>17</v>
      </c>
      <c r="T43" s="47">
        <v>18</v>
      </c>
      <c r="U43" s="47">
        <v>19</v>
      </c>
      <c r="V43" s="47">
        <v>20</v>
      </c>
    </row>
    <row r="44" spans="2:22" x14ac:dyDescent="0.45">
      <c r="B44" s="44"/>
      <c r="C44" s="17" t="s">
        <v>5</v>
      </c>
      <c r="D44" s="17" t="s">
        <v>6</v>
      </c>
      <c r="E44" s="58" t="s">
        <v>7</v>
      </c>
      <c r="F44" s="58" t="s">
        <v>8</v>
      </c>
      <c r="G44" s="17" t="s">
        <v>9</v>
      </c>
      <c r="H44" s="17" t="s">
        <v>10</v>
      </c>
      <c r="I44" s="17" t="s">
        <v>11</v>
      </c>
      <c r="J44" s="17" t="s">
        <v>12</v>
      </c>
      <c r="K44" s="17" t="s">
        <v>13</v>
      </c>
      <c r="L44" s="17" t="s">
        <v>14</v>
      </c>
      <c r="M44" s="17" t="s">
        <v>49</v>
      </c>
      <c r="N44" s="17" t="s">
        <v>50</v>
      </c>
      <c r="O44" s="17" t="s">
        <v>51</v>
      </c>
      <c r="P44" s="17" t="s">
        <v>52</v>
      </c>
      <c r="Q44" s="17" t="s">
        <v>53</v>
      </c>
      <c r="R44" s="17" t="s">
        <v>54</v>
      </c>
      <c r="S44" s="17" t="s">
        <v>55</v>
      </c>
      <c r="T44" s="17" t="s">
        <v>56</v>
      </c>
      <c r="U44" s="17" t="s">
        <v>57</v>
      </c>
      <c r="V44" s="17" t="s">
        <v>58</v>
      </c>
    </row>
    <row r="45" spans="2:22" x14ac:dyDescent="0.45">
      <c r="B45" s="44" t="s">
        <v>125</v>
      </c>
      <c r="C45" s="4">
        <v>295006.3</v>
      </c>
      <c r="D45" s="4">
        <v>630039.6</v>
      </c>
      <c r="E45" s="4">
        <v>900864.89999999991</v>
      </c>
      <c r="F45" s="4">
        <v>1129240.2</v>
      </c>
      <c r="G45" s="4">
        <v>1518801.5</v>
      </c>
      <c r="H45" s="4">
        <v>2069097.8</v>
      </c>
      <c r="I45" s="4">
        <v>2596597.1</v>
      </c>
      <c r="J45" s="4">
        <v>2872682.4</v>
      </c>
      <c r="K45" s="4">
        <v>3210456.6999999997</v>
      </c>
      <c r="L45" s="4">
        <v>3497802</v>
      </c>
      <c r="M45" s="4">
        <v>3497802</v>
      </c>
      <c r="N45" s="4">
        <v>3497802</v>
      </c>
      <c r="O45" s="4">
        <v>3497802</v>
      </c>
      <c r="P45" s="4">
        <v>3497802</v>
      </c>
      <c r="Q45" s="4">
        <v>3497802</v>
      </c>
      <c r="R45" s="4">
        <v>3497802</v>
      </c>
      <c r="S45" s="4">
        <v>3497802</v>
      </c>
      <c r="T45" s="4">
        <v>3497802</v>
      </c>
      <c r="U45" s="4">
        <v>3497802</v>
      </c>
      <c r="V45" s="4">
        <v>3497802</v>
      </c>
    </row>
    <row r="46" spans="2:22" x14ac:dyDescent="0.45">
      <c r="B46" s="44" t="s">
        <v>126</v>
      </c>
      <c r="C46" s="4">
        <v>59001</v>
      </c>
      <c r="D46" s="4">
        <v>155509</v>
      </c>
      <c r="E46" s="4">
        <v>272678</v>
      </c>
      <c r="F46" s="4">
        <v>408439</v>
      </c>
      <c r="G46" s="4">
        <v>599275</v>
      </c>
      <c r="H46" s="4">
        <v>861215</v>
      </c>
      <c r="I46" s="4">
        <v>1173624</v>
      </c>
      <c r="J46" s="4">
        <v>1488501</v>
      </c>
      <c r="K46" s="4">
        <v>1813824</v>
      </c>
      <c r="L46" s="4">
        <v>2129334</v>
      </c>
      <c r="M46" s="4">
        <v>2389028</v>
      </c>
      <c r="N46" s="4">
        <v>2625884</v>
      </c>
      <c r="O46" s="4">
        <v>2823784</v>
      </c>
      <c r="P46" s="4">
        <v>2966655</v>
      </c>
      <c r="Q46" s="4">
        <v>3056775</v>
      </c>
      <c r="R46" s="4">
        <v>3119287</v>
      </c>
      <c r="S46" s="4">
        <v>3148022</v>
      </c>
      <c r="T46" s="4">
        <v>3148022</v>
      </c>
      <c r="U46" s="4">
        <v>3148022</v>
      </c>
      <c r="V46" s="4">
        <v>3148022</v>
      </c>
    </row>
    <row r="47" spans="2:22" x14ac:dyDescent="0.45">
      <c r="B47" s="44" t="s">
        <v>127</v>
      </c>
      <c r="C47" s="4">
        <v>18091143.26792388</v>
      </c>
      <c r="D47" s="4">
        <v>29854625.623868302</v>
      </c>
      <c r="E47" s="4">
        <v>37546309.874290101</v>
      </c>
      <c r="F47" s="4">
        <v>45914817.612122312</v>
      </c>
      <c r="G47" s="4">
        <v>69123546.711914808</v>
      </c>
      <c r="H47" s="4">
        <v>100707196.93366659</v>
      </c>
      <c r="I47" s="4">
        <v>126953692.73804344</v>
      </c>
      <c r="J47" s="4">
        <v>133953855.94567721</v>
      </c>
      <c r="K47" s="4">
        <v>145691035.67863145</v>
      </c>
      <c r="L47" s="4">
        <v>149043076.66798267</v>
      </c>
      <c r="M47" s="4">
        <v>132162546.46845953</v>
      </c>
      <c r="N47" s="4">
        <v>127336047.56564336</v>
      </c>
      <c r="O47" s="4">
        <v>115443447.30866592</v>
      </c>
      <c r="P47" s="4">
        <v>96855363.898590133</v>
      </c>
      <c r="Q47" s="4">
        <v>79228048.972335026</v>
      </c>
      <c r="R47" s="4">
        <v>70439907.934565827</v>
      </c>
      <c r="S47" s="4">
        <v>58415565.850758165</v>
      </c>
      <c r="T47" s="4">
        <v>46515166.883943506</v>
      </c>
      <c r="U47" s="4">
        <v>44982958.609317385</v>
      </c>
      <c r="V47" s="4">
        <v>42988001.083069809</v>
      </c>
    </row>
    <row r="48" spans="2:22" x14ac:dyDescent="0.45">
      <c r="B48" s="44" t="s">
        <v>128</v>
      </c>
      <c r="C48" s="4">
        <v>159340695.01167503</v>
      </c>
      <c r="D48" s="4">
        <v>135367038.1724546</v>
      </c>
      <c r="E48" s="4">
        <v>121088837.21686444</v>
      </c>
      <c r="F48" s="4">
        <v>256129284.56513673</v>
      </c>
      <c r="G48" s="4">
        <v>372385901.38316619</v>
      </c>
      <c r="H48" s="4">
        <v>432292395.49323976</v>
      </c>
      <c r="I48" s="4">
        <v>257121504.69337299</v>
      </c>
      <c r="J48" s="4">
        <v>303982258.87200743</v>
      </c>
      <c r="K48" s="4">
        <v>285214608.08839327</v>
      </c>
      <c r="L48" s="4">
        <v>5061054.9122364437</v>
      </c>
      <c r="M48" s="4">
        <v>5504862.7332856916</v>
      </c>
      <c r="N48" s="4">
        <v>4304736.9319168068</v>
      </c>
      <c r="O48" s="4">
        <v>3113223.4591539903</v>
      </c>
      <c r="P48" s="4">
        <v>3332377.0616435437</v>
      </c>
      <c r="Q48" s="4">
        <v>5001464.2369820746</v>
      </c>
      <c r="R48" s="4">
        <v>5462113.9737762921</v>
      </c>
      <c r="S48" s="4">
        <v>3929088.7350434284</v>
      </c>
      <c r="T48" s="4">
        <v>2679712.2045178898</v>
      </c>
      <c r="U48" s="4">
        <v>2660563.4794670762</v>
      </c>
      <c r="V48" s="4">
        <v>27888785.62416571</v>
      </c>
    </row>
    <row r="49" spans="2:22" x14ac:dyDescent="0.45">
      <c r="B49" s="44" t="s">
        <v>129</v>
      </c>
      <c r="C49" s="4">
        <v>21066204.586340208</v>
      </c>
      <c r="D49" s="4">
        <v>25866959.730406649</v>
      </c>
      <c r="E49" s="4">
        <v>29082005.391249709</v>
      </c>
      <c r="F49" s="4">
        <v>39473698.002698474</v>
      </c>
      <c r="G49" s="4">
        <v>57703104.773210928</v>
      </c>
      <c r="H49" s="4">
        <v>79397805.06953752</v>
      </c>
      <c r="I49" s="4">
        <v>96882853.963404179</v>
      </c>
      <c r="J49" s="4">
        <v>116735652.007698</v>
      </c>
      <c r="K49" s="4">
        <v>136316691.79433405</v>
      </c>
      <c r="L49" s="4">
        <v>146202689.65267766</v>
      </c>
      <c r="M49" s="4">
        <v>154778791.23500368</v>
      </c>
      <c r="N49" s="4">
        <v>162991080.72114214</v>
      </c>
      <c r="O49" s="4">
        <v>170382766.4669106</v>
      </c>
      <c r="P49" s="4">
        <v>176476490.17554861</v>
      </c>
      <c r="Q49" s="4">
        <v>181269268.91288805</v>
      </c>
      <c r="R49" s="4">
        <v>185383096.49992675</v>
      </c>
      <c r="S49" s="4">
        <v>188617900.89418748</v>
      </c>
      <c r="T49" s="4">
        <v>191075255.81160864</v>
      </c>
      <c r="U49" s="4">
        <v>193525981.47945547</v>
      </c>
      <c r="V49" s="4">
        <v>195973023.34487629</v>
      </c>
    </row>
    <row r="50" spans="2:22" x14ac:dyDescent="0.45">
      <c r="B50" s="44" t="s">
        <v>130</v>
      </c>
      <c r="C50" s="4">
        <v>1888643.049193057</v>
      </c>
      <c r="D50" s="4">
        <v>3156991.7550002066</v>
      </c>
      <c r="E50" s="4">
        <v>3929514.2955581765</v>
      </c>
      <c r="F50" s="4">
        <v>4675236.4715783754</v>
      </c>
      <c r="G50" s="4">
        <v>6435334.0647112476</v>
      </c>
      <c r="H50" s="4">
        <v>8685357.3498624396</v>
      </c>
      <c r="I50" s="4">
        <v>10380321.609052343</v>
      </c>
      <c r="J50" s="4">
        <v>10704799.33854101</v>
      </c>
      <c r="K50" s="4">
        <v>11206139.010018682</v>
      </c>
      <c r="L50" s="4">
        <v>11126263.545735532</v>
      </c>
      <c r="M50" s="4">
        <v>9783331.88156249</v>
      </c>
      <c r="N50" s="4">
        <v>9236944.9522134941</v>
      </c>
      <c r="O50" s="4">
        <v>8248626.0730855325</v>
      </c>
      <c r="P50" s="4">
        <v>6828065.1078565894</v>
      </c>
      <c r="Q50" s="4">
        <v>5438776.5896952162</v>
      </c>
      <c r="R50" s="4">
        <v>4639171.6922986796</v>
      </c>
      <c r="S50" s="4">
        <v>3690903.7585638803</v>
      </c>
      <c r="T50" s="4">
        <v>2860672.1299634026</v>
      </c>
      <c r="U50" s="4">
        <v>2691715.6627683816</v>
      </c>
      <c r="V50" s="4">
        <v>2532019.560920503</v>
      </c>
    </row>
    <row r="52" spans="2:22" x14ac:dyDescent="0.45">
      <c r="B52" s="42" t="s">
        <v>132</v>
      </c>
      <c r="C52" s="47">
        <v>1</v>
      </c>
      <c r="D52" s="47">
        <v>2</v>
      </c>
      <c r="E52" s="47">
        <v>3</v>
      </c>
      <c r="F52" s="47">
        <v>4</v>
      </c>
      <c r="G52" s="47">
        <v>5</v>
      </c>
      <c r="H52" s="47">
        <v>6</v>
      </c>
      <c r="I52" s="47">
        <v>7</v>
      </c>
      <c r="J52" s="47">
        <v>8</v>
      </c>
      <c r="K52" s="47">
        <v>9</v>
      </c>
      <c r="L52" s="47">
        <v>10</v>
      </c>
      <c r="M52" s="47">
        <v>11</v>
      </c>
      <c r="N52" s="47">
        <v>12</v>
      </c>
      <c r="O52" s="47">
        <v>13</v>
      </c>
      <c r="P52" s="47">
        <v>14</v>
      </c>
      <c r="Q52" s="47">
        <v>15</v>
      </c>
      <c r="R52" s="47">
        <v>16</v>
      </c>
      <c r="S52" s="47">
        <v>17</v>
      </c>
      <c r="T52" s="47">
        <v>18</v>
      </c>
      <c r="U52" s="47">
        <v>19</v>
      </c>
      <c r="V52" s="47">
        <v>20</v>
      </c>
    </row>
    <row r="53" spans="2:22" x14ac:dyDescent="0.45">
      <c r="B53" s="44"/>
      <c r="C53" s="17" t="s">
        <v>5</v>
      </c>
      <c r="D53" s="17" t="s">
        <v>6</v>
      </c>
      <c r="E53" s="58" t="s">
        <v>7</v>
      </c>
      <c r="F53" s="58" t="s">
        <v>8</v>
      </c>
      <c r="G53" s="17" t="s">
        <v>9</v>
      </c>
      <c r="H53" s="17" t="s">
        <v>10</v>
      </c>
      <c r="I53" s="17" t="s">
        <v>11</v>
      </c>
      <c r="J53" s="17" t="s">
        <v>12</v>
      </c>
      <c r="K53" s="17" t="s">
        <v>13</v>
      </c>
      <c r="L53" s="17" t="s">
        <v>14</v>
      </c>
      <c r="M53" s="17" t="s">
        <v>49</v>
      </c>
      <c r="N53" s="17" t="s">
        <v>50</v>
      </c>
      <c r="O53" s="17" t="s">
        <v>51</v>
      </c>
      <c r="P53" s="17" t="s">
        <v>52</v>
      </c>
      <c r="Q53" s="17" t="s">
        <v>53</v>
      </c>
      <c r="R53" s="17" t="s">
        <v>54</v>
      </c>
      <c r="S53" s="17" t="s">
        <v>55</v>
      </c>
      <c r="T53" s="17" t="s">
        <v>56</v>
      </c>
      <c r="U53" s="17" t="s">
        <v>57</v>
      </c>
      <c r="V53" s="17" t="s">
        <v>58</v>
      </c>
    </row>
    <row r="54" spans="2:22" x14ac:dyDescent="0.45">
      <c r="B54" s="44" t="s">
        <v>125</v>
      </c>
      <c r="C54" s="4">
        <v>295006.3</v>
      </c>
      <c r="D54" s="4">
        <v>630039.6</v>
      </c>
      <c r="E54" s="4">
        <v>900864.89999999991</v>
      </c>
      <c r="F54" s="4">
        <v>1129240.2</v>
      </c>
      <c r="G54" s="4">
        <v>1518801.5</v>
      </c>
      <c r="H54" s="4">
        <v>2069097.8</v>
      </c>
      <c r="I54" s="4">
        <v>2596597.1</v>
      </c>
      <c r="J54" s="4">
        <v>2872682.4</v>
      </c>
      <c r="K54" s="4">
        <v>3210456.6999999997</v>
      </c>
      <c r="L54" s="4">
        <v>3497802</v>
      </c>
      <c r="M54" s="4">
        <v>3497802</v>
      </c>
      <c r="N54" s="4">
        <v>3497802</v>
      </c>
      <c r="O54" s="4">
        <v>3497802</v>
      </c>
      <c r="P54" s="4">
        <v>3497802</v>
      </c>
      <c r="Q54" s="4">
        <v>3497802</v>
      </c>
      <c r="R54" s="4">
        <v>3497802</v>
      </c>
      <c r="S54" s="4">
        <v>3497802</v>
      </c>
      <c r="T54" s="4">
        <v>3497802</v>
      </c>
      <c r="U54" s="4">
        <v>3497802</v>
      </c>
      <c r="V54" s="4">
        <v>3497802</v>
      </c>
    </row>
    <row r="55" spans="2:22" x14ac:dyDescent="0.45">
      <c r="B55" s="44" t="s">
        <v>126</v>
      </c>
      <c r="C55" s="4">
        <v>59001</v>
      </c>
      <c r="D55" s="4">
        <v>155509</v>
      </c>
      <c r="E55" s="4">
        <v>272678</v>
      </c>
      <c r="F55" s="4">
        <v>408439</v>
      </c>
      <c r="G55" s="4">
        <v>599275</v>
      </c>
      <c r="H55" s="4">
        <v>861215</v>
      </c>
      <c r="I55" s="4">
        <v>1173624</v>
      </c>
      <c r="J55" s="4">
        <v>1488501</v>
      </c>
      <c r="K55" s="4">
        <v>1813824</v>
      </c>
      <c r="L55" s="4">
        <v>2129334</v>
      </c>
      <c r="M55" s="4">
        <v>2389028</v>
      </c>
      <c r="N55" s="4">
        <v>2625884</v>
      </c>
      <c r="O55" s="4">
        <v>2823784</v>
      </c>
      <c r="P55" s="4">
        <v>2966655</v>
      </c>
      <c r="Q55" s="4">
        <v>3056775</v>
      </c>
      <c r="R55" s="4">
        <v>3119287</v>
      </c>
      <c r="S55" s="4">
        <v>3148022</v>
      </c>
      <c r="T55" s="4">
        <v>3148022</v>
      </c>
      <c r="U55" s="4">
        <v>3148022</v>
      </c>
      <c r="V55" s="4">
        <v>3148022</v>
      </c>
    </row>
    <row r="56" spans="2:22" x14ac:dyDescent="0.45">
      <c r="B56" s="44" t="s">
        <v>127</v>
      </c>
      <c r="C56" s="4">
        <v>18091143.26792388</v>
      </c>
      <c r="D56" s="4">
        <v>29854625.623868302</v>
      </c>
      <c r="E56" s="4">
        <v>37546309.874290101</v>
      </c>
      <c r="F56" s="4">
        <v>45914817.612122312</v>
      </c>
      <c r="G56" s="4">
        <v>69123546.711914808</v>
      </c>
      <c r="H56" s="4">
        <v>100707196.93366659</v>
      </c>
      <c r="I56" s="4">
        <v>126953692.73804344</v>
      </c>
      <c r="J56" s="4">
        <v>133953855.94567721</v>
      </c>
      <c r="K56" s="4">
        <v>145691035.67863145</v>
      </c>
      <c r="L56" s="4">
        <v>149043076.66798267</v>
      </c>
      <c r="M56" s="4">
        <v>132162546.46845953</v>
      </c>
      <c r="N56" s="4">
        <v>127336047.56564336</v>
      </c>
      <c r="O56" s="4">
        <v>115443447.30866592</v>
      </c>
      <c r="P56" s="4">
        <v>96855363.898590133</v>
      </c>
      <c r="Q56" s="4">
        <v>79228048.972335026</v>
      </c>
      <c r="R56" s="4">
        <v>70439907.934565827</v>
      </c>
      <c r="S56" s="4">
        <v>58415565.850758165</v>
      </c>
      <c r="T56" s="4">
        <v>46515166.883943506</v>
      </c>
      <c r="U56" s="4">
        <v>44982958.609317385</v>
      </c>
      <c r="V56" s="4">
        <v>42988001.083069809</v>
      </c>
    </row>
    <row r="57" spans="2:22" x14ac:dyDescent="0.45">
      <c r="B57" s="44" t="s">
        <v>128</v>
      </c>
      <c r="C57" s="4">
        <v>113447243.68804651</v>
      </c>
      <c r="D57" s="4">
        <v>98408207.626602456</v>
      </c>
      <c r="E57" s="4">
        <v>92504675.591065049</v>
      </c>
      <c r="F57" s="4">
        <v>185736188.96422559</v>
      </c>
      <c r="G57" s="4">
        <v>275517001.79966098</v>
      </c>
      <c r="H57" s="4">
        <v>307004313.49954623</v>
      </c>
      <c r="I57" s="4">
        <v>169253823.479415</v>
      </c>
      <c r="J57" s="4">
        <v>219825465.36914718</v>
      </c>
      <c r="K57" s="4">
        <v>191788080.36251467</v>
      </c>
      <c r="L57" s="4">
        <v>5061054.9122364437</v>
      </c>
      <c r="M57" s="4">
        <v>5504862.7332856916</v>
      </c>
      <c r="N57" s="4">
        <v>4304736.9319168068</v>
      </c>
      <c r="O57" s="4">
        <v>3113223.4591539903</v>
      </c>
      <c r="P57" s="4">
        <v>3332377.0616435437</v>
      </c>
      <c r="Q57" s="4">
        <v>5001464.2369820746</v>
      </c>
      <c r="R57" s="4">
        <v>5462113.9737762921</v>
      </c>
      <c r="S57" s="4">
        <v>3929088.7350434284</v>
      </c>
      <c r="T57" s="4">
        <v>2679712.2045178898</v>
      </c>
      <c r="U57" s="4">
        <v>2660563.4794670762</v>
      </c>
      <c r="V57" s="4">
        <v>27888785.62416571</v>
      </c>
    </row>
    <row r="58" spans="2:22" x14ac:dyDescent="0.45">
      <c r="B58" s="44" t="s">
        <v>129</v>
      </c>
      <c r="C58" s="4">
        <v>16342781.659608107</v>
      </c>
      <c r="D58" s="4">
        <v>21189192.086119432</v>
      </c>
      <c r="E58" s="4">
        <v>24974126.955250226</v>
      </c>
      <c r="F58" s="4">
        <v>34546688.376351997</v>
      </c>
      <c r="G58" s="4">
        <v>51023727.197516106</v>
      </c>
      <c r="H58" s="4">
        <v>70506622.592188373</v>
      </c>
      <c r="I58" s="4">
        <v>86393849.354000583</v>
      </c>
      <c r="J58" s="4">
        <v>104746314.96396475</v>
      </c>
      <c r="K58" s="4">
        <v>122704687.59413958</v>
      </c>
      <c r="L58" s="4">
        <v>132670066.19880669</v>
      </c>
      <c r="M58" s="4">
        <v>141328084.52290747</v>
      </c>
      <c r="N58" s="4">
        <v>149624880.02412269</v>
      </c>
      <c r="O58" s="4">
        <v>157103715.40857711</v>
      </c>
      <c r="P58" s="4">
        <v>163287287.82374111</v>
      </c>
      <c r="Q58" s="4">
        <v>168172670.89549878</v>
      </c>
      <c r="R58" s="4">
        <v>172381916.14305618</v>
      </c>
      <c r="S58" s="4">
        <v>175715010.38308242</v>
      </c>
      <c r="T58" s="4">
        <v>178273587.37483805</v>
      </c>
      <c r="U58" s="4">
        <v>180828528.59678832</v>
      </c>
      <c r="V58" s="4">
        <v>183382841.97933626</v>
      </c>
    </row>
    <row r="59" spans="2:22" x14ac:dyDescent="0.45">
      <c r="B59" s="44" t="s">
        <v>130</v>
      </c>
      <c r="C59" s="4">
        <v>1888643.049193057</v>
      </c>
      <c r="D59" s="4">
        <v>3156991.7550002066</v>
      </c>
      <c r="E59" s="4">
        <v>3929514.2955581765</v>
      </c>
      <c r="F59" s="4">
        <v>4675236.4715783754</v>
      </c>
      <c r="G59" s="4">
        <v>6435334.0647112476</v>
      </c>
      <c r="H59" s="4">
        <v>8685357.3498624396</v>
      </c>
      <c r="I59" s="4">
        <v>10380321.609052343</v>
      </c>
      <c r="J59" s="4">
        <v>10704799.33854101</v>
      </c>
      <c r="K59" s="4">
        <v>11206139.010018682</v>
      </c>
      <c r="L59" s="4">
        <v>11126263.545735532</v>
      </c>
      <c r="M59" s="4">
        <v>9783331.88156249</v>
      </c>
      <c r="N59" s="4">
        <v>9236944.9522134941</v>
      </c>
      <c r="O59" s="4">
        <v>8248626.0730855325</v>
      </c>
      <c r="P59" s="4">
        <v>6828065.1078565894</v>
      </c>
      <c r="Q59" s="4">
        <v>5438776.5896952162</v>
      </c>
      <c r="R59" s="4">
        <v>4639171.6922986796</v>
      </c>
      <c r="S59" s="4">
        <v>3690903.7585638803</v>
      </c>
      <c r="T59" s="4">
        <v>2860672.1299634026</v>
      </c>
      <c r="U59" s="4">
        <v>2691715.6627683816</v>
      </c>
      <c r="V59" s="4">
        <v>2532019.560920503</v>
      </c>
    </row>
    <row r="61" spans="2:22" x14ac:dyDescent="0.45">
      <c r="C61" s="122"/>
    </row>
    <row r="62" spans="2:22" x14ac:dyDescent="0.45">
      <c r="B62" s="44" t="s">
        <v>133</v>
      </c>
      <c r="C62" s="60">
        <v>1</v>
      </c>
      <c r="D62" s="43" t="s">
        <v>134</v>
      </c>
    </row>
    <row r="63" spans="2:22" x14ac:dyDescent="0.45">
      <c r="B63" s="1"/>
    </row>
    <row r="64" spans="2:22" x14ac:dyDescent="0.45">
      <c r="C64" s="28"/>
      <c r="D64" s="28"/>
      <c r="E64" s="28"/>
      <c r="F64" s="28"/>
      <c r="G64" s="28"/>
      <c r="H64" s="28"/>
      <c r="I64" s="28"/>
      <c r="J64" s="28"/>
      <c r="K64" s="28"/>
      <c r="L64" s="28"/>
      <c r="M64" s="28"/>
      <c r="N64" s="28"/>
      <c r="O64" s="28"/>
      <c r="P64" s="28"/>
      <c r="Q64" s="28"/>
      <c r="R64" s="28"/>
      <c r="S64" s="28"/>
      <c r="T64" s="28"/>
      <c r="U64" s="28"/>
      <c r="V64" s="28"/>
    </row>
    <row r="65" spans="2:22" x14ac:dyDescent="0.45">
      <c r="B65" s="42" t="str">
        <f>"Central case - "&amp;ROUND($C$62*MAX($C$36:$V$36)/million,1)&amp;"m premises"</f>
        <v>Central case - 3.5m premises</v>
      </c>
      <c r="C65" s="47">
        <v>1</v>
      </c>
      <c r="D65" s="47">
        <v>2</v>
      </c>
      <c r="E65" s="47">
        <v>3</v>
      </c>
      <c r="F65" s="47">
        <v>4</v>
      </c>
      <c r="G65" s="47">
        <v>5</v>
      </c>
      <c r="H65" s="47">
        <v>6</v>
      </c>
      <c r="I65" s="47">
        <v>7</v>
      </c>
      <c r="J65" s="47">
        <v>8</v>
      </c>
      <c r="K65" s="47">
        <v>9</v>
      </c>
      <c r="L65" s="47">
        <v>10</v>
      </c>
      <c r="M65" s="47">
        <v>11</v>
      </c>
      <c r="N65" s="47">
        <v>12</v>
      </c>
      <c r="O65" s="47">
        <v>13</v>
      </c>
      <c r="P65" s="47">
        <v>14</v>
      </c>
      <c r="Q65" s="47">
        <v>15</v>
      </c>
      <c r="R65" s="47">
        <v>16</v>
      </c>
      <c r="S65" s="47">
        <v>17</v>
      </c>
      <c r="T65" s="47">
        <v>18</v>
      </c>
      <c r="U65" s="47">
        <v>19</v>
      </c>
      <c r="V65" s="47">
        <v>20</v>
      </c>
    </row>
    <row r="66" spans="2:22" x14ac:dyDescent="0.45">
      <c r="B66" s="44"/>
      <c r="C66" s="17" t="s">
        <v>5</v>
      </c>
      <c r="D66" s="17" t="s">
        <v>6</v>
      </c>
      <c r="E66" s="58" t="s">
        <v>7</v>
      </c>
      <c r="F66" s="58" t="s">
        <v>8</v>
      </c>
      <c r="G66" s="17" t="s">
        <v>9</v>
      </c>
      <c r="H66" s="17" t="s">
        <v>10</v>
      </c>
      <c r="I66" s="17" t="s">
        <v>11</v>
      </c>
      <c r="J66" s="17" t="s">
        <v>12</v>
      </c>
      <c r="K66" s="17" t="s">
        <v>13</v>
      </c>
      <c r="L66" s="17" t="s">
        <v>14</v>
      </c>
      <c r="M66" s="17" t="s">
        <v>49</v>
      </c>
      <c r="N66" s="17" t="s">
        <v>50</v>
      </c>
      <c r="O66" s="17" t="s">
        <v>51</v>
      </c>
      <c r="P66" s="17" t="s">
        <v>52</v>
      </c>
      <c r="Q66" s="17" t="s">
        <v>53</v>
      </c>
      <c r="R66" s="17" t="s">
        <v>54</v>
      </c>
      <c r="S66" s="17" t="s">
        <v>55</v>
      </c>
      <c r="T66" s="17" t="s">
        <v>56</v>
      </c>
      <c r="U66" s="17" t="s">
        <v>57</v>
      </c>
      <c r="V66" s="17" t="s">
        <v>58</v>
      </c>
    </row>
    <row r="67" spans="2:22" x14ac:dyDescent="0.45">
      <c r="B67" s="44" t="s">
        <v>125</v>
      </c>
      <c r="C67" s="3">
        <f t="shared" ref="C67:V72" si="5">C36*$C$62</f>
        <v>295006.3</v>
      </c>
      <c r="D67" s="3">
        <f t="shared" si="5"/>
        <v>630039.6</v>
      </c>
      <c r="E67" s="3">
        <f t="shared" si="5"/>
        <v>900864.89999999991</v>
      </c>
      <c r="F67" s="3">
        <f t="shared" si="5"/>
        <v>1129240.2</v>
      </c>
      <c r="G67" s="3">
        <f t="shared" si="5"/>
        <v>1518801.5</v>
      </c>
      <c r="H67" s="3">
        <f t="shared" si="5"/>
        <v>2069097.8</v>
      </c>
      <c r="I67" s="3">
        <f t="shared" si="5"/>
        <v>2596597.1</v>
      </c>
      <c r="J67" s="3">
        <f t="shared" si="5"/>
        <v>2872682.4</v>
      </c>
      <c r="K67" s="3">
        <f t="shared" si="5"/>
        <v>3210456.6999999997</v>
      </c>
      <c r="L67" s="3">
        <f t="shared" si="5"/>
        <v>3497802</v>
      </c>
      <c r="M67" s="3">
        <f t="shared" si="5"/>
        <v>3497802</v>
      </c>
      <c r="N67" s="3">
        <f t="shared" si="5"/>
        <v>3497802</v>
      </c>
      <c r="O67" s="3">
        <f t="shared" si="5"/>
        <v>3497802</v>
      </c>
      <c r="P67" s="3">
        <f t="shared" si="5"/>
        <v>3497802</v>
      </c>
      <c r="Q67" s="3">
        <f t="shared" si="5"/>
        <v>3497802</v>
      </c>
      <c r="R67" s="3">
        <f t="shared" si="5"/>
        <v>3497802</v>
      </c>
      <c r="S67" s="3">
        <f t="shared" si="5"/>
        <v>3497802</v>
      </c>
      <c r="T67" s="3">
        <f t="shared" si="5"/>
        <v>3497802</v>
      </c>
      <c r="U67" s="3">
        <f t="shared" si="5"/>
        <v>3497802</v>
      </c>
      <c r="V67" s="3">
        <f t="shared" si="5"/>
        <v>3497802</v>
      </c>
    </row>
    <row r="68" spans="2:22" x14ac:dyDescent="0.45">
      <c r="B68" s="44" t="s">
        <v>126</v>
      </c>
      <c r="C68" s="3">
        <f t="shared" si="5"/>
        <v>59001</v>
      </c>
      <c r="D68" s="3">
        <f t="shared" si="5"/>
        <v>155509</v>
      </c>
      <c r="E68" s="3">
        <f t="shared" si="5"/>
        <v>272678</v>
      </c>
      <c r="F68" s="3">
        <f t="shared" si="5"/>
        <v>408439</v>
      </c>
      <c r="G68" s="3">
        <f t="shared" si="5"/>
        <v>599275</v>
      </c>
      <c r="H68" s="3">
        <f t="shared" si="5"/>
        <v>861215</v>
      </c>
      <c r="I68" s="3">
        <f t="shared" si="5"/>
        <v>1173624</v>
      </c>
      <c r="J68" s="3">
        <f t="shared" si="5"/>
        <v>1488501</v>
      </c>
      <c r="K68" s="3">
        <f t="shared" si="5"/>
        <v>1813824</v>
      </c>
      <c r="L68" s="3">
        <f t="shared" si="5"/>
        <v>2129334</v>
      </c>
      <c r="M68" s="3">
        <f t="shared" si="5"/>
        <v>2389028</v>
      </c>
      <c r="N68" s="3">
        <f t="shared" si="5"/>
        <v>2625884</v>
      </c>
      <c r="O68" s="3">
        <f t="shared" si="5"/>
        <v>2823784</v>
      </c>
      <c r="P68" s="3">
        <f t="shared" si="5"/>
        <v>2966655</v>
      </c>
      <c r="Q68" s="3">
        <f t="shared" si="5"/>
        <v>3056775</v>
      </c>
      <c r="R68" s="3">
        <f t="shared" si="5"/>
        <v>3119287</v>
      </c>
      <c r="S68" s="3">
        <f t="shared" si="5"/>
        <v>3148022</v>
      </c>
      <c r="T68" s="3">
        <f t="shared" si="5"/>
        <v>3148022</v>
      </c>
      <c r="U68" s="3">
        <f t="shared" si="5"/>
        <v>3148022</v>
      </c>
      <c r="V68" s="3">
        <f t="shared" si="5"/>
        <v>3148022</v>
      </c>
    </row>
    <row r="69" spans="2:22" x14ac:dyDescent="0.45">
      <c r="B69" s="44" t="s">
        <v>127</v>
      </c>
      <c r="C69" s="3">
        <f t="shared" si="5"/>
        <v>18091143.26792388</v>
      </c>
      <c r="D69" s="3">
        <f t="shared" si="5"/>
        <v>29854625.623868302</v>
      </c>
      <c r="E69" s="3">
        <f t="shared" si="5"/>
        <v>37546309.874290101</v>
      </c>
      <c r="F69" s="3">
        <f t="shared" si="5"/>
        <v>45914817.612122312</v>
      </c>
      <c r="G69" s="3">
        <f t="shared" si="5"/>
        <v>69123546.711914808</v>
      </c>
      <c r="H69" s="3">
        <f t="shared" si="5"/>
        <v>100707196.93366659</v>
      </c>
      <c r="I69" s="3">
        <f t="shared" si="5"/>
        <v>126953692.73804344</v>
      </c>
      <c r="J69" s="3">
        <f t="shared" si="5"/>
        <v>133953855.94567721</v>
      </c>
      <c r="K69" s="3">
        <f t="shared" si="5"/>
        <v>145691035.67863145</v>
      </c>
      <c r="L69" s="3">
        <f t="shared" si="5"/>
        <v>149043076.66798267</v>
      </c>
      <c r="M69" s="3">
        <f t="shared" si="5"/>
        <v>132162546.46845953</v>
      </c>
      <c r="N69" s="3">
        <f t="shared" si="5"/>
        <v>127336047.56564336</v>
      </c>
      <c r="O69" s="3">
        <f t="shared" si="5"/>
        <v>115443447.30866592</v>
      </c>
      <c r="P69" s="3">
        <f t="shared" si="5"/>
        <v>96855363.898590133</v>
      </c>
      <c r="Q69" s="3">
        <f t="shared" si="5"/>
        <v>79228048.972335026</v>
      </c>
      <c r="R69" s="3">
        <f t="shared" si="5"/>
        <v>70439907.934565827</v>
      </c>
      <c r="S69" s="3">
        <f t="shared" si="5"/>
        <v>58415565.850758165</v>
      </c>
      <c r="T69" s="3">
        <f t="shared" si="5"/>
        <v>46515166.883943506</v>
      </c>
      <c r="U69" s="3">
        <f t="shared" si="5"/>
        <v>44982958.609317385</v>
      </c>
      <c r="V69" s="3">
        <f t="shared" si="5"/>
        <v>42988001.083069809</v>
      </c>
    </row>
    <row r="70" spans="2:22" x14ac:dyDescent="0.45">
      <c r="B70" s="44" t="s">
        <v>128</v>
      </c>
      <c r="C70" s="3">
        <f t="shared" si="5"/>
        <v>131326721.43083964</v>
      </c>
      <c r="D70" s="3">
        <f t="shared" si="5"/>
        <v>111421397.59793946</v>
      </c>
      <c r="E70" s="3">
        <f t="shared" si="5"/>
        <v>97367139.100089222</v>
      </c>
      <c r="F70" s="3">
        <f t="shared" si="5"/>
        <v>208657724.34179163</v>
      </c>
      <c r="G70" s="3">
        <f t="shared" si="5"/>
        <v>301301730.66506052</v>
      </c>
      <c r="H70" s="3">
        <f t="shared" si="5"/>
        <v>356498668.10098964</v>
      </c>
      <c r="I70" s="3">
        <f t="shared" si="5"/>
        <v>222111671.0448378</v>
      </c>
      <c r="J70" s="3">
        <f t="shared" si="5"/>
        <v>244659950.20144659</v>
      </c>
      <c r="K70" s="3">
        <f t="shared" si="5"/>
        <v>238238175.26183149</v>
      </c>
      <c r="L70" s="3">
        <f t="shared" si="5"/>
        <v>5061054.9122364437</v>
      </c>
      <c r="M70" s="3">
        <f t="shared" si="5"/>
        <v>5504862.7332856916</v>
      </c>
      <c r="N70" s="3">
        <f t="shared" si="5"/>
        <v>4304736.9319168068</v>
      </c>
      <c r="O70" s="3">
        <f t="shared" si="5"/>
        <v>3113223.4591539903</v>
      </c>
      <c r="P70" s="3">
        <f t="shared" si="5"/>
        <v>3332377.0616435437</v>
      </c>
      <c r="Q70" s="3">
        <f t="shared" si="5"/>
        <v>5001464.2369820746</v>
      </c>
      <c r="R70" s="3">
        <f t="shared" si="5"/>
        <v>5462113.9737762921</v>
      </c>
      <c r="S70" s="3">
        <f t="shared" si="5"/>
        <v>3929088.7350434284</v>
      </c>
      <c r="T70" s="3">
        <f t="shared" si="5"/>
        <v>2679712.2045178898</v>
      </c>
      <c r="U70" s="3">
        <f t="shared" si="5"/>
        <v>2660563.4794670762</v>
      </c>
      <c r="V70" s="3">
        <f t="shared" si="5"/>
        <v>27888785.62416571</v>
      </c>
    </row>
    <row r="71" spans="2:22" x14ac:dyDescent="0.45">
      <c r="B71" s="44" t="s">
        <v>129</v>
      </c>
      <c r="C71" s="3">
        <f t="shared" si="5"/>
        <v>18350283.834250916</v>
      </c>
      <c r="D71" s="3">
        <f t="shared" si="5"/>
        <v>23066819.86467908</v>
      </c>
      <c r="E71" s="3">
        <f t="shared" si="5"/>
        <v>26436183.305454884</v>
      </c>
      <c r="F71" s="3">
        <f t="shared" si="5"/>
        <v>36228842.108925998</v>
      </c>
      <c r="G71" s="3">
        <f t="shared" si="5"/>
        <v>53124111.863846585</v>
      </c>
      <c r="H71" s="3">
        <f t="shared" si="5"/>
        <v>73466428.564008281</v>
      </c>
      <c r="I71" s="3">
        <f t="shared" si="5"/>
        <v>90309501.482495219</v>
      </c>
      <c r="J71" s="3">
        <f t="shared" si="5"/>
        <v>109084987.0350399</v>
      </c>
      <c r="K71" s="3">
        <f t="shared" si="5"/>
        <v>127841762.09504306</v>
      </c>
      <c r="L71" s="3">
        <f t="shared" si="5"/>
        <v>137772890.43743065</v>
      </c>
      <c r="M71" s="3">
        <f t="shared" si="5"/>
        <v>146395604.00420731</v>
      </c>
      <c r="N71" s="3">
        <f t="shared" si="5"/>
        <v>154656018.16657671</v>
      </c>
      <c r="O71" s="3">
        <f t="shared" si="5"/>
        <v>162097373.0997692</v>
      </c>
      <c r="P71" s="3">
        <f t="shared" si="5"/>
        <v>168242342.96704748</v>
      </c>
      <c r="Q71" s="3">
        <f t="shared" si="5"/>
        <v>173087977.94770157</v>
      </c>
      <c r="R71" s="3">
        <f t="shared" si="5"/>
        <v>177256305.64270157</v>
      </c>
      <c r="S71" s="3">
        <f t="shared" si="5"/>
        <v>180547288.46939918</v>
      </c>
      <c r="T71" s="3">
        <f t="shared" si="5"/>
        <v>183062535.29702649</v>
      </c>
      <c r="U71" s="3">
        <f t="shared" si="5"/>
        <v>185572902.21348831</v>
      </c>
      <c r="V71" s="3">
        <f t="shared" si="5"/>
        <v>188081371.24807665</v>
      </c>
    </row>
    <row r="72" spans="2:22" x14ac:dyDescent="0.45">
      <c r="B72" s="44" t="s">
        <v>130</v>
      </c>
      <c r="C72" s="3">
        <f t="shared" si="5"/>
        <v>1888643.049193057</v>
      </c>
      <c r="D72" s="3">
        <f t="shared" si="5"/>
        <v>3156991.7550002066</v>
      </c>
      <c r="E72" s="3">
        <f t="shared" si="5"/>
        <v>3929514.2955581765</v>
      </c>
      <c r="F72" s="3">
        <f t="shared" si="5"/>
        <v>4675236.4715783754</v>
      </c>
      <c r="G72" s="3">
        <f t="shared" si="5"/>
        <v>6435334.0647112476</v>
      </c>
      <c r="H72" s="3">
        <f t="shared" si="5"/>
        <v>8685357.3498624396</v>
      </c>
      <c r="I72" s="3">
        <f t="shared" si="5"/>
        <v>10380321.609052343</v>
      </c>
      <c r="J72" s="3">
        <f t="shared" si="5"/>
        <v>10704799.33854101</v>
      </c>
      <c r="K72" s="3">
        <f t="shared" si="5"/>
        <v>11206139.010018682</v>
      </c>
      <c r="L72" s="3">
        <f t="shared" si="5"/>
        <v>11126263.545735532</v>
      </c>
      <c r="M72" s="3">
        <f t="shared" si="5"/>
        <v>9783331.88156249</v>
      </c>
      <c r="N72" s="3">
        <f t="shared" si="5"/>
        <v>9236944.9522134941</v>
      </c>
      <c r="O72" s="3">
        <f t="shared" si="5"/>
        <v>8248626.0730855325</v>
      </c>
      <c r="P72" s="3">
        <f t="shared" si="5"/>
        <v>6828065.1078565894</v>
      </c>
      <c r="Q72" s="3">
        <f t="shared" si="5"/>
        <v>5438776.5896952162</v>
      </c>
      <c r="R72" s="3">
        <f t="shared" si="5"/>
        <v>4639171.6922986796</v>
      </c>
      <c r="S72" s="3">
        <f t="shared" si="5"/>
        <v>3690903.7585638803</v>
      </c>
      <c r="T72" s="3">
        <f t="shared" si="5"/>
        <v>2860672.1299634026</v>
      </c>
      <c r="U72" s="3">
        <f t="shared" si="5"/>
        <v>2691715.6627683816</v>
      </c>
      <c r="V72" s="3">
        <f t="shared" si="5"/>
        <v>2532019.560920503</v>
      </c>
    </row>
    <row r="74" spans="2:22" x14ac:dyDescent="0.45">
      <c r="B74" s="42" t="str">
        <f>"High case - "&amp;ROUND($C$62*MAX($C$36:$V$36)/million,1)&amp;"m premises"</f>
        <v>High case - 3.5m premises</v>
      </c>
      <c r="C74" s="47">
        <v>1</v>
      </c>
      <c r="D74" s="47">
        <v>2</v>
      </c>
      <c r="E74" s="47">
        <v>3</v>
      </c>
      <c r="F74" s="47">
        <v>4</v>
      </c>
      <c r="G74" s="47">
        <v>5</v>
      </c>
      <c r="H74" s="47">
        <v>6</v>
      </c>
      <c r="I74" s="47">
        <v>7</v>
      </c>
      <c r="J74" s="47">
        <v>8</v>
      </c>
      <c r="K74" s="47">
        <v>9</v>
      </c>
      <c r="L74" s="47">
        <v>10</v>
      </c>
      <c r="M74" s="47">
        <v>11</v>
      </c>
      <c r="N74" s="47">
        <v>12</v>
      </c>
      <c r="O74" s="47">
        <v>13</v>
      </c>
      <c r="P74" s="47">
        <v>14</v>
      </c>
      <c r="Q74" s="47">
        <v>15</v>
      </c>
      <c r="R74" s="47">
        <v>16</v>
      </c>
      <c r="S74" s="47">
        <v>17</v>
      </c>
      <c r="T74" s="47">
        <v>18</v>
      </c>
      <c r="U74" s="47">
        <v>19</v>
      </c>
      <c r="V74" s="47">
        <v>20</v>
      </c>
    </row>
    <row r="75" spans="2:22" x14ac:dyDescent="0.45">
      <c r="B75" s="44"/>
      <c r="C75" s="17" t="s">
        <v>5</v>
      </c>
      <c r="D75" s="17" t="s">
        <v>6</v>
      </c>
      <c r="E75" s="58" t="s">
        <v>7</v>
      </c>
      <c r="F75" s="58" t="s">
        <v>8</v>
      </c>
      <c r="G75" s="17" t="s">
        <v>9</v>
      </c>
      <c r="H75" s="17" t="s">
        <v>10</v>
      </c>
      <c r="I75" s="17" t="s">
        <v>11</v>
      </c>
      <c r="J75" s="17" t="s">
        <v>12</v>
      </c>
      <c r="K75" s="17" t="s">
        <v>13</v>
      </c>
      <c r="L75" s="17" t="s">
        <v>14</v>
      </c>
      <c r="M75" s="17" t="s">
        <v>49</v>
      </c>
      <c r="N75" s="17" t="s">
        <v>50</v>
      </c>
      <c r="O75" s="17" t="s">
        <v>51</v>
      </c>
      <c r="P75" s="17" t="s">
        <v>52</v>
      </c>
      <c r="Q75" s="17" t="s">
        <v>53</v>
      </c>
      <c r="R75" s="17" t="s">
        <v>54</v>
      </c>
      <c r="S75" s="17" t="s">
        <v>55</v>
      </c>
      <c r="T75" s="17" t="s">
        <v>56</v>
      </c>
      <c r="U75" s="17" t="s">
        <v>57</v>
      </c>
      <c r="V75" s="17" t="s">
        <v>58</v>
      </c>
    </row>
    <row r="76" spans="2:22" x14ac:dyDescent="0.45">
      <c r="B76" s="44" t="s">
        <v>125</v>
      </c>
      <c r="C76" s="3">
        <f>C45*$C$62</f>
        <v>295006.3</v>
      </c>
      <c r="D76" s="3">
        <f t="shared" ref="D76:V76" si="6">D45*$C$62</f>
        <v>630039.6</v>
      </c>
      <c r="E76" s="3">
        <f t="shared" si="6"/>
        <v>900864.89999999991</v>
      </c>
      <c r="F76" s="3">
        <f t="shared" si="6"/>
        <v>1129240.2</v>
      </c>
      <c r="G76" s="3">
        <f t="shared" si="6"/>
        <v>1518801.5</v>
      </c>
      <c r="H76" s="3">
        <f t="shared" si="6"/>
        <v>2069097.8</v>
      </c>
      <c r="I76" s="3">
        <f t="shared" si="6"/>
        <v>2596597.1</v>
      </c>
      <c r="J76" s="3">
        <f t="shared" si="6"/>
        <v>2872682.4</v>
      </c>
      <c r="K76" s="3">
        <f t="shared" si="6"/>
        <v>3210456.6999999997</v>
      </c>
      <c r="L76" s="3">
        <f t="shared" si="6"/>
        <v>3497802</v>
      </c>
      <c r="M76" s="3">
        <f t="shared" si="6"/>
        <v>3497802</v>
      </c>
      <c r="N76" s="3">
        <f t="shared" si="6"/>
        <v>3497802</v>
      </c>
      <c r="O76" s="3">
        <f t="shared" si="6"/>
        <v>3497802</v>
      </c>
      <c r="P76" s="3">
        <f t="shared" si="6"/>
        <v>3497802</v>
      </c>
      <c r="Q76" s="3">
        <f t="shared" si="6"/>
        <v>3497802</v>
      </c>
      <c r="R76" s="3">
        <f t="shared" si="6"/>
        <v>3497802</v>
      </c>
      <c r="S76" s="3">
        <f t="shared" si="6"/>
        <v>3497802</v>
      </c>
      <c r="T76" s="3">
        <f t="shared" si="6"/>
        <v>3497802</v>
      </c>
      <c r="U76" s="3">
        <f t="shared" si="6"/>
        <v>3497802</v>
      </c>
      <c r="V76" s="3">
        <f t="shared" si="6"/>
        <v>3497802</v>
      </c>
    </row>
    <row r="77" spans="2:22" x14ac:dyDescent="0.45">
      <c r="B77" s="44" t="s">
        <v>126</v>
      </c>
      <c r="C77" s="3">
        <f t="shared" ref="C77:V81" si="7">C46*$C$62</f>
        <v>59001</v>
      </c>
      <c r="D77" s="3">
        <f t="shared" si="7"/>
        <v>155509</v>
      </c>
      <c r="E77" s="3">
        <f t="shared" si="7"/>
        <v>272678</v>
      </c>
      <c r="F77" s="3">
        <f t="shared" si="7"/>
        <v>408439</v>
      </c>
      <c r="G77" s="3">
        <f t="shared" si="7"/>
        <v>599275</v>
      </c>
      <c r="H77" s="3">
        <f t="shared" si="7"/>
        <v>861215</v>
      </c>
      <c r="I77" s="3">
        <f t="shared" si="7"/>
        <v>1173624</v>
      </c>
      <c r="J77" s="3">
        <f t="shared" si="7"/>
        <v>1488501</v>
      </c>
      <c r="K77" s="3">
        <f t="shared" si="7"/>
        <v>1813824</v>
      </c>
      <c r="L77" s="3">
        <f t="shared" si="7"/>
        <v>2129334</v>
      </c>
      <c r="M77" s="3">
        <f t="shared" si="7"/>
        <v>2389028</v>
      </c>
      <c r="N77" s="3">
        <f t="shared" si="7"/>
        <v>2625884</v>
      </c>
      <c r="O77" s="3">
        <f t="shared" si="7"/>
        <v>2823784</v>
      </c>
      <c r="P77" s="3">
        <f t="shared" si="7"/>
        <v>2966655</v>
      </c>
      <c r="Q77" s="3">
        <f t="shared" si="7"/>
        <v>3056775</v>
      </c>
      <c r="R77" s="3">
        <f t="shared" si="7"/>
        <v>3119287</v>
      </c>
      <c r="S77" s="3">
        <f t="shared" si="7"/>
        <v>3148022</v>
      </c>
      <c r="T77" s="3">
        <f t="shared" si="7"/>
        <v>3148022</v>
      </c>
      <c r="U77" s="3">
        <f t="shared" si="7"/>
        <v>3148022</v>
      </c>
      <c r="V77" s="3">
        <f t="shared" si="7"/>
        <v>3148022</v>
      </c>
    </row>
    <row r="78" spans="2:22" x14ac:dyDescent="0.45">
      <c r="B78" s="44" t="s">
        <v>127</v>
      </c>
      <c r="C78" s="3">
        <f t="shared" si="7"/>
        <v>18091143.26792388</v>
      </c>
      <c r="D78" s="3">
        <f t="shared" si="7"/>
        <v>29854625.623868302</v>
      </c>
      <c r="E78" s="3">
        <f t="shared" si="7"/>
        <v>37546309.874290101</v>
      </c>
      <c r="F78" s="3">
        <f t="shared" si="7"/>
        <v>45914817.612122312</v>
      </c>
      <c r="G78" s="3">
        <f t="shared" si="7"/>
        <v>69123546.711914808</v>
      </c>
      <c r="H78" s="3">
        <f t="shared" si="7"/>
        <v>100707196.93366659</v>
      </c>
      <c r="I78" s="3">
        <f t="shared" si="7"/>
        <v>126953692.73804344</v>
      </c>
      <c r="J78" s="3">
        <f t="shared" si="7"/>
        <v>133953855.94567721</v>
      </c>
      <c r="K78" s="3">
        <f t="shared" si="7"/>
        <v>145691035.67863145</v>
      </c>
      <c r="L78" s="3">
        <f t="shared" si="7"/>
        <v>149043076.66798267</v>
      </c>
      <c r="M78" s="3">
        <f t="shared" si="7"/>
        <v>132162546.46845953</v>
      </c>
      <c r="N78" s="3">
        <f t="shared" si="7"/>
        <v>127336047.56564336</v>
      </c>
      <c r="O78" s="3">
        <f t="shared" si="7"/>
        <v>115443447.30866592</v>
      </c>
      <c r="P78" s="3">
        <f t="shared" si="7"/>
        <v>96855363.898590133</v>
      </c>
      <c r="Q78" s="3">
        <f t="shared" si="7"/>
        <v>79228048.972335026</v>
      </c>
      <c r="R78" s="3">
        <f t="shared" si="7"/>
        <v>70439907.934565827</v>
      </c>
      <c r="S78" s="3">
        <f t="shared" si="7"/>
        <v>58415565.850758165</v>
      </c>
      <c r="T78" s="3">
        <f t="shared" si="7"/>
        <v>46515166.883943506</v>
      </c>
      <c r="U78" s="3">
        <f t="shared" si="7"/>
        <v>44982958.609317385</v>
      </c>
      <c r="V78" s="3">
        <f t="shared" si="7"/>
        <v>42988001.083069809</v>
      </c>
    </row>
    <row r="79" spans="2:22" x14ac:dyDescent="0.45">
      <c r="B79" s="44" t="s">
        <v>128</v>
      </c>
      <c r="C79" s="3">
        <f t="shared" si="7"/>
        <v>159340695.01167503</v>
      </c>
      <c r="D79" s="3">
        <f t="shared" si="7"/>
        <v>135367038.1724546</v>
      </c>
      <c r="E79" s="3">
        <f t="shared" si="7"/>
        <v>121088837.21686444</v>
      </c>
      <c r="F79" s="3">
        <f t="shared" si="7"/>
        <v>256129284.56513673</v>
      </c>
      <c r="G79" s="3">
        <f t="shared" si="7"/>
        <v>372385901.38316619</v>
      </c>
      <c r="H79" s="3">
        <f t="shared" si="7"/>
        <v>432292395.49323976</v>
      </c>
      <c r="I79" s="3">
        <f t="shared" si="7"/>
        <v>257121504.69337299</v>
      </c>
      <c r="J79" s="3">
        <f t="shared" si="7"/>
        <v>303982258.87200743</v>
      </c>
      <c r="K79" s="3">
        <f t="shared" si="7"/>
        <v>285214608.08839327</v>
      </c>
      <c r="L79" s="3">
        <f t="shared" si="7"/>
        <v>5061054.9122364437</v>
      </c>
      <c r="M79" s="3">
        <f t="shared" si="7"/>
        <v>5504862.7332856916</v>
      </c>
      <c r="N79" s="3">
        <f t="shared" si="7"/>
        <v>4304736.9319168068</v>
      </c>
      <c r="O79" s="3">
        <f t="shared" si="7"/>
        <v>3113223.4591539903</v>
      </c>
      <c r="P79" s="3">
        <f t="shared" si="7"/>
        <v>3332377.0616435437</v>
      </c>
      <c r="Q79" s="3">
        <f t="shared" si="7"/>
        <v>5001464.2369820746</v>
      </c>
      <c r="R79" s="3">
        <f t="shared" si="7"/>
        <v>5462113.9737762921</v>
      </c>
      <c r="S79" s="3">
        <f t="shared" si="7"/>
        <v>3929088.7350434284</v>
      </c>
      <c r="T79" s="3">
        <f t="shared" si="7"/>
        <v>2679712.2045178898</v>
      </c>
      <c r="U79" s="3">
        <f t="shared" si="7"/>
        <v>2660563.4794670762</v>
      </c>
      <c r="V79" s="3">
        <f t="shared" si="7"/>
        <v>27888785.62416571</v>
      </c>
    </row>
    <row r="80" spans="2:22" x14ac:dyDescent="0.45">
      <c r="B80" s="44" t="s">
        <v>129</v>
      </c>
      <c r="C80" s="3">
        <f t="shared" si="7"/>
        <v>21066204.586340208</v>
      </c>
      <c r="D80" s="3">
        <f t="shared" si="7"/>
        <v>25866959.730406649</v>
      </c>
      <c r="E80" s="3">
        <f t="shared" si="7"/>
        <v>29082005.391249709</v>
      </c>
      <c r="F80" s="3">
        <f t="shared" si="7"/>
        <v>39473698.002698474</v>
      </c>
      <c r="G80" s="3">
        <f t="shared" si="7"/>
        <v>57703104.773210928</v>
      </c>
      <c r="H80" s="3">
        <f t="shared" si="7"/>
        <v>79397805.06953752</v>
      </c>
      <c r="I80" s="3">
        <f t="shared" si="7"/>
        <v>96882853.963404179</v>
      </c>
      <c r="J80" s="3">
        <f t="shared" si="7"/>
        <v>116735652.007698</v>
      </c>
      <c r="K80" s="3">
        <f t="shared" si="7"/>
        <v>136316691.79433405</v>
      </c>
      <c r="L80" s="3">
        <f t="shared" si="7"/>
        <v>146202689.65267766</v>
      </c>
      <c r="M80" s="3">
        <f t="shared" si="7"/>
        <v>154778791.23500368</v>
      </c>
      <c r="N80" s="3">
        <f t="shared" si="7"/>
        <v>162991080.72114214</v>
      </c>
      <c r="O80" s="3">
        <f t="shared" si="7"/>
        <v>170382766.4669106</v>
      </c>
      <c r="P80" s="3">
        <f t="shared" si="7"/>
        <v>176476490.17554861</v>
      </c>
      <c r="Q80" s="3">
        <f t="shared" si="7"/>
        <v>181269268.91288805</v>
      </c>
      <c r="R80" s="3">
        <f t="shared" si="7"/>
        <v>185383096.49992675</v>
      </c>
      <c r="S80" s="3">
        <f t="shared" si="7"/>
        <v>188617900.89418748</v>
      </c>
      <c r="T80" s="3">
        <f t="shared" si="7"/>
        <v>191075255.81160864</v>
      </c>
      <c r="U80" s="3">
        <f t="shared" si="7"/>
        <v>193525981.47945547</v>
      </c>
      <c r="V80" s="3">
        <f t="shared" si="7"/>
        <v>195973023.34487629</v>
      </c>
    </row>
    <row r="81" spans="1:22" x14ac:dyDescent="0.45">
      <c r="B81" s="44" t="s">
        <v>130</v>
      </c>
      <c r="C81" s="3">
        <f t="shared" si="7"/>
        <v>1888643.049193057</v>
      </c>
      <c r="D81" s="3">
        <f t="shared" si="7"/>
        <v>3156991.7550002066</v>
      </c>
      <c r="E81" s="3">
        <f t="shared" si="7"/>
        <v>3929514.2955581765</v>
      </c>
      <c r="F81" s="3">
        <f t="shared" si="7"/>
        <v>4675236.4715783754</v>
      </c>
      <c r="G81" s="3">
        <f t="shared" si="7"/>
        <v>6435334.0647112476</v>
      </c>
      <c r="H81" s="3">
        <f t="shared" si="7"/>
        <v>8685357.3498624396</v>
      </c>
      <c r="I81" s="3">
        <f t="shared" si="7"/>
        <v>10380321.609052343</v>
      </c>
      <c r="J81" s="3">
        <f t="shared" si="7"/>
        <v>10704799.33854101</v>
      </c>
      <c r="K81" s="3">
        <f t="shared" si="7"/>
        <v>11206139.010018682</v>
      </c>
      <c r="L81" s="3">
        <f t="shared" si="7"/>
        <v>11126263.545735532</v>
      </c>
      <c r="M81" s="3">
        <f t="shared" si="7"/>
        <v>9783331.88156249</v>
      </c>
      <c r="N81" s="3">
        <f t="shared" si="7"/>
        <v>9236944.9522134941</v>
      </c>
      <c r="O81" s="3">
        <f t="shared" si="7"/>
        <v>8248626.0730855325</v>
      </c>
      <c r="P81" s="3">
        <f t="shared" si="7"/>
        <v>6828065.1078565894</v>
      </c>
      <c r="Q81" s="3">
        <f t="shared" si="7"/>
        <v>5438776.5896952162</v>
      </c>
      <c r="R81" s="3">
        <f t="shared" si="7"/>
        <v>4639171.6922986796</v>
      </c>
      <c r="S81" s="3">
        <f t="shared" si="7"/>
        <v>3690903.7585638803</v>
      </c>
      <c r="T81" s="3">
        <f t="shared" si="7"/>
        <v>2860672.1299634026</v>
      </c>
      <c r="U81" s="3">
        <f t="shared" si="7"/>
        <v>2691715.6627683816</v>
      </c>
      <c r="V81" s="3">
        <f t="shared" si="7"/>
        <v>2532019.560920503</v>
      </c>
    </row>
    <row r="83" spans="1:22" x14ac:dyDescent="0.45">
      <c r="B83" s="42" t="str">
        <f>"Low case - "&amp;ROUND($C$62*MAX($C$36:$V$36)/million,1)&amp;"m premises"</f>
        <v>Low case - 3.5m premises</v>
      </c>
      <c r="C83" s="47">
        <v>1</v>
      </c>
      <c r="D83" s="47">
        <v>2</v>
      </c>
      <c r="E83" s="47">
        <v>3</v>
      </c>
      <c r="F83" s="47">
        <v>4</v>
      </c>
      <c r="G83" s="47">
        <v>5</v>
      </c>
      <c r="H83" s="47">
        <v>6</v>
      </c>
      <c r="I83" s="47">
        <v>7</v>
      </c>
      <c r="J83" s="47">
        <v>8</v>
      </c>
      <c r="K83" s="47">
        <v>9</v>
      </c>
      <c r="L83" s="47">
        <v>10</v>
      </c>
      <c r="M83" s="47">
        <v>11</v>
      </c>
      <c r="N83" s="47">
        <v>12</v>
      </c>
      <c r="O83" s="47">
        <v>13</v>
      </c>
      <c r="P83" s="47">
        <v>14</v>
      </c>
      <c r="Q83" s="47">
        <v>15</v>
      </c>
      <c r="R83" s="47">
        <v>16</v>
      </c>
      <c r="S83" s="47">
        <v>17</v>
      </c>
      <c r="T83" s="47">
        <v>18</v>
      </c>
      <c r="U83" s="47">
        <v>19</v>
      </c>
      <c r="V83" s="47">
        <v>20</v>
      </c>
    </row>
    <row r="84" spans="1:22" x14ac:dyDescent="0.45">
      <c r="B84" s="44"/>
      <c r="C84" s="17" t="s">
        <v>5</v>
      </c>
      <c r="D84" s="17" t="s">
        <v>6</v>
      </c>
      <c r="E84" s="58" t="s">
        <v>7</v>
      </c>
      <c r="F84" s="58" t="s">
        <v>8</v>
      </c>
      <c r="G84" s="17" t="s">
        <v>9</v>
      </c>
      <c r="H84" s="17" t="s">
        <v>10</v>
      </c>
      <c r="I84" s="17" t="s">
        <v>11</v>
      </c>
      <c r="J84" s="17" t="s">
        <v>12</v>
      </c>
      <c r="K84" s="17" t="s">
        <v>13</v>
      </c>
      <c r="L84" s="17" t="s">
        <v>14</v>
      </c>
      <c r="M84" s="17" t="s">
        <v>49</v>
      </c>
      <c r="N84" s="17" t="s">
        <v>50</v>
      </c>
      <c r="O84" s="17" t="s">
        <v>51</v>
      </c>
      <c r="P84" s="17" t="s">
        <v>52</v>
      </c>
      <c r="Q84" s="17" t="s">
        <v>53</v>
      </c>
      <c r="R84" s="17" t="s">
        <v>54</v>
      </c>
      <c r="S84" s="17" t="s">
        <v>55</v>
      </c>
      <c r="T84" s="17" t="s">
        <v>56</v>
      </c>
      <c r="U84" s="17" t="s">
        <v>57</v>
      </c>
      <c r="V84" s="17" t="s">
        <v>58</v>
      </c>
    </row>
    <row r="85" spans="1:22" x14ac:dyDescent="0.45">
      <c r="B85" s="44" t="s">
        <v>125</v>
      </c>
      <c r="C85" s="3">
        <f>C54*$C$62</f>
        <v>295006.3</v>
      </c>
      <c r="D85" s="3">
        <f t="shared" ref="D85:V85" si="8">D54*$C$62</f>
        <v>630039.6</v>
      </c>
      <c r="E85" s="3">
        <f t="shared" si="8"/>
        <v>900864.89999999991</v>
      </c>
      <c r="F85" s="3">
        <f t="shared" si="8"/>
        <v>1129240.2</v>
      </c>
      <c r="G85" s="3">
        <f t="shared" si="8"/>
        <v>1518801.5</v>
      </c>
      <c r="H85" s="3">
        <f t="shared" si="8"/>
        <v>2069097.8</v>
      </c>
      <c r="I85" s="3">
        <f t="shared" si="8"/>
        <v>2596597.1</v>
      </c>
      <c r="J85" s="3">
        <f t="shared" si="8"/>
        <v>2872682.4</v>
      </c>
      <c r="K85" s="3">
        <f t="shared" si="8"/>
        <v>3210456.6999999997</v>
      </c>
      <c r="L85" s="3">
        <f t="shared" si="8"/>
        <v>3497802</v>
      </c>
      <c r="M85" s="3">
        <f t="shared" si="8"/>
        <v>3497802</v>
      </c>
      <c r="N85" s="3">
        <f t="shared" si="8"/>
        <v>3497802</v>
      </c>
      <c r="O85" s="3">
        <f t="shared" si="8"/>
        <v>3497802</v>
      </c>
      <c r="P85" s="3">
        <f t="shared" si="8"/>
        <v>3497802</v>
      </c>
      <c r="Q85" s="3">
        <f t="shared" si="8"/>
        <v>3497802</v>
      </c>
      <c r="R85" s="3">
        <f t="shared" si="8"/>
        <v>3497802</v>
      </c>
      <c r="S85" s="3">
        <f t="shared" si="8"/>
        <v>3497802</v>
      </c>
      <c r="T85" s="3">
        <f t="shared" si="8"/>
        <v>3497802</v>
      </c>
      <c r="U85" s="3">
        <f t="shared" si="8"/>
        <v>3497802</v>
      </c>
      <c r="V85" s="3">
        <f t="shared" si="8"/>
        <v>3497802</v>
      </c>
    </row>
    <row r="86" spans="1:22" x14ac:dyDescent="0.45">
      <c r="B86" s="44" t="s">
        <v>126</v>
      </c>
      <c r="C86" s="3">
        <f t="shared" ref="C86:V90" si="9">C55*$C$62</f>
        <v>59001</v>
      </c>
      <c r="D86" s="3">
        <f t="shared" si="9"/>
        <v>155509</v>
      </c>
      <c r="E86" s="3">
        <f t="shared" si="9"/>
        <v>272678</v>
      </c>
      <c r="F86" s="3">
        <f t="shared" si="9"/>
        <v>408439</v>
      </c>
      <c r="G86" s="3">
        <f t="shared" si="9"/>
        <v>599275</v>
      </c>
      <c r="H86" s="3">
        <f t="shared" si="9"/>
        <v>861215</v>
      </c>
      <c r="I86" s="3">
        <f t="shared" si="9"/>
        <v>1173624</v>
      </c>
      <c r="J86" s="3">
        <f t="shared" si="9"/>
        <v>1488501</v>
      </c>
      <c r="K86" s="3">
        <f t="shared" si="9"/>
        <v>1813824</v>
      </c>
      <c r="L86" s="3">
        <f t="shared" si="9"/>
        <v>2129334</v>
      </c>
      <c r="M86" s="3">
        <f t="shared" si="9"/>
        <v>2389028</v>
      </c>
      <c r="N86" s="3">
        <f t="shared" si="9"/>
        <v>2625884</v>
      </c>
      <c r="O86" s="3">
        <f t="shared" si="9"/>
        <v>2823784</v>
      </c>
      <c r="P86" s="3">
        <f t="shared" si="9"/>
        <v>2966655</v>
      </c>
      <c r="Q86" s="3">
        <f t="shared" si="9"/>
        <v>3056775</v>
      </c>
      <c r="R86" s="3">
        <f t="shared" si="9"/>
        <v>3119287</v>
      </c>
      <c r="S86" s="3">
        <f t="shared" si="9"/>
        <v>3148022</v>
      </c>
      <c r="T86" s="3">
        <f t="shared" si="9"/>
        <v>3148022</v>
      </c>
      <c r="U86" s="3">
        <f t="shared" si="9"/>
        <v>3148022</v>
      </c>
      <c r="V86" s="3">
        <f t="shared" si="9"/>
        <v>3148022</v>
      </c>
    </row>
    <row r="87" spans="1:22" x14ac:dyDescent="0.45">
      <c r="B87" s="44" t="s">
        <v>127</v>
      </c>
      <c r="C87" s="3">
        <f t="shared" si="9"/>
        <v>18091143.26792388</v>
      </c>
      <c r="D87" s="3">
        <f t="shared" si="9"/>
        <v>29854625.623868302</v>
      </c>
      <c r="E87" s="3">
        <f t="shared" si="9"/>
        <v>37546309.874290101</v>
      </c>
      <c r="F87" s="3">
        <f t="shared" si="9"/>
        <v>45914817.612122312</v>
      </c>
      <c r="G87" s="3">
        <f t="shared" si="9"/>
        <v>69123546.711914808</v>
      </c>
      <c r="H87" s="3">
        <f t="shared" si="9"/>
        <v>100707196.93366659</v>
      </c>
      <c r="I87" s="3">
        <f t="shared" si="9"/>
        <v>126953692.73804344</v>
      </c>
      <c r="J87" s="3">
        <f t="shared" si="9"/>
        <v>133953855.94567721</v>
      </c>
      <c r="K87" s="3">
        <f t="shared" si="9"/>
        <v>145691035.67863145</v>
      </c>
      <c r="L87" s="3">
        <f t="shared" si="9"/>
        <v>149043076.66798267</v>
      </c>
      <c r="M87" s="3">
        <f t="shared" si="9"/>
        <v>132162546.46845953</v>
      </c>
      <c r="N87" s="3">
        <f t="shared" si="9"/>
        <v>127336047.56564336</v>
      </c>
      <c r="O87" s="3">
        <f t="shared" si="9"/>
        <v>115443447.30866592</v>
      </c>
      <c r="P87" s="3">
        <f t="shared" si="9"/>
        <v>96855363.898590133</v>
      </c>
      <c r="Q87" s="3">
        <f t="shared" si="9"/>
        <v>79228048.972335026</v>
      </c>
      <c r="R87" s="3">
        <f t="shared" si="9"/>
        <v>70439907.934565827</v>
      </c>
      <c r="S87" s="3">
        <f t="shared" si="9"/>
        <v>58415565.850758165</v>
      </c>
      <c r="T87" s="3">
        <f t="shared" si="9"/>
        <v>46515166.883943506</v>
      </c>
      <c r="U87" s="3">
        <f t="shared" si="9"/>
        <v>44982958.609317385</v>
      </c>
      <c r="V87" s="3">
        <f t="shared" si="9"/>
        <v>42988001.083069809</v>
      </c>
    </row>
    <row r="88" spans="1:22" x14ac:dyDescent="0.45">
      <c r="B88" s="44" t="s">
        <v>128</v>
      </c>
      <c r="C88" s="3">
        <f t="shared" si="9"/>
        <v>113447243.68804651</v>
      </c>
      <c r="D88" s="3">
        <f t="shared" si="9"/>
        <v>98408207.626602456</v>
      </c>
      <c r="E88" s="3">
        <f t="shared" si="9"/>
        <v>92504675.591065049</v>
      </c>
      <c r="F88" s="3">
        <f t="shared" si="9"/>
        <v>185736188.96422559</v>
      </c>
      <c r="G88" s="3">
        <f t="shared" si="9"/>
        <v>275517001.79966098</v>
      </c>
      <c r="H88" s="3">
        <f t="shared" si="9"/>
        <v>307004313.49954623</v>
      </c>
      <c r="I88" s="3">
        <f t="shared" si="9"/>
        <v>169253823.479415</v>
      </c>
      <c r="J88" s="3">
        <f t="shared" si="9"/>
        <v>219825465.36914718</v>
      </c>
      <c r="K88" s="3">
        <f t="shared" si="9"/>
        <v>191788080.36251467</v>
      </c>
      <c r="L88" s="3">
        <f t="shared" si="9"/>
        <v>5061054.9122364437</v>
      </c>
      <c r="M88" s="3">
        <f t="shared" si="9"/>
        <v>5504862.7332856916</v>
      </c>
      <c r="N88" s="3">
        <f t="shared" si="9"/>
        <v>4304736.9319168068</v>
      </c>
      <c r="O88" s="3">
        <f t="shared" si="9"/>
        <v>3113223.4591539903</v>
      </c>
      <c r="P88" s="3">
        <f t="shared" si="9"/>
        <v>3332377.0616435437</v>
      </c>
      <c r="Q88" s="3">
        <f t="shared" si="9"/>
        <v>5001464.2369820746</v>
      </c>
      <c r="R88" s="3">
        <f t="shared" si="9"/>
        <v>5462113.9737762921</v>
      </c>
      <c r="S88" s="3">
        <f t="shared" si="9"/>
        <v>3929088.7350434284</v>
      </c>
      <c r="T88" s="3">
        <f t="shared" si="9"/>
        <v>2679712.2045178898</v>
      </c>
      <c r="U88" s="3">
        <f t="shared" si="9"/>
        <v>2660563.4794670762</v>
      </c>
      <c r="V88" s="3">
        <f t="shared" si="9"/>
        <v>27888785.62416571</v>
      </c>
    </row>
    <row r="89" spans="1:22" x14ac:dyDescent="0.45">
      <c r="B89" s="44" t="s">
        <v>129</v>
      </c>
      <c r="C89" s="3">
        <f t="shared" si="9"/>
        <v>16342781.659608107</v>
      </c>
      <c r="D89" s="3">
        <f t="shared" si="9"/>
        <v>21189192.086119432</v>
      </c>
      <c r="E89" s="3">
        <f t="shared" si="9"/>
        <v>24974126.955250226</v>
      </c>
      <c r="F89" s="3">
        <f t="shared" si="9"/>
        <v>34546688.376351997</v>
      </c>
      <c r="G89" s="3">
        <f t="shared" si="9"/>
        <v>51023727.197516106</v>
      </c>
      <c r="H89" s="3">
        <f t="shared" si="9"/>
        <v>70506622.592188373</v>
      </c>
      <c r="I89" s="3">
        <f t="shared" si="9"/>
        <v>86393849.354000583</v>
      </c>
      <c r="J89" s="3">
        <f t="shared" si="9"/>
        <v>104746314.96396475</v>
      </c>
      <c r="K89" s="3">
        <f t="shared" si="9"/>
        <v>122704687.59413958</v>
      </c>
      <c r="L89" s="3">
        <f t="shared" si="9"/>
        <v>132670066.19880669</v>
      </c>
      <c r="M89" s="3">
        <f t="shared" si="9"/>
        <v>141328084.52290747</v>
      </c>
      <c r="N89" s="3">
        <f t="shared" si="9"/>
        <v>149624880.02412269</v>
      </c>
      <c r="O89" s="3">
        <f t="shared" si="9"/>
        <v>157103715.40857711</v>
      </c>
      <c r="P89" s="3">
        <f t="shared" si="9"/>
        <v>163287287.82374111</v>
      </c>
      <c r="Q89" s="3">
        <f t="shared" si="9"/>
        <v>168172670.89549878</v>
      </c>
      <c r="R89" s="3">
        <f t="shared" si="9"/>
        <v>172381916.14305618</v>
      </c>
      <c r="S89" s="3">
        <f t="shared" si="9"/>
        <v>175715010.38308242</v>
      </c>
      <c r="T89" s="3">
        <f t="shared" si="9"/>
        <v>178273587.37483805</v>
      </c>
      <c r="U89" s="3">
        <f t="shared" si="9"/>
        <v>180828528.59678832</v>
      </c>
      <c r="V89" s="3">
        <f t="shared" si="9"/>
        <v>183382841.97933626</v>
      </c>
    </row>
    <row r="90" spans="1:22" x14ac:dyDescent="0.45">
      <c r="B90" s="44" t="s">
        <v>130</v>
      </c>
      <c r="C90" s="3">
        <f t="shared" si="9"/>
        <v>1888643.049193057</v>
      </c>
      <c r="D90" s="3">
        <f t="shared" si="9"/>
        <v>3156991.7550002066</v>
      </c>
      <c r="E90" s="3">
        <f t="shared" si="9"/>
        <v>3929514.2955581765</v>
      </c>
      <c r="F90" s="3">
        <f t="shared" si="9"/>
        <v>4675236.4715783754</v>
      </c>
      <c r="G90" s="3">
        <f t="shared" si="9"/>
        <v>6435334.0647112476</v>
      </c>
      <c r="H90" s="3">
        <f t="shared" si="9"/>
        <v>8685357.3498624396</v>
      </c>
      <c r="I90" s="3">
        <f t="shared" si="9"/>
        <v>10380321.609052343</v>
      </c>
      <c r="J90" s="3">
        <f t="shared" si="9"/>
        <v>10704799.33854101</v>
      </c>
      <c r="K90" s="3">
        <f t="shared" si="9"/>
        <v>11206139.010018682</v>
      </c>
      <c r="L90" s="3">
        <f t="shared" si="9"/>
        <v>11126263.545735532</v>
      </c>
      <c r="M90" s="3">
        <f t="shared" si="9"/>
        <v>9783331.88156249</v>
      </c>
      <c r="N90" s="3">
        <f t="shared" si="9"/>
        <v>9236944.9522134941</v>
      </c>
      <c r="O90" s="3">
        <f t="shared" si="9"/>
        <v>8248626.0730855325</v>
      </c>
      <c r="P90" s="3">
        <f t="shared" si="9"/>
        <v>6828065.1078565894</v>
      </c>
      <c r="Q90" s="3">
        <f t="shared" si="9"/>
        <v>5438776.5896952162</v>
      </c>
      <c r="R90" s="3">
        <f t="shared" si="9"/>
        <v>4639171.6922986796</v>
      </c>
      <c r="S90" s="3">
        <f t="shared" si="9"/>
        <v>3690903.7585638803</v>
      </c>
      <c r="T90" s="3">
        <f t="shared" si="9"/>
        <v>2860672.1299634026</v>
      </c>
      <c r="U90" s="3">
        <f t="shared" si="9"/>
        <v>2691715.6627683816</v>
      </c>
      <c r="V90" s="3">
        <f t="shared" si="9"/>
        <v>2532019.560920503</v>
      </c>
    </row>
    <row r="92" spans="1:22" x14ac:dyDescent="0.45">
      <c r="B92" s="44" t="s">
        <v>135</v>
      </c>
      <c r="C92" s="3">
        <f>C67</f>
        <v>295006.3</v>
      </c>
      <c r="D92" s="3">
        <f>D67-C67</f>
        <v>335033.3</v>
      </c>
      <c r="E92" s="3">
        <f t="shared" ref="E92:V92" si="10">E67-D67</f>
        <v>270825.29999999993</v>
      </c>
      <c r="F92" s="3">
        <f t="shared" si="10"/>
        <v>228375.30000000005</v>
      </c>
      <c r="G92" s="3">
        <f t="shared" si="10"/>
        <v>389561.30000000005</v>
      </c>
      <c r="H92" s="3">
        <f t="shared" si="10"/>
        <v>550296.30000000005</v>
      </c>
      <c r="I92" s="3">
        <f t="shared" si="10"/>
        <v>527499.30000000005</v>
      </c>
      <c r="J92" s="3">
        <f t="shared" si="10"/>
        <v>276085.29999999981</v>
      </c>
      <c r="K92" s="3">
        <f t="shared" si="10"/>
        <v>337774.29999999981</v>
      </c>
      <c r="L92" s="3">
        <f t="shared" si="10"/>
        <v>287345.30000000028</v>
      </c>
      <c r="M92" s="3">
        <f t="shared" si="10"/>
        <v>0</v>
      </c>
      <c r="N92" s="3">
        <f t="shared" si="10"/>
        <v>0</v>
      </c>
      <c r="O92" s="3">
        <f t="shared" si="10"/>
        <v>0</v>
      </c>
      <c r="P92" s="3">
        <f t="shared" si="10"/>
        <v>0</v>
      </c>
      <c r="Q92" s="3">
        <f t="shared" si="10"/>
        <v>0</v>
      </c>
      <c r="R92" s="3">
        <f t="shared" si="10"/>
        <v>0</v>
      </c>
      <c r="S92" s="3">
        <f t="shared" si="10"/>
        <v>0</v>
      </c>
      <c r="T92" s="3">
        <f t="shared" si="10"/>
        <v>0</v>
      </c>
      <c r="U92" s="3">
        <f t="shared" si="10"/>
        <v>0</v>
      </c>
      <c r="V92" s="3">
        <f t="shared" si="10"/>
        <v>0</v>
      </c>
    </row>
    <row r="93" spans="1:22" x14ac:dyDescent="0.45">
      <c r="A93" s="43"/>
      <c r="B93" s="44" t="s">
        <v>136</v>
      </c>
      <c r="C93" s="4">
        <v>63540</v>
      </c>
      <c r="D93" s="4">
        <v>107135</v>
      </c>
      <c r="E93" s="4">
        <v>134393</v>
      </c>
      <c r="F93" s="4">
        <v>161703</v>
      </c>
      <c r="G93" s="4">
        <v>226610</v>
      </c>
      <c r="H93" s="4">
        <v>311047</v>
      </c>
      <c r="I93" s="4">
        <v>377078</v>
      </c>
      <c r="J93" s="4">
        <v>393039</v>
      </c>
      <c r="K93" s="4">
        <v>416506</v>
      </c>
      <c r="L93" s="4">
        <v>418085</v>
      </c>
      <c r="M93" s="4">
        <v>369640</v>
      </c>
      <c r="N93" s="4">
        <v>352401</v>
      </c>
      <c r="O93" s="4">
        <v>316648</v>
      </c>
      <c r="P93" s="4">
        <v>261980</v>
      </c>
      <c r="Q93" s="4">
        <v>207263</v>
      </c>
      <c r="R93" s="4">
        <v>176536</v>
      </c>
      <c r="S93" s="4">
        <v>138421</v>
      </c>
      <c r="T93" s="4">
        <v>104485</v>
      </c>
      <c r="U93" s="4">
        <v>99453</v>
      </c>
      <c r="V93" s="4">
        <v>94584</v>
      </c>
    </row>
    <row r="94" spans="1:22" x14ac:dyDescent="0.45">
      <c r="B94" s="43"/>
      <c r="C94" s="43" t="s">
        <v>122</v>
      </c>
      <c r="D94" s="3"/>
      <c r="E94" s="3"/>
      <c r="F94" s="3"/>
      <c r="G94" s="3"/>
      <c r="H94" s="3"/>
      <c r="I94" s="3"/>
      <c r="J94" s="3"/>
      <c r="K94" s="3"/>
      <c r="L94" s="3"/>
      <c r="M94" s="3"/>
      <c r="N94" s="3"/>
      <c r="O94" s="3"/>
      <c r="P94" s="3"/>
      <c r="Q94" s="3"/>
      <c r="R94" s="3"/>
      <c r="S94" s="3"/>
      <c r="T94" s="3"/>
      <c r="U94" s="3"/>
      <c r="V94" s="3"/>
    </row>
    <row r="95" spans="1:22" x14ac:dyDescent="0.45">
      <c r="B95" s="44" t="s">
        <v>137</v>
      </c>
      <c r="C95" s="86">
        <f>SUM(C70:L70)/SUM(C92:L92)</f>
        <v>547.95675474399707</v>
      </c>
      <c r="E95" s="3"/>
      <c r="H95" s="3"/>
    </row>
    <row r="96" spans="1:22" x14ac:dyDescent="0.45">
      <c r="B96" s="44" t="s">
        <v>138</v>
      </c>
      <c r="C96" s="86">
        <f>SUM(C79:L79)/SUM(C92:L92)</f>
        <v>665.55613451205829</v>
      </c>
      <c r="D96" s="3"/>
      <c r="E96" s="3"/>
      <c r="H96" s="3"/>
    </row>
    <row r="97" spans="2:22" x14ac:dyDescent="0.45">
      <c r="B97" s="44" t="s">
        <v>139</v>
      </c>
      <c r="C97" s="86">
        <f>SUM(C88:L88)/SUM(C92:L92)</f>
        <v>474.16807906578475</v>
      </c>
      <c r="D97" s="3"/>
      <c r="E97" s="3"/>
      <c r="H97" s="3"/>
    </row>
    <row r="99" spans="2:22" x14ac:dyDescent="0.45">
      <c r="B99" s="44" t="s">
        <v>140</v>
      </c>
      <c r="C99" s="86">
        <f>SUM(C69:T69)/SUM(C93:T93)</f>
        <v>349.00736379663715</v>
      </c>
    </row>
    <row r="100" spans="2:22" x14ac:dyDescent="0.45">
      <c r="B100" s="44" t="s">
        <v>141</v>
      </c>
      <c r="C100" s="86">
        <f>SUM(C78:T78)/SUM(C93:T93)</f>
        <v>349.00736379663715</v>
      </c>
      <c r="E100" s="6"/>
    </row>
    <row r="101" spans="2:22" x14ac:dyDescent="0.45">
      <c r="B101" s="44" t="s">
        <v>142</v>
      </c>
      <c r="C101" s="86">
        <f>SUM(C87:T87)/SUM(C93:T93)</f>
        <v>349.00736379663715</v>
      </c>
      <c r="E101" s="3"/>
    </row>
    <row r="102" spans="2:22" x14ac:dyDescent="0.45">
      <c r="E102" s="3"/>
    </row>
    <row r="103" spans="2:22" x14ac:dyDescent="0.45">
      <c r="B103" s="44" t="s">
        <v>143</v>
      </c>
      <c r="C103" s="86">
        <f>SUM(C71:V71)/SUM(C68:V68)</f>
        <v>62.662196268446849</v>
      </c>
      <c r="E103" s="3"/>
    </row>
    <row r="104" spans="2:22" x14ac:dyDescent="0.45">
      <c r="B104" s="44" t="s">
        <v>144</v>
      </c>
      <c r="C104" s="86">
        <f>SUM(C80:V80)/SUM(C68:V68)</f>
        <v>66.153052281439756</v>
      </c>
    </row>
    <row r="105" spans="2:22" x14ac:dyDescent="0.45">
      <c r="B105" s="44" t="s">
        <v>145</v>
      </c>
      <c r="C105" s="86">
        <f>SUM(C89:V89)/SUM(C68:V68)</f>
        <v>60.599521979565857</v>
      </c>
    </row>
    <row r="107" spans="2:22" x14ac:dyDescent="0.45">
      <c r="B107" s="44" t="s">
        <v>146</v>
      </c>
      <c r="C107" s="86">
        <f>SUM(C72:O72)/SUM(C93:O93)</f>
        <v>27.264877946752542</v>
      </c>
    </row>
    <row r="108" spans="2:22" x14ac:dyDescent="0.45">
      <c r="B108" s="44" t="s">
        <v>147</v>
      </c>
      <c r="C108" s="86">
        <f>SUM(C81:O81)/SUM(C93:O93)</f>
        <v>27.264877946752542</v>
      </c>
    </row>
    <row r="109" spans="2:22" x14ac:dyDescent="0.45">
      <c r="B109" s="44" t="s">
        <v>148</v>
      </c>
      <c r="C109" s="86">
        <f>SUM(C90:O90)/SUM(C93:O93)</f>
        <v>27.264877946752542</v>
      </c>
    </row>
    <row r="112" spans="2:22" x14ac:dyDescent="0.45">
      <c r="B112" s="44" t="s">
        <v>62</v>
      </c>
      <c r="C112" s="87">
        <f>C37</f>
        <v>59001</v>
      </c>
      <c r="D112" s="87">
        <f t="shared" ref="D112:V112" si="11">D37</f>
        <v>155509</v>
      </c>
      <c r="E112" s="87">
        <f t="shared" si="11"/>
        <v>272678</v>
      </c>
      <c r="F112" s="87">
        <f t="shared" si="11"/>
        <v>408439</v>
      </c>
      <c r="G112" s="87">
        <f t="shared" si="11"/>
        <v>599275</v>
      </c>
      <c r="H112" s="87">
        <f t="shared" si="11"/>
        <v>861215</v>
      </c>
      <c r="I112" s="87">
        <f t="shared" si="11"/>
        <v>1173624</v>
      </c>
      <c r="J112" s="87">
        <f t="shared" si="11"/>
        <v>1488501</v>
      </c>
      <c r="K112" s="87">
        <f t="shared" si="11"/>
        <v>1813824</v>
      </c>
      <c r="L112" s="87">
        <f t="shared" si="11"/>
        <v>2129334</v>
      </c>
      <c r="M112" s="87">
        <f t="shared" si="11"/>
        <v>2389028</v>
      </c>
      <c r="N112" s="87">
        <f t="shared" si="11"/>
        <v>2625884</v>
      </c>
      <c r="O112" s="87">
        <f t="shared" si="11"/>
        <v>2823784</v>
      </c>
      <c r="P112" s="87">
        <f t="shared" si="11"/>
        <v>2966655</v>
      </c>
      <c r="Q112" s="87">
        <f t="shared" si="11"/>
        <v>3056775</v>
      </c>
      <c r="R112" s="87">
        <f t="shared" si="11"/>
        <v>3119287</v>
      </c>
      <c r="S112" s="87">
        <f t="shared" si="11"/>
        <v>3148022</v>
      </c>
      <c r="T112" s="87">
        <f t="shared" si="11"/>
        <v>3148022</v>
      </c>
      <c r="U112" s="87">
        <f t="shared" si="11"/>
        <v>3148022</v>
      </c>
      <c r="V112" s="87">
        <f t="shared" si="11"/>
        <v>3148022</v>
      </c>
    </row>
    <row r="113" spans="1:22" x14ac:dyDescent="0.45">
      <c r="B113" s="44" t="s">
        <v>63</v>
      </c>
      <c r="C113" s="3">
        <f>C185</f>
        <v>8216780.1699065296</v>
      </c>
      <c r="D113" s="3">
        <f t="shared" ref="D113:V113" si="12">D185</f>
        <v>7832834.4963622466</v>
      </c>
      <c r="E113" s="3">
        <f t="shared" si="12"/>
        <v>7447035.1107443366</v>
      </c>
      <c r="F113" s="3">
        <f t="shared" si="12"/>
        <v>6984820.6996061625</v>
      </c>
      <c r="G113" s="3">
        <f t="shared" si="12"/>
        <v>6442873.1686797086</v>
      </c>
      <c r="H113" s="3">
        <f t="shared" si="12"/>
        <v>5887071.3019443322</v>
      </c>
      <c r="I113" s="3">
        <f t="shared" si="12"/>
        <v>5312777.6039058957</v>
      </c>
      <c r="J113" s="3">
        <f t="shared" si="12"/>
        <v>4696800.1107768668</v>
      </c>
      <c r="K113" s="3">
        <f t="shared" si="12"/>
        <v>4045973.7954985043</v>
      </c>
      <c r="L113" s="3">
        <f t="shared" si="12"/>
        <v>3364298.1312035136</v>
      </c>
      <c r="M113" s="3">
        <f t="shared" si="12"/>
        <v>2527786.9147202354</v>
      </c>
      <c r="N113" s="3">
        <f t="shared" si="12"/>
        <v>1808405.940029504</v>
      </c>
      <c r="O113" s="3">
        <f t="shared" si="12"/>
        <v>1073148.789961711</v>
      </c>
      <c r="P113" s="3">
        <f t="shared" si="12"/>
        <v>397401.32582072308</v>
      </c>
      <c r="Q113" s="3">
        <f t="shared" si="12"/>
        <v>294084.36911281518</v>
      </c>
      <c r="R113" s="3">
        <f t="shared" si="12"/>
        <v>0</v>
      </c>
      <c r="S113" s="3">
        <f t="shared" si="12"/>
        <v>0</v>
      </c>
      <c r="T113" s="3">
        <f t="shared" si="12"/>
        <v>0</v>
      </c>
      <c r="U113" s="3">
        <f t="shared" si="12"/>
        <v>0</v>
      </c>
      <c r="V113" s="3">
        <f t="shared" si="12"/>
        <v>0</v>
      </c>
    </row>
    <row r="114" spans="1:22" x14ac:dyDescent="0.45">
      <c r="B114" s="44" t="s">
        <v>149</v>
      </c>
      <c r="C114" s="87">
        <f>SUM(C112:C113)</f>
        <v>8275781.1699065296</v>
      </c>
      <c r="D114" s="87">
        <f t="shared" ref="D114:V114" si="13">SUM(D112:D113)</f>
        <v>7988343.4963622466</v>
      </c>
      <c r="E114" s="87">
        <f t="shared" si="13"/>
        <v>7719713.1107443366</v>
      </c>
      <c r="F114" s="87">
        <f t="shared" si="13"/>
        <v>7393259.6996061625</v>
      </c>
      <c r="G114" s="87">
        <f t="shared" si="13"/>
        <v>7042148.1686797086</v>
      </c>
      <c r="H114" s="87">
        <f t="shared" si="13"/>
        <v>6748286.3019443322</v>
      </c>
      <c r="I114" s="87">
        <f t="shared" si="13"/>
        <v>6486401.6039058957</v>
      </c>
      <c r="J114" s="87">
        <f t="shared" si="13"/>
        <v>6185301.1107768668</v>
      </c>
      <c r="K114" s="87">
        <f t="shared" si="13"/>
        <v>5859797.7954985043</v>
      </c>
      <c r="L114" s="87">
        <f t="shared" si="13"/>
        <v>5493632.1312035136</v>
      </c>
      <c r="M114" s="87">
        <f t="shared" si="13"/>
        <v>4916814.9147202354</v>
      </c>
      <c r="N114" s="87">
        <f t="shared" si="13"/>
        <v>4434289.9400295038</v>
      </c>
      <c r="O114" s="87">
        <f t="shared" si="13"/>
        <v>3896932.789961711</v>
      </c>
      <c r="P114" s="87">
        <f t="shared" si="13"/>
        <v>3364056.3258207231</v>
      </c>
      <c r="Q114" s="87">
        <f t="shared" si="13"/>
        <v>3350859.3691128152</v>
      </c>
      <c r="R114" s="87">
        <f t="shared" si="13"/>
        <v>3119287</v>
      </c>
      <c r="S114" s="87">
        <f t="shared" si="13"/>
        <v>3148022</v>
      </c>
      <c r="T114" s="87">
        <f t="shared" si="13"/>
        <v>3148022</v>
      </c>
      <c r="U114" s="87">
        <f t="shared" si="13"/>
        <v>3148022</v>
      </c>
      <c r="V114" s="87">
        <f t="shared" si="13"/>
        <v>3148022</v>
      </c>
    </row>
    <row r="117" spans="1:22" x14ac:dyDescent="0.45">
      <c r="B117" s="44" t="s">
        <v>150</v>
      </c>
      <c r="C117" s="80" t="s">
        <v>151</v>
      </c>
      <c r="D117" s="80" t="s">
        <v>38</v>
      </c>
    </row>
    <row r="120" spans="1:22" ht="15.75" x14ac:dyDescent="0.45">
      <c r="A120" s="62" t="s">
        <v>152</v>
      </c>
      <c r="C120" s="43"/>
    </row>
    <row r="121" spans="1:22" x14ac:dyDescent="0.45">
      <c r="C121" s="88"/>
    </row>
    <row r="122" spans="1:22" x14ac:dyDescent="0.45">
      <c r="B122" s="44" t="s">
        <v>154</v>
      </c>
      <c r="C122" s="61">
        <v>7.8E-2</v>
      </c>
      <c r="D122" s="89"/>
      <c r="E122" s="123"/>
    </row>
    <row r="123" spans="1:22" x14ac:dyDescent="0.45">
      <c r="B123" s="44" t="s">
        <v>155</v>
      </c>
      <c r="C123" s="61">
        <v>7.0000000000000007E-2</v>
      </c>
      <c r="F123" s="123"/>
    </row>
    <row r="126" spans="1:22" x14ac:dyDescent="0.45">
      <c r="B126" s="44"/>
      <c r="C126" s="47">
        <v>1</v>
      </c>
      <c r="D126" s="47">
        <v>2</v>
      </c>
      <c r="E126" s="47">
        <v>3</v>
      </c>
      <c r="F126" s="47">
        <v>4</v>
      </c>
      <c r="G126" s="47">
        <v>5</v>
      </c>
      <c r="H126" s="47">
        <v>6</v>
      </c>
      <c r="I126" s="47">
        <v>7</v>
      </c>
      <c r="J126" s="47">
        <v>8</v>
      </c>
      <c r="K126" s="47">
        <v>9</v>
      </c>
      <c r="L126" s="47">
        <v>10</v>
      </c>
      <c r="M126" s="47">
        <v>11</v>
      </c>
      <c r="N126" s="47">
        <v>12</v>
      </c>
      <c r="O126" s="47">
        <v>13</v>
      </c>
      <c r="P126" s="47">
        <v>14</v>
      </c>
      <c r="Q126" s="47">
        <v>15</v>
      </c>
      <c r="R126" s="47">
        <v>16</v>
      </c>
      <c r="S126" s="47">
        <v>17</v>
      </c>
      <c r="T126" s="47">
        <v>18</v>
      </c>
      <c r="U126" s="47">
        <v>19</v>
      </c>
      <c r="V126" s="47">
        <v>20</v>
      </c>
    </row>
    <row r="127" spans="1:22" x14ac:dyDescent="0.45">
      <c r="B127" s="44"/>
      <c r="C127" s="17" t="s">
        <v>5</v>
      </c>
      <c r="D127" s="17" t="s">
        <v>6</v>
      </c>
      <c r="E127" s="58" t="s">
        <v>7</v>
      </c>
      <c r="F127" s="58" t="s">
        <v>8</v>
      </c>
      <c r="G127" s="17" t="s">
        <v>9</v>
      </c>
      <c r="H127" s="17" t="s">
        <v>10</v>
      </c>
      <c r="I127" s="17" t="s">
        <v>11</v>
      </c>
      <c r="J127" s="17" t="s">
        <v>12</v>
      </c>
      <c r="K127" s="17" t="s">
        <v>13</v>
      </c>
      <c r="L127" s="59" t="s">
        <v>14</v>
      </c>
      <c r="M127" s="17" t="s">
        <v>49</v>
      </c>
      <c r="N127" s="17" t="s">
        <v>50</v>
      </c>
      <c r="O127" s="17" t="s">
        <v>51</v>
      </c>
      <c r="P127" s="17" t="s">
        <v>52</v>
      </c>
      <c r="Q127" s="17" t="s">
        <v>53</v>
      </c>
      <c r="R127" s="17" t="s">
        <v>54</v>
      </c>
      <c r="S127" s="17" t="s">
        <v>55</v>
      </c>
      <c r="T127" s="17" t="s">
        <v>56</v>
      </c>
      <c r="U127" s="17" t="s">
        <v>57</v>
      </c>
      <c r="V127" s="17" t="s">
        <v>58</v>
      </c>
    </row>
    <row r="128" spans="1:22" x14ac:dyDescent="0.45">
      <c r="B128" s="44" t="s">
        <v>59</v>
      </c>
      <c r="C128" s="63">
        <f t="shared" ref="C128:V129" si="14">1/(1+$C122)^(C$126-1)</f>
        <v>1</v>
      </c>
      <c r="D128" s="63">
        <f t="shared" si="14"/>
        <v>0.92764378478664189</v>
      </c>
      <c r="E128" s="63">
        <f>1/(1+$C122)^(E$126-1)</f>
        <v>0.86052299145328559</v>
      </c>
      <c r="F128" s="63">
        <f t="shared" si="14"/>
        <v>0.79825880468764887</v>
      </c>
      <c r="G128" s="63">
        <f t="shared" si="14"/>
        <v>0.74049981881971139</v>
      </c>
      <c r="H128" s="63">
        <f t="shared" si="14"/>
        <v>0.68692005456373961</v>
      </c>
      <c r="I128" s="63">
        <f t="shared" si="14"/>
        <v>0.63721711926135394</v>
      </c>
      <c r="J128" s="63">
        <f t="shared" si="14"/>
        <v>0.59111050024244338</v>
      </c>
      <c r="K128" s="63">
        <f t="shared" si="14"/>
        <v>0.54833998167202536</v>
      </c>
      <c r="L128" s="63">
        <f t="shared" si="14"/>
        <v>0.50866417594807545</v>
      </c>
      <c r="M128" s="63">
        <f t="shared" si="14"/>
        <v>0.47185916136185102</v>
      </c>
      <c r="N128" s="63">
        <f t="shared" si="14"/>
        <v>0.43771721833195826</v>
      </c>
      <c r="O128" s="63">
        <f t="shared" si="14"/>
        <v>0.40604565707973861</v>
      </c>
      <c r="P128" s="63">
        <f t="shared" si="14"/>
        <v>0.37666573012962762</v>
      </c>
      <c r="Q128" s="63">
        <f t="shared" si="14"/>
        <v>0.3494116234968716</v>
      </c>
      <c r="R128" s="63">
        <f t="shared" si="14"/>
        <v>0.32412952086908314</v>
      </c>
      <c r="S128" s="63">
        <f t="shared" si="14"/>
        <v>0.30067673550007712</v>
      </c>
      <c r="T128" s="63">
        <f t="shared" si="14"/>
        <v>0.27892090491658356</v>
      </c>
      <c r="U128" s="63">
        <f t="shared" si="14"/>
        <v>0.25873924389293468</v>
      </c>
      <c r="V128" s="63">
        <f t="shared" si="14"/>
        <v>0.2400178514776759</v>
      </c>
    </row>
    <row r="129" spans="1:22" x14ac:dyDescent="0.45">
      <c r="B129" s="44" t="s">
        <v>60</v>
      </c>
      <c r="C129" s="63">
        <f>1/(1+$C123)^(C$126-1)</f>
        <v>1</v>
      </c>
      <c r="D129" s="63">
        <f t="shared" si="14"/>
        <v>0.93457943925233644</v>
      </c>
      <c r="E129" s="63">
        <f t="shared" si="14"/>
        <v>0.87343872827321156</v>
      </c>
      <c r="F129" s="63">
        <f t="shared" si="14"/>
        <v>0.81629787689085187</v>
      </c>
      <c r="G129" s="63">
        <f t="shared" si="14"/>
        <v>0.7628952120475252</v>
      </c>
      <c r="H129" s="63">
        <f t="shared" si="14"/>
        <v>0.71298617948366838</v>
      </c>
      <c r="I129" s="63">
        <f t="shared" si="14"/>
        <v>0.66634222381651254</v>
      </c>
      <c r="J129" s="63">
        <f t="shared" si="14"/>
        <v>0.62274974188459109</v>
      </c>
      <c r="K129" s="63">
        <f t="shared" si="14"/>
        <v>0.5820091045650384</v>
      </c>
      <c r="L129" s="63">
        <f t="shared" si="14"/>
        <v>0.54393374258414806</v>
      </c>
      <c r="M129" s="63">
        <f t="shared" si="14"/>
        <v>0.5083492921347178</v>
      </c>
      <c r="N129" s="63">
        <f t="shared" si="14"/>
        <v>0.47509279638758667</v>
      </c>
      <c r="O129" s="63">
        <f t="shared" si="14"/>
        <v>0.44401195924073528</v>
      </c>
      <c r="P129" s="63">
        <f t="shared" si="14"/>
        <v>0.41496444788853759</v>
      </c>
      <c r="Q129" s="63">
        <f t="shared" si="14"/>
        <v>0.3878172410173249</v>
      </c>
      <c r="R129" s="63">
        <f t="shared" si="14"/>
        <v>0.36244601964235967</v>
      </c>
      <c r="S129" s="63">
        <f t="shared" si="14"/>
        <v>0.33873459779659787</v>
      </c>
      <c r="T129" s="63">
        <f t="shared" si="14"/>
        <v>0.31657439046411018</v>
      </c>
      <c r="U129" s="63">
        <f t="shared" si="14"/>
        <v>0.29586391632159825</v>
      </c>
      <c r="V129" s="63">
        <f t="shared" si="14"/>
        <v>0.27650833301083949</v>
      </c>
    </row>
    <row r="130" spans="1:22" x14ac:dyDescent="0.45">
      <c r="B130" s="44"/>
    </row>
    <row r="131" spans="1:22" x14ac:dyDescent="0.45">
      <c r="B131" s="44"/>
    </row>
    <row r="132" spans="1:22" ht="15.75" x14ac:dyDescent="0.45">
      <c r="A132" s="62" t="s">
        <v>156</v>
      </c>
      <c r="C132" s="43"/>
    </row>
    <row r="133" spans="1:22" s="119" customFormat="1" x14ac:dyDescent="0.45">
      <c r="A133" s="1" t="s">
        <v>157</v>
      </c>
      <c r="D133" s="66"/>
    </row>
    <row r="135" spans="1:22" x14ac:dyDescent="0.45">
      <c r="C135" s="47">
        <v>1</v>
      </c>
      <c r="D135" s="47">
        <v>2</v>
      </c>
      <c r="E135" s="47">
        <v>3</v>
      </c>
      <c r="F135" s="47">
        <v>4</v>
      </c>
      <c r="G135" s="47">
        <v>5</v>
      </c>
      <c r="H135" s="47">
        <v>6</v>
      </c>
      <c r="I135" s="47">
        <v>7</v>
      </c>
      <c r="J135" s="47">
        <v>8</v>
      </c>
      <c r="K135" s="47">
        <v>9</v>
      </c>
      <c r="L135" s="47">
        <v>10</v>
      </c>
      <c r="M135" s="47">
        <v>11</v>
      </c>
      <c r="N135" s="47">
        <v>12</v>
      </c>
      <c r="O135" s="47">
        <v>13</v>
      </c>
      <c r="P135" s="47">
        <v>14</v>
      </c>
      <c r="Q135" s="47">
        <v>15</v>
      </c>
      <c r="R135" s="47">
        <v>16</v>
      </c>
      <c r="S135" s="47">
        <v>17</v>
      </c>
      <c r="T135" s="47">
        <v>18</v>
      </c>
      <c r="U135" s="47">
        <v>19</v>
      </c>
      <c r="V135" s="47">
        <v>20</v>
      </c>
    </row>
    <row r="136" spans="1:22" x14ac:dyDescent="0.45">
      <c r="C136" s="17" t="s">
        <v>5</v>
      </c>
      <c r="D136" s="17" t="s">
        <v>6</v>
      </c>
      <c r="E136" s="58" t="s">
        <v>7</v>
      </c>
      <c r="F136" s="58" t="s">
        <v>8</v>
      </c>
      <c r="G136" s="17" t="s">
        <v>9</v>
      </c>
      <c r="H136" s="17" t="s">
        <v>10</v>
      </c>
      <c r="I136" s="17" t="s">
        <v>11</v>
      </c>
      <c r="J136" s="17" t="s">
        <v>12</v>
      </c>
      <c r="K136" s="17" t="s">
        <v>13</v>
      </c>
      <c r="L136" s="17" t="s">
        <v>14</v>
      </c>
      <c r="M136" s="17" t="s">
        <v>49</v>
      </c>
      <c r="N136" s="17" t="s">
        <v>50</v>
      </c>
      <c r="O136" s="17" t="s">
        <v>51</v>
      </c>
      <c r="P136" s="17" t="s">
        <v>52</v>
      </c>
      <c r="Q136" s="17" t="s">
        <v>53</v>
      </c>
      <c r="R136" s="17" t="s">
        <v>54</v>
      </c>
      <c r="S136" s="17" t="s">
        <v>55</v>
      </c>
      <c r="T136" s="17" t="s">
        <v>56</v>
      </c>
      <c r="U136" s="17" t="s">
        <v>57</v>
      </c>
      <c r="V136" s="17" t="s">
        <v>58</v>
      </c>
    </row>
    <row r="137" spans="1:22" x14ac:dyDescent="0.45">
      <c r="B137" s="44" t="s">
        <v>158</v>
      </c>
      <c r="C137" s="64">
        <v>1.7</v>
      </c>
      <c r="D137" s="64">
        <f>C137*(1+'[3]Top Down inputs'!D56)</f>
        <v>1.7271026396852263</v>
      </c>
      <c r="E137" s="64">
        <f>D137*(1+'[3]Top Down inputs'!E56)</f>
        <v>1.7577134210582104</v>
      </c>
      <c r="F137" s="64">
        <f>E137*(1+'[3]Top Down inputs'!F56)</f>
        <v>1.7919570004439009</v>
      </c>
      <c r="G137" s="64">
        <f>F137*(1+'[3]Top Down inputs'!G56)</f>
        <v>1.8277961404527789</v>
      </c>
      <c r="H137" s="64">
        <f>G137</f>
        <v>1.8277961404527789</v>
      </c>
      <c r="I137" s="64">
        <f t="shared" ref="I137:V137" si="15">H137</f>
        <v>1.8277961404527789</v>
      </c>
      <c r="J137" s="64">
        <f t="shared" si="15"/>
        <v>1.8277961404527789</v>
      </c>
      <c r="K137" s="64">
        <f t="shared" si="15"/>
        <v>1.8277961404527789</v>
      </c>
      <c r="L137" s="64">
        <f t="shared" si="15"/>
        <v>1.8277961404527789</v>
      </c>
      <c r="M137" s="64">
        <f t="shared" si="15"/>
        <v>1.8277961404527789</v>
      </c>
      <c r="N137" s="64">
        <f t="shared" si="15"/>
        <v>1.8277961404527789</v>
      </c>
      <c r="O137" s="64">
        <f t="shared" si="15"/>
        <v>1.8277961404527789</v>
      </c>
      <c r="P137" s="64">
        <f t="shared" si="15"/>
        <v>1.8277961404527789</v>
      </c>
      <c r="Q137" s="64">
        <f t="shared" si="15"/>
        <v>1.8277961404527789</v>
      </c>
      <c r="R137" s="64">
        <f t="shared" si="15"/>
        <v>1.8277961404527789</v>
      </c>
      <c r="S137" s="64">
        <f t="shared" si="15"/>
        <v>1.8277961404527789</v>
      </c>
      <c r="T137" s="64">
        <f t="shared" si="15"/>
        <v>1.8277961404527789</v>
      </c>
      <c r="U137" s="64">
        <f t="shared" si="15"/>
        <v>1.8277961404527789</v>
      </c>
      <c r="V137" s="64">
        <f t="shared" si="15"/>
        <v>1.8277961404527789</v>
      </c>
    </row>
    <row r="138" spans="1:22" x14ac:dyDescent="0.45">
      <c r="B138" s="44" t="s">
        <v>159</v>
      </c>
      <c r="C138" s="64">
        <v>4</v>
      </c>
      <c r="D138" s="64">
        <f>C138</f>
        <v>4</v>
      </c>
      <c r="E138" s="64">
        <f t="shared" ref="E138:V138" si="16">D138</f>
        <v>4</v>
      </c>
      <c r="F138" s="64">
        <f t="shared" si="16"/>
        <v>4</v>
      </c>
      <c r="G138" s="64">
        <f t="shared" si="16"/>
        <v>4</v>
      </c>
      <c r="H138" s="64">
        <f t="shared" si="16"/>
        <v>4</v>
      </c>
      <c r="I138" s="64">
        <f t="shared" si="16"/>
        <v>4</v>
      </c>
      <c r="J138" s="64">
        <f t="shared" si="16"/>
        <v>4</v>
      </c>
      <c r="K138" s="64">
        <f t="shared" si="16"/>
        <v>4</v>
      </c>
      <c r="L138" s="64">
        <f t="shared" si="16"/>
        <v>4</v>
      </c>
      <c r="M138" s="64">
        <f t="shared" si="16"/>
        <v>4</v>
      </c>
      <c r="N138" s="64">
        <f t="shared" si="16"/>
        <v>4</v>
      </c>
      <c r="O138" s="64">
        <f t="shared" si="16"/>
        <v>4</v>
      </c>
      <c r="P138" s="64">
        <f t="shared" si="16"/>
        <v>4</v>
      </c>
      <c r="Q138" s="64">
        <f t="shared" si="16"/>
        <v>4</v>
      </c>
      <c r="R138" s="64">
        <f t="shared" si="16"/>
        <v>4</v>
      </c>
      <c r="S138" s="64">
        <f t="shared" si="16"/>
        <v>4</v>
      </c>
      <c r="T138" s="64">
        <f t="shared" si="16"/>
        <v>4</v>
      </c>
      <c r="U138" s="64">
        <f t="shared" si="16"/>
        <v>4</v>
      </c>
      <c r="V138" s="64">
        <f t="shared" si="16"/>
        <v>4</v>
      </c>
    </row>
    <row r="139" spans="1:22" x14ac:dyDescent="0.45">
      <c r="B139" s="44" t="s">
        <v>4</v>
      </c>
      <c r="C139" s="64">
        <f>AVERAGE(C137:C138)</f>
        <v>2.85</v>
      </c>
      <c r="D139" s="64">
        <f t="shared" ref="D139:V139" si="17">AVERAGE(D137:D138)</f>
        <v>2.863551319842613</v>
      </c>
      <c r="E139" s="64">
        <f t="shared" si="17"/>
        <v>2.8788567105291052</v>
      </c>
      <c r="F139" s="64">
        <f t="shared" si="17"/>
        <v>2.8959785002219505</v>
      </c>
      <c r="G139" s="64">
        <f>AVERAGE(G137:G138)</f>
        <v>2.9138980702263897</v>
      </c>
      <c r="H139" s="64">
        <f t="shared" si="17"/>
        <v>2.9138980702263897</v>
      </c>
      <c r="I139" s="64">
        <f t="shared" si="17"/>
        <v>2.9138980702263897</v>
      </c>
      <c r="J139" s="64">
        <f t="shared" si="17"/>
        <v>2.9138980702263897</v>
      </c>
      <c r="K139" s="64">
        <f t="shared" si="17"/>
        <v>2.9138980702263897</v>
      </c>
      <c r="L139" s="64">
        <f t="shared" si="17"/>
        <v>2.9138980702263897</v>
      </c>
      <c r="M139" s="64">
        <f t="shared" si="17"/>
        <v>2.9138980702263897</v>
      </c>
      <c r="N139" s="64">
        <f t="shared" si="17"/>
        <v>2.9138980702263897</v>
      </c>
      <c r="O139" s="64">
        <f t="shared" si="17"/>
        <v>2.9138980702263897</v>
      </c>
      <c r="P139" s="64">
        <f t="shared" si="17"/>
        <v>2.9138980702263897</v>
      </c>
      <c r="Q139" s="64">
        <f t="shared" si="17"/>
        <v>2.9138980702263897</v>
      </c>
      <c r="R139" s="64">
        <f t="shared" si="17"/>
        <v>2.9138980702263897</v>
      </c>
      <c r="S139" s="64">
        <f t="shared" si="17"/>
        <v>2.9138980702263897</v>
      </c>
      <c r="T139" s="64">
        <f t="shared" si="17"/>
        <v>2.9138980702263897</v>
      </c>
      <c r="U139" s="64">
        <f t="shared" si="17"/>
        <v>2.9138980702263897</v>
      </c>
      <c r="V139" s="64">
        <f t="shared" si="17"/>
        <v>2.9138980702263897</v>
      </c>
    </row>
    <row r="140" spans="1:22" x14ac:dyDescent="0.45">
      <c r="B140" s="44"/>
    </row>
    <row r="142" spans="1:22" ht="15.75" x14ac:dyDescent="0.45">
      <c r="A142" s="62" t="s">
        <v>160</v>
      </c>
      <c r="B142" s="44"/>
    </row>
    <row r="143" spans="1:22" x14ac:dyDescent="0.45">
      <c r="B143" s="44" t="s">
        <v>162</v>
      </c>
      <c r="C143" s="64">
        <v>27</v>
      </c>
      <c r="D143" s="43"/>
    </row>
    <row r="144" spans="1:22" x14ac:dyDescent="0.45">
      <c r="B144" s="44"/>
    </row>
    <row r="145" spans="1:22" x14ac:dyDescent="0.45">
      <c r="B145" s="44"/>
    </row>
    <row r="146" spans="1:22" ht="21" x14ac:dyDescent="0.65">
      <c r="A146" s="40" t="s">
        <v>163</v>
      </c>
      <c r="B146" s="44"/>
    </row>
    <row r="147" spans="1:22" ht="18" x14ac:dyDescent="0.55000000000000004">
      <c r="A147" s="56"/>
      <c r="B147" s="44"/>
    </row>
    <row r="148" spans="1:22" ht="15.75" x14ac:dyDescent="0.45">
      <c r="A148" s="62" t="s">
        <v>164</v>
      </c>
    </row>
    <row r="149" spans="1:22" x14ac:dyDescent="0.45">
      <c r="B149" s="44"/>
    </row>
    <row r="150" spans="1:22" x14ac:dyDescent="0.45">
      <c r="B150" s="42" t="s">
        <v>4</v>
      </c>
      <c r="C150" s="47">
        <v>1</v>
      </c>
      <c r="D150" s="47">
        <v>2</v>
      </c>
      <c r="E150" s="47">
        <v>3</v>
      </c>
      <c r="F150" s="47">
        <v>4</v>
      </c>
      <c r="G150" s="47">
        <v>5</v>
      </c>
      <c r="H150" s="47">
        <v>6</v>
      </c>
      <c r="I150" s="47">
        <v>7</v>
      </c>
      <c r="J150" s="47">
        <v>8</v>
      </c>
      <c r="K150" s="47">
        <v>9</v>
      </c>
      <c r="L150" s="47">
        <v>10</v>
      </c>
      <c r="M150" s="47">
        <v>11</v>
      </c>
      <c r="N150" s="47">
        <v>12</v>
      </c>
      <c r="O150" s="47">
        <v>13</v>
      </c>
      <c r="P150" s="47">
        <v>14</v>
      </c>
      <c r="Q150" s="47">
        <v>15</v>
      </c>
      <c r="R150" s="47">
        <v>16</v>
      </c>
      <c r="S150" s="47">
        <v>17</v>
      </c>
      <c r="T150" s="47">
        <v>18</v>
      </c>
      <c r="U150" s="47">
        <v>19</v>
      </c>
      <c r="V150" s="47">
        <v>20</v>
      </c>
    </row>
    <row r="151" spans="1:22" x14ac:dyDescent="0.45">
      <c r="B151" s="44"/>
      <c r="C151" s="17" t="s">
        <v>5</v>
      </c>
      <c r="D151" s="17" t="s">
        <v>6</v>
      </c>
      <c r="E151" s="58" t="s">
        <v>7</v>
      </c>
      <c r="F151" s="58" t="s">
        <v>8</v>
      </c>
      <c r="G151" s="17" t="s">
        <v>9</v>
      </c>
      <c r="H151" s="17" t="s">
        <v>10</v>
      </c>
      <c r="I151" s="17" t="s">
        <v>11</v>
      </c>
      <c r="J151" s="17" t="s">
        <v>12</v>
      </c>
      <c r="K151" s="17" t="s">
        <v>13</v>
      </c>
      <c r="L151" s="17" t="s">
        <v>14</v>
      </c>
      <c r="M151" s="17" t="s">
        <v>49</v>
      </c>
      <c r="N151" s="17" t="s">
        <v>50</v>
      </c>
      <c r="O151" s="17" t="s">
        <v>51</v>
      </c>
      <c r="P151" s="17" t="s">
        <v>52</v>
      </c>
      <c r="Q151" s="17" t="s">
        <v>53</v>
      </c>
      <c r="R151" s="17" t="s">
        <v>54</v>
      </c>
      <c r="S151" s="17" t="s">
        <v>55</v>
      </c>
      <c r="T151" s="17" t="s">
        <v>56</v>
      </c>
      <c r="U151" s="17" t="s">
        <v>57</v>
      </c>
      <c r="V151" s="17" t="s">
        <v>58</v>
      </c>
    </row>
    <row r="152" spans="1:22" x14ac:dyDescent="0.45">
      <c r="B152" s="44" t="s">
        <v>165</v>
      </c>
      <c r="C152" s="3">
        <f t="shared" ref="C152:V153" si="18">C69*C$128</f>
        <v>18091143.26792388</v>
      </c>
      <c r="D152" s="3">
        <f t="shared" si="18"/>
        <v>27694457.907113452</v>
      </c>
      <c r="E152" s="3">
        <f t="shared" si="18"/>
        <v>32309462.891056154</v>
      </c>
      <c r="F152" s="3">
        <f t="shared" si="18"/>
        <v>36651907.424504168</v>
      </c>
      <c r="G152" s="3">
        <f t="shared" si="18"/>
        <v>51185973.816348769</v>
      </c>
      <c r="H152" s="3">
        <f t="shared" si="18"/>
        <v>69177793.212635517</v>
      </c>
      <c r="I152" s="3">
        <f t="shared" si="18"/>
        <v>80897066.366127118</v>
      </c>
      <c r="J152" s="3">
        <f t="shared" si="18"/>
        <v>79181530.797453448</v>
      </c>
      <c r="K152" s="3">
        <f t="shared" si="18"/>
        <v>79888219.833799168</v>
      </c>
      <c r="L152" s="3">
        <f t="shared" si="18"/>
        <v>75812873.774085239</v>
      </c>
      <c r="M152" s="3">
        <f t="shared" si="18"/>
        <v>62362108.340053983</v>
      </c>
      <c r="N152" s="3">
        <f t="shared" si="18"/>
        <v>55737180.533819333</v>
      </c>
      <c r="O152" s="3">
        <f t="shared" si="18"/>
        <v>46875310.417997435</v>
      </c>
      <c r="P152" s="3">
        <f t="shared" si="18"/>
        <v>36482096.359833226</v>
      </c>
      <c r="Q152" s="3">
        <f t="shared" si="18"/>
        <v>27683201.217913233</v>
      </c>
      <c r="R152" s="3">
        <f t="shared" si="18"/>
        <v>22831653.608893149</v>
      </c>
      <c r="S152" s="3">
        <f t="shared" si="18"/>
        <v>17564201.64239575</v>
      </c>
      <c r="T152" s="3">
        <f t="shared" si="18"/>
        <v>12974052.439615423</v>
      </c>
      <c r="U152" s="3">
        <f t="shared" si="18"/>
        <v>11638856.698641956</v>
      </c>
      <c r="V152" s="3">
        <f t="shared" si="18"/>
        <v>10317887.659278421</v>
      </c>
    </row>
    <row r="153" spans="1:22" x14ac:dyDescent="0.45">
      <c r="B153" s="44" t="s">
        <v>166</v>
      </c>
      <c r="C153" s="3">
        <f>C70*C$128</f>
        <v>131326721.43083964</v>
      </c>
      <c r="D153" s="3">
        <f t="shared" si="18"/>
        <v>103359366.97396982</v>
      </c>
      <c r="E153" s="3">
        <f t="shared" si="18"/>
        <v>83786661.807656944</v>
      </c>
      <c r="F153" s="3">
        <f t="shared" si="18"/>
        <v>166562865.62192354</v>
      </c>
      <c r="G153" s="3">
        <f t="shared" si="18"/>
        <v>223113876.9675428</v>
      </c>
      <c r="H153" s="3">
        <f t="shared" si="18"/>
        <v>244886084.5438323</v>
      </c>
      <c r="I153" s="3">
        <f t="shared" si="18"/>
        <v>141533359.17751703</v>
      </c>
      <c r="J153" s="3">
        <f t="shared" si="18"/>
        <v>144621065.5528684</v>
      </c>
      <c r="K153" s="3">
        <f t="shared" si="18"/>
        <v>130635516.65664944</v>
      </c>
      <c r="L153" s="3">
        <f t="shared" si="18"/>
        <v>2574377.32636071</v>
      </c>
      <c r="M153" s="3">
        <f t="shared" si="18"/>
        <v>2597519.9127402934</v>
      </c>
      <c r="N153" s="3">
        <f t="shared" si="18"/>
        <v>1884257.475489473</v>
      </c>
      <c r="O153" s="3">
        <f t="shared" si="18"/>
        <v>1264110.8651082388</v>
      </c>
      <c r="P153" s="3">
        <f t="shared" si="18"/>
        <v>1255192.2389911886</v>
      </c>
      <c r="Q153" s="3">
        <f t="shared" si="18"/>
        <v>1747569.7389054489</v>
      </c>
      <c r="R153" s="3">
        <f t="shared" si="18"/>
        <v>1770432.3852524334</v>
      </c>
      <c r="S153" s="3">
        <f t="shared" si="18"/>
        <v>1181385.5743429854</v>
      </c>
      <c r="T153" s="3">
        <f t="shared" si="18"/>
        <v>747427.75300014287</v>
      </c>
      <c r="U153" s="3">
        <f t="shared" si="18"/>
        <v>688392.18300646672</v>
      </c>
      <c r="V153" s="3">
        <f t="shared" si="18"/>
        <v>6693806.4058337482</v>
      </c>
    </row>
    <row r="154" spans="1:22" x14ac:dyDescent="0.45">
      <c r="B154" s="44" t="s">
        <v>167</v>
      </c>
      <c r="C154" s="3">
        <f>SUM(C71:C72)*C$128</f>
        <v>20238926.883443974</v>
      </c>
      <c r="D154" s="3">
        <f t="shared" ref="D154:V154" si="19">SUM(D71:D72)*D$128</f>
        <v>24326355.862411212</v>
      </c>
      <c r="E154" s="3">
        <f t="shared" si="19"/>
        <v>26130380.937189616</v>
      </c>
      <c r="F154" s="3">
        <f t="shared" si="19"/>
        <v>32652040.874523081</v>
      </c>
      <c r="G154" s="3">
        <f t="shared" si="19"/>
        <v>44103758.919099472</v>
      </c>
      <c r="H154" s="3">
        <f t="shared" si="19"/>
        <v>56431709.262464732</v>
      </c>
      <c r="I154" s="3">
        <f t="shared" si="19"/>
        <v>64161279.009331293</v>
      </c>
      <c r="J154" s="3">
        <f t="shared" si="19"/>
        <v>70809000.547222838</v>
      </c>
      <c r="K154" s="3">
        <f t="shared" si="19"/>
        <v>76245523.543483153</v>
      </c>
      <c r="L154" s="3">
        <f t="shared" si="19"/>
        <v>75739665.460212827</v>
      </c>
      <c r="M154" s="3">
        <f t="shared" si="19"/>
        <v>73694461.70944564</v>
      </c>
      <c r="N154" s="3">
        <f t="shared" si="19"/>
        <v>71738771.920539081</v>
      </c>
      <c r="O154" s="3">
        <f t="shared" si="19"/>
        <v>69168253.165046424</v>
      </c>
      <c r="P154" s="3">
        <f t="shared" si="19"/>
        <v>65943023.081625603</v>
      </c>
      <c r="Q154" s="3">
        <f t="shared" si="19"/>
        <v>62379323.140539303</v>
      </c>
      <c r="R154" s="3">
        <f t="shared" si="19"/>
        <v>58957693.916846804</v>
      </c>
      <c r="S154" s="3">
        <f t="shared" si="19"/>
        <v>55396138.193539612</v>
      </c>
      <c r="T154" s="3">
        <f t="shared" si="19"/>
        <v>51857869.260529689</v>
      </c>
      <c r="U154" s="3">
        <f t="shared" si="19"/>
        <v>48711444.881094933</v>
      </c>
      <c r="V154" s="3">
        <f t="shared" si="19"/>
        <v>45750616.52485007</v>
      </c>
    </row>
    <row r="155" spans="1:22" ht="14.65" thickBot="1" x14ac:dyDescent="0.5">
      <c r="B155" s="44"/>
      <c r="C155" s="65">
        <f>SUM(C152:C154)</f>
        <v>169656791.5822075</v>
      </c>
      <c r="D155" s="65">
        <f t="shared" ref="D155:V155" si="20">SUM(D152:D154)</f>
        <v>155380180.74349448</v>
      </c>
      <c r="E155" s="65">
        <f t="shared" si="20"/>
        <v>142226505.6359027</v>
      </c>
      <c r="F155" s="65">
        <f t="shared" si="20"/>
        <v>235866813.92095077</v>
      </c>
      <c r="G155" s="65">
        <f t="shared" si="20"/>
        <v>318403609.70299101</v>
      </c>
      <c r="H155" s="65">
        <f t="shared" si="20"/>
        <v>370495587.01893258</v>
      </c>
      <c r="I155" s="65">
        <f t="shared" si="20"/>
        <v>286591704.55297542</v>
      </c>
      <c r="J155" s="65">
        <f t="shared" si="20"/>
        <v>294611596.89754468</v>
      </c>
      <c r="K155" s="65">
        <f t="shared" si="20"/>
        <v>286769260.03393173</v>
      </c>
      <c r="L155" s="65">
        <f t="shared" si="20"/>
        <v>154126916.56065878</v>
      </c>
      <c r="M155" s="65">
        <f t="shared" si="20"/>
        <v>138654089.96223992</v>
      </c>
      <c r="N155" s="65">
        <f t="shared" si="20"/>
        <v>129360209.9298479</v>
      </c>
      <c r="O155" s="65">
        <f t="shared" si="20"/>
        <v>117307674.4481521</v>
      </c>
      <c r="P155" s="65">
        <f t="shared" si="20"/>
        <v>103680311.68045002</v>
      </c>
      <c r="Q155" s="65">
        <f t="shared" si="20"/>
        <v>91810094.097357988</v>
      </c>
      <c r="R155" s="65">
        <f t="shared" si="20"/>
        <v>83559779.910992384</v>
      </c>
      <c r="S155" s="65">
        <f t="shared" si="20"/>
        <v>74141725.41027835</v>
      </c>
      <c r="T155" s="65">
        <f t="shared" si="20"/>
        <v>65579349.453145251</v>
      </c>
      <c r="U155" s="65">
        <f t="shared" si="20"/>
        <v>61038693.762743354</v>
      </c>
      <c r="V155" s="65">
        <f t="shared" si="20"/>
        <v>62762310.589962244</v>
      </c>
    </row>
    <row r="156" spans="1:22" ht="14.65" thickTop="1" x14ac:dyDescent="0.45">
      <c r="B156" s="44"/>
    </row>
    <row r="157" spans="1:22" x14ac:dyDescent="0.45">
      <c r="B157" s="44" t="s">
        <v>168</v>
      </c>
      <c r="C157" s="124">
        <f>SUM(C155:V155)</f>
        <v>3342023205.8947592</v>
      </c>
    </row>
    <row r="158" spans="1:22" x14ac:dyDescent="0.45">
      <c r="B158" s="44"/>
    </row>
    <row r="159" spans="1:22" x14ac:dyDescent="0.45">
      <c r="B159" s="44"/>
    </row>
    <row r="160" spans="1:22" x14ac:dyDescent="0.45">
      <c r="B160" s="42" t="s">
        <v>1</v>
      </c>
      <c r="C160" s="47">
        <v>1</v>
      </c>
      <c r="D160" s="47">
        <v>2</v>
      </c>
      <c r="E160" s="47">
        <v>3</v>
      </c>
      <c r="F160" s="47">
        <v>4</v>
      </c>
      <c r="G160" s="47">
        <v>5</v>
      </c>
      <c r="H160" s="47">
        <v>6</v>
      </c>
      <c r="I160" s="47">
        <v>7</v>
      </c>
      <c r="J160" s="47">
        <v>8</v>
      </c>
      <c r="K160" s="47">
        <v>9</v>
      </c>
      <c r="L160" s="47">
        <v>10</v>
      </c>
      <c r="M160" s="47">
        <v>11</v>
      </c>
      <c r="N160" s="47">
        <v>12</v>
      </c>
      <c r="O160" s="47">
        <v>13</v>
      </c>
      <c r="P160" s="47">
        <v>14</v>
      </c>
      <c r="Q160" s="47">
        <v>15</v>
      </c>
      <c r="R160" s="47">
        <v>16</v>
      </c>
      <c r="S160" s="47">
        <v>17</v>
      </c>
      <c r="T160" s="47">
        <v>18</v>
      </c>
      <c r="U160" s="47">
        <v>19</v>
      </c>
      <c r="V160" s="47">
        <v>20</v>
      </c>
    </row>
    <row r="161" spans="2:22" x14ac:dyDescent="0.45">
      <c r="B161" s="44"/>
      <c r="C161" s="17" t="s">
        <v>5</v>
      </c>
      <c r="D161" s="17" t="s">
        <v>6</v>
      </c>
      <c r="E161" s="58" t="s">
        <v>7</v>
      </c>
      <c r="F161" s="58" t="s">
        <v>8</v>
      </c>
      <c r="G161" s="17" t="s">
        <v>9</v>
      </c>
      <c r="H161" s="17" t="s">
        <v>10</v>
      </c>
      <c r="I161" s="17" t="s">
        <v>11</v>
      </c>
      <c r="J161" s="17" t="s">
        <v>12</v>
      </c>
      <c r="K161" s="17" t="s">
        <v>13</v>
      </c>
      <c r="L161" s="17" t="s">
        <v>14</v>
      </c>
      <c r="M161" s="17" t="s">
        <v>49</v>
      </c>
      <c r="N161" s="17" t="s">
        <v>50</v>
      </c>
      <c r="O161" s="17" t="s">
        <v>51</v>
      </c>
      <c r="P161" s="17" t="s">
        <v>52</v>
      </c>
      <c r="Q161" s="17" t="s">
        <v>53</v>
      </c>
      <c r="R161" s="17" t="s">
        <v>54</v>
      </c>
      <c r="S161" s="17" t="s">
        <v>55</v>
      </c>
      <c r="T161" s="17" t="s">
        <v>56</v>
      </c>
      <c r="U161" s="17" t="s">
        <v>57</v>
      </c>
      <c r="V161" s="17" t="s">
        <v>58</v>
      </c>
    </row>
    <row r="162" spans="2:22" x14ac:dyDescent="0.45">
      <c r="B162" s="44" t="s">
        <v>165</v>
      </c>
      <c r="C162" s="3">
        <f t="shared" ref="C162:V163" si="21">C78*C$128</f>
        <v>18091143.26792388</v>
      </c>
      <c r="D162" s="3">
        <f t="shared" si="21"/>
        <v>27694457.907113452</v>
      </c>
      <c r="E162" s="3">
        <f t="shared" si="21"/>
        <v>32309462.891056154</v>
      </c>
      <c r="F162" s="3">
        <f t="shared" si="21"/>
        <v>36651907.424504168</v>
      </c>
      <c r="G162" s="3">
        <f t="shared" si="21"/>
        <v>51185973.816348769</v>
      </c>
      <c r="H162" s="3">
        <f t="shared" si="21"/>
        <v>69177793.212635517</v>
      </c>
      <c r="I162" s="3">
        <f t="shared" si="21"/>
        <v>80897066.366127118</v>
      </c>
      <c r="J162" s="3">
        <f t="shared" si="21"/>
        <v>79181530.797453448</v>
      </c>
      <c r="K162" s="3">
        <f t="shared" si="21"/>
        <v>79888219.833799168</v>
      </c>
      <c r="L162" s="3">
        <f t="shared" si="21"/>
        <v>75812873.774085239</v>
      </c>
      <c r="M162" s="3">
        <f t="shared" si="21"/>
        <v>62362108.340053983</v>
      </c>
      <c r="N162" s="3">
        <f t="shared" si="21"/>
        <v>55737180.533819333</v>
      </c>
      <c r="O162" s="3">
        <f t="shared" si="21"/>
        <v>46875310.417997435</v>
      </c>
      <c r="P162" s="3">
        <f t="shared" si="21"/>
        <v>36482096.359833226</v>
      </c>
      <c r="Q162" s="3">
        <f t="shared" si="21"/>
        <v>27683201.217913233</v>
      </c>
      <c r="R162" s="3">
        <f t="shared" si="21"/>
        <v>22831653.608893149</v>
      </c>
      <c r="S162" s="3">
        <f t="shared" si="21"/>
        <v>17564201.64239575</v>
      </c>
      <c r="T162" s="3">
        <f t="shared" si="21"/>
        <v>12974052.439615423</v>
      </c>
      <c r="U162" s="3">
        <f t="shared" si="21"/>
        <v>11638856.698641956</v>
      </c>
      <c r="V162" s="3">
        <f t="shared" si="21"/>
        <v>10317887.659278421</v>
      </c>
    </row>
    <row r="163" spans="2:22" x14ac:dyDescent="0.45">
      <c r="B163" s="44" t="s">
        <v>166</v>
      </c>
      <c r="C163" s="3">
        <f t="shared" si="21"/>
        <v>159340695.01167503</v>
      </c>
      <c r="D163" s="3">
        <f t="shared" si="21"/>
        <v>125572391.62565361</v>
      </c>
      <c r="E163" s="3">
        <f t="shared" si="21"/>
        <v>104199728.43345612</v>
      </c>
      <c r="F163" s="3">
        <f t="shared" si="21"/>
        <v>204457456.54246873</v>
      </c>
      <c r="G163" s="3">
        <f t="shared" si="21"/>
        <v>275751692.5052495</v>
      </c>
      <c r="H163" s="3">
        <f t="shared" si="21"/>
        <v>296950315.89970595</v>
      </c>
      <c r="I163" s="3">
        <f t="shared" si="21"/>
        <v>163842224.52085584</v>
      </c>
      <c r="J163" s="3">
        <f t="shared" si="21"/>
        <v>179687105.10666025</v>
      </c>
      <c r="K163" s="3">
        <f t="shared" si="21"/>
        <v>156394572.97178346</v>
      </c>
      <c r="L163" s="3">
        <f t="shared" si="21"/>
        <v>2574377.32636071</v>
      </c>
      <c r="M163" s="3">
        <f t="shared" si="21"/>
        <v>2597519.9127402934</v>
      </c>
      <c r="N163" s="3">
        <f t="shared" si="21"/>
        <v>1884257.475489473</v>
      </c>
      <c r="O163" s="3">
        <f t="shared" si="21"/>
        <v>1264110.8651082388</v>
      </c>
      <c r="P163" s="3">
        <f t="shared" si="21"/>
        <v>1255192.2389911886</v>
      </c>
      <c r="Q163" s="3">
        <f t="shared" si="21"/>
        <v>1747569.7389054489</v>
      </c>
      <c r="R163" s="3">
        <f t="shared" si="21"/>
        <v>1770432.3852524334</v>
      </c>
      <c r="S163" s="3">
        <f t="shared" si="21"/>
        <v>1181385.5743429854</v>
      </c>
      <c r="T163" s="3">
        <f t="shared" si="21"/>
        <v>747427.75300014287</v>
      </c>
      <c r="U163" s="3">
        <f t="shared" si="21"/>
        <v>688392.18300646672</v>
      </c>
      <c r="V163" s="3">
        <f t="shared" si="21"/>
        <v>6693806.4058337482</v>
      </c>
    </row>
    <row r="164" spans="2:22" x14ac:dyDescent="0.45">
      <c r="B164" s="44" t="s">
        <v>167</v>
      </c>
      <c r="C164" s="3">
        <f t="shared" ref="C164:V164" si="22">SUM(C80:C81)*C$128</f>
        <v>22954847.635533266</v>
      </c>
      <c r="D164" s="3">
        <f t="shared" si="22"/>
        <v>26923888.205386695</v>
      </c>
      <c r="E164" s="3">
        <f t="shared" si="22"/>
        <v>28407171.67331095</v>
      </c>
      <c r="F164" s="3">
        <f t="shared" si="22"/>
        <v>35242275.661669567</v>
      </c>
      <c r="G164" s="3">
        <f t="shared" si="22"/>
        <v>47494502.338860512</v>
      </c>
      <c r="H164" s="3">
        <f t="shared" si="22"/>
        <v>60506090.735280961</v>
      </c>
      <c r="I164" s="3">
        <f t="shared" si="22"/>
        <v>68349931.741105571</v>
      </c>
      <c r="J164" s="3">
        <f t="shared" si="22"/>
        <v>75331388.946398109</v>
      </c>
      <c r="K164" s="3">
        <f t="shared" si="22"/>
        <v>80892666.339464068</v>
      </c>
      <c r="L164" s="3">
        <f t="shared" si="22"/>
        <v>80027602.331444174</v>
      </c>
      <c r="M164" s="3">
        <f t="shared" si="22"/>
        <v>77650145.405708596</v>
      </c>
      <c r="N164" s="3">
        <f t="shared" si="22"/>
        <v>75387172.316546321</v>
      </c>
      <c r="O164" s="3">
        <f t="shared" si="22"/>
        <v>72532501.158971459</v>
      </c>
      <c r="P164" s="3">
        <f t="shared" si="22"/>
        <v>69044544.151910514</v>
      </c>
      <c r="Q164" s="3">
        <f t="shared" si="22"/>
        <v>65237961.298985392</v>
      </c>
      <c r="R164" s="3">
        <f t="shared" si="22"/>
        <v>61591826.743602447</v>
      </c>
      <c r="S164" s="3">
        <f t="shared" si="22"/>
        <v>57822783.590911321</v>
      </c>
      <c r="T164" s="3">
        <f t="shared" si="22"/>
        <v>54092784.517300613</v>
      </c>
      <c r="U164" s="3">
        <f t="shared" si="22"/>
        <v>50769218.596991852</v>
      </c>
      <c r="V164" s="3">
        <f t="shared" si="22"/>
        <v>47644753.90573322</v>
      </c>
    </row>
    <row r="165" spans="2:22" ht="14.65" thickBot="1" x14ac:dyDescent="0.5">
      <c r="B165" s="44"/>
      <c r="C165" s="65">
        <f>SUM(C162:C164)</f>
        <v>200386685.91513219</v>
      </c>
      <c r="D165" s="65">
        <f t="shared" ref="D165:V165" si="23">SUM(D162:D164)</f>
        <v>180190737.73815376</v>
      </c>
      <c r="E165" s="65">
        <f t="shared" si="23"/>
        <v>164916362.99782324</v>
      </c>
      <c r="F165" s="65">
        <f t="shared" si="23"/>
        <v>276351639.62864244</v>
      </c>
      <c r="G165" s="65">
        <f t="shared" si="23"/>
        <v>374432168.6604588</v>
      </c>
      <c r="H165" s="65">
        <f t="shared" si="23"/>
        <v>426634199.84762239</v>
      </c>
      <c r="I165" s="65">
        <f t="shared" si="23"/>
        <v>313089222.62808853</v>
      </c>
      <c r="J165" s="65">
        <f t="shared" si="23"/>
        <v>334200024.85051179</v>
      </c>
      <c r="K165" s="65">
        <f t="shared" si="23"/>
        <v>317175459.14504671</v>
      </c>
      <c r="L165" s="65">
        <f t="shared" si="23"/>
        <v>158414853.43189013</v>
      </c>
      <c r="M165" s="65">
        <f t="shared" si="23"/>
        <v>142609773.65850288</v>
      </c>
      <c r="N165" s="65">
        <f t="shared" si="23"/>
        <v>133008610.32585514</v>
      </c>
      <c r="O165" s="65">
        <f t="shared" si="23"/>
        <v>120671922.44207713</v>
      </c>
      <c r="P165" s="65">
        <f t="shared" si="23"/>
        <v>106781832.75073493</v>
      </c>
      <c r="Q165" s="65">
        <f t="shared" si="23"/>
        <v>94668732.255804077</v>
      </c>
      <c r="R165" s="65">
        <f t="shared" si="23"/>
        <v>86193912.737748027</v>
      </c>
      <c r="S165" s="65">
        <f t="shared" si="23"/>
        <v>76568370.807650059</v>
      </c>
      <c r="T165" s="65">
        <f t="shared" si="23"/>
        <v>67814264.709916174</v>
      </c>
      <c r="U165" s="65">
        <f t="shared" si="23"/>
        <v>63096467.478640273</v>
      </c>
      <c r="V165" s="65">
        <f t="shared" si="23"/>
        <v>64656447.970845386</v>
      </c>
    </row>
    <row r="166" spans="2:22" ht="14.65" thickTop="1" x14ac:dyDescent="0.45">
      <c r="B166" s="44"/>
    </row>
    <row r="167" spans="2:22" x14ac:dyDescent="0.45">
      <c r="B167" s="44" t="s">
        <v>169</v>
      </c>
      <c r="C167" s="124">
        <f>SUM(C165:V165)</f>
        <v>3701861689.9811435</v>
      </c>
    </row>
    <row r="168" spans="2:22" x14ac:dyDescent="0.45">
      <c r="B168" s="44"/>
    </row>
    <row r="169" spans="2:22" x14ac:dyDescent="0.45">
      <c r="B169" s="44"/>
    </row>
    <row r="170" spans="2:22" x14ac:dyDescent="0.45">
      <c r="B170" s="42" t="s">
        <v>0</v>
      </c>
      <c r="C170" s="47">
        <v>1</v>
      </c>
      <c r="D170" s="47">
        <v>2</v>
      </c>
      <c r="E170" s="47">
        <v>3</v>
      </c>
      <c r="F170" s="47">
        <v>4</v>
      </c>
      <c r="G170" s="47">
        <v>5</v>
      </c>
      <c r="H170" s="47">
        <v>6</v>
      </c>
      <c r="I170" s="47">
        <v>7</v>
      </c>
      <c r="J170" s="47">
        <v>8</v>
      </c>
      <c r="K170" s="47">
        <v>9</v>
      </c>
      <c r="L170" s="47">
        <v>10</v>
      </c>
      <c r="M170" s="47">
        <v>11</v>
      </c>
      <c r="N170" s="47">
        <v>12</v>
      </c>
      <c r="O170" s="47">
        <v>13</v>
      </c>
      <c r="P170" s="47">
        <v>14</v>
      </c>
      <c r="Q170" s="47">
        <v>15</v>
      </c>
      <c r="R170" s="47">
        <v>16</v>
      </c>
      <c r="S170" s="47">
        <v>17</v>
      </c>
      <c r="T170" s="47">
        <v>18</v>
      </c>
      <c r="U170" s="47">
        <v>19</v>
      </c>
      <c r="V170" s="47">
        <v>20</v>
      </c>
    </row>
    <row r="171" spans="2:22" x14ac:dyDescent="0.45">
      <c r="B171" s="44"/>
      <c r="C171" s="17" t="s">
        <v>5</v>
      </c>
      <c r="D171" s="17" t="s">
        <v>6</v>
      </c>
      <c r="E171" s="58" t="s">
        <v>7</v>
      </c>
      <c r="F171" s="58" t="s">
        <v>8</v>
      </c>
      <c r="G171" s="17" t="s">
        <v>9</v>
      </c>
      <c r="H171" s="17" t="s">
        <v>10</v>
      </c>
      <c r="I171" s="17" t="s">
        <v>11</v>
      </c>
      <c r="J171" s="17" t="s">
        <v>12</v>
      </c>
      <c r="K171" s="17" t="s">
        <v>13</v>
      </c>
      <c r="L171" s="17" t="s">
        <v>14</v>
      </c>
      <c r="M171" s="17" t="s">
        <v>49</v>
      </c>
      <c r="N171" s="17" t="s">
        <v>50</v>
      </c>
      <c r="O171" s="17" t="s">
        <v>51</v>
      </c>
      <c r="P171" s="17" t="s">
        <v>52</v>
      </c>
      <c r="Q171" s="17" t="s">
        <v>53</v>
      </c>
      <c r="R171" s="17" t="s">
        <v>54</v>
      </c>
      <c r="S171" s="17" t="s">
        <v>55</v>
      </c>
      <c r="T171" s="17" t="s">
        <v>56</v>
      </c>
      <c r="U171" s="17" t="s">
        <v>57</v>
      </c>
      <c r="V171" s="17" t="s">
        <v>58</v>
      </c>
    </row>
    <row r="172" spans="2:22" x14ac:dyDescent="0.45">
      <c r="B172" s="44" t="s">
        <v>165</v>
      </c>
      <c r="C172" s="3">
        <f t="shared" ref="C172:V173" si="24">C87*C$128</f>
        <v>18091143.26792388</v>
      </c>
      <c r="D172" s="3">
        <f t="shared" si="24"/>
        <v>27694457.907113452</v>
      </c>
      <c r="E172" s="3">
        <f t="shared" si="24"/>
        <v>32309462.891056154</v>
      </c>
      <c r="F172" s="3">
        <f t="shared" si="24"/>
        <v>36651907.424504168</v>
      </c>
      <c r="G172" s="3">
        <f t="shared" si="24"/>
        <v>51185973.816348769</v>
      </c>
      <c r="H172" s="3">
        <f t="shared" si="24"/>
        <v>69177793.212635517</v>
      </c>
      <c r="I172" s="3">
        <f t="shared" si="24"/>
        <v>80897066.366127118</v>
      </c>
      <c r="J172" s="3">
        <f t="shared" si="24"/>
        <v>79181530.797453448</v>
      </c>
      <c r="K172" s="3">
        <f t="shared" si="24"/>
        <v>79888219.833799168</v>
      </c>
      <c r="L172" s="3">
        <f t="shared" si="24"/>
        <v>75812873.774085239</v>
      </c>
      <c r="M172" s="3">
        <f t="shared" si="24"/>
        <v>62362108.340053983</v>
      </c>
      <c r="N172" s="3">
        <f t="shared" si="24"/>
        <v>55737180.533819333</v>
      </c>
      <c r="O172" s="3">
        <f t="shared" si="24"/>
        <v>46875310.417997435</v>
      </c>
      <c r="P172" s="3">
        <f t="shared" si="24"/>
        <v>36482096.359833226</v>
      </c>
      <c r="Q172" s="3">
        <f t="shared" si="24"/>
        <v>27683201.217913233</v>
      </c>
      <c r="R172" s="3">
        <f t="shared" si="24"/>
        <v>22831653.608893149</v>
      </c>
      <c r="S172" s="3">
        <f t="shared" si="24"/>
        <v>17564201.64239575</v>
      </c>
      <c r="T172" s="3">
        <f t="shared" si="24"/>
        <v>12974052.439615423</v>
      </c>
      <c r="U172" s="3">
        <f t="shared" si="24"/>
        <v>11638856.698641956</v>
      </c>
      <c r="V172" s="3">
        <f t="shared" si="24"/>
        <v>10317887.659278421</v>
      </c>
    </row>
    <row r="173" spans="2:22" x14ac:dyDescent="0.45">
      <c r="B173" s="44" t="s">
        <v>166</v>
      </c>
      <c r="C173" s="3">
        <f t="shared" si="24"/>
        <v>113447243.68804651</v>
      </c>
      <c r="D173" s="3">
        <f t="shared" si="24"/>
        <v>91287762.176811174</v>
      </c>
      <c r="E173" s="3">
        <f t="shared" si="24"/>
        <v>79602400.163039029</v>
      </c>
      <c r="F173" s="3">
        <f t="shared" si="24"/>
        <v>148265548.18982199</v>
      </c>
      <c r="G173" s="3">
        <f t="shared" si="24"/>
        <v>204020289.91439906</v>
      </c>
      <c r="H173" s="3">
        <f t="shared" si="24"/>
        <v>210887419.78041172</v>
      </c>
      <c r="I173" s="3">
        <f t="shared" si="24"/>
        <v>107851433.82152253</v>
      </c>
      <c r="J173" s="3">
        <f t="shared" si="24"/>
        <v>129941140.80038451</v>
      </c>
      <c r="K173" s="3">
        <f t="shared" si="24"/>
        <v>105165072.47089422</v>
      </c>
      <c r="L173" s="3">
        <f t="shared" si="24"/>
        <v>2574377.32636071</v>
      </c>
      <c r="M173" s="3">
        <f t="shared" si="24"/>
        <v>2597519.9127402934</v>
      </c>
      <c r="N173" s="3">
        <f t="shared" si="24"/>
        <v>1884257.475489473</v>
      </c>
      <c r="O173" s="3">
        <f t="shared" si="24"/>
        <v>1264110.8651082388</v>
      </c>
      <c r="P173" s="3">
        <f t="shared" si="24"/>
        <v>1255192.2389911886</v>
      </c>
      <c r="Q173" s="3">
        <f t="shared" si="24"/>
        <v>1747569.7389054489</v>
      </c>
      <c r="R173" s="3">
        <f t="shared" si="24"/>
        <v>1770432.3852524334</v>
      </c>
      <c r="S173" s="3">
        <f t="shared" si="24"/>
        <v>1181385.5743429854</v>
      </c>
      <c r="T173" s="3">
        <f t="shared" si="24"/>
        <v>747427.75300014287</v>
      </c>
      <c r="U173" s="3">
        <f t="shared" si="24"/>
        <v>688392.18300646672</v>
      </c>
      <c r="V173" s="3">
        <f t="shared" si="24"/>
        <v>6693806.4058337482</v>
      </c>
    </row>
    <row r="174" spans="2:22" x14ac:dyDescent="0.45">
      <c r="B174" s="44" t="s">
        <v>167</v>
      </c>
      <c r="C174" s="3">
        <f t="shared" ref="C174:V174" si="25">SUM(C89:C90)*C$128</f>
        <v>18231424.708801165</v>
      </c>
      <c r="D174" s="3">
        <f t="shared" si="25"/>
        <v>22584586.123487607</v>
      </c>
      <c r="E174" s="3">
        <f t="shared" si="25"/>
        <v>24872247.833038233</v>
      </c>
      <c r="F174" s="3">
        <f t="shared" si="25"/>
        <v>31309246.846657693</v>
      </c>
      <c r="G174" s="3">
        <f t="shared" si="25"/>
        <v>42548424.454230055</v>
      </c>
      <c r="H174" s="3">
        <f t="shared" si="25"/>
        <v>54398559.182804115</v>
      </c>
      <c r="I174" s="3">
        <f t="shared" si="25"/>
        <v>61666158.439982355</v>
      </c>
      <c r="J174" s="3">
        <f t="shared" si="25"/>
        <v>68244365.928901687</v>
      </c>
      <c r="K174" s="3">
        <f t="shared" si="25"/>
        <v>73428660.205809906</v>
      </c>
      <c r="L174" s="3">
        <f t="shared" si="25"/>
        <v>73144041.573865294</v>
      </c>
      <c r="M174" s="3">
        <f t="shared" si="25"/>
        <v>71303306.216814652</v>
      </c>
      <c r="N174" s="3">
        <f t="shared" si="25"/>
        <v>69536556.127780288</v>
      </c>
      <c r="O174" s="3">
        <f t="shared" si="25"/>
        <v>67140600.146595031</v>
      </c>
      <c r="P174" s="3">
        <f t="shared" si="25"/>
        <v>64076623.618239537</v>
      </c>
      <c r="Q174" s="3">
        <f t="shared" si="25"/>
        <v>60661857.723443501</v>
      </c>
      <c r="R174" s="3">
        <f t="shared" si="25"/>
        <v>57377760.383797452</v>
      </c>
      <c r="S174" s="3">
        <f t="shared" si="25"/>
        <v>53943184.593517326</v>
      </c>
      <c r="T174" s="3">
        <f t="shared" si="25"/>
        <v>50522131.572474495</v>
      </c>
      <c r="U174" s="3">
        <f t="shared" si="25"/>
        <v>47483889.23876439</v>
      </c>
      <c r="V174" s="3">
        <f t="shared" si="25"/>
        <v>44622885.624662027</v>
      </c>
    </row>
    <row r="175" spans="2:22" ht="14.65" thickBot="1" x14ac:dyDescent="0.5">
      <c r="B175" s="44"/>
      <c r="C175" s="65">
        <f>SUM(C172:C174)</f>
        <v>149769811.66477156</v>
      </c>
      <c r="D175" s="65">
        <f t="shared" ref="D175:V175" si="26">SUM(D172:D174)</f>
        <v>141566806.20741224</v>
      </c>
      <c r="E175" s="65">
        <f t="shared" si="26"/>
        <v>136784110.88713342</v>
      </c>
      <c r="F175" s="65">
        <f t="shared" si="26"/>
        <v>216226702.46098384</v>
      </c>
      <c r="G175" s="65">
        <f t="shared" si="26"/>
        <v>297754688.18497789</v>
      </c>
      <c r="H175" s="65">
        <f t="shared" si="26"/>
        <v>334463772.17585135</v>
      </c>
      <c r="I175" s="65">
        <f t="shared" si="26"/>
        <v>250414658.62763202</v>
      </c>
      <c r="J175" s="65">
        <f t="shared" si="26"/>
        <v>277367037.52673966</v>
      </c>
      <c r="K175" s="65">
        <f t="shared" si="26"/>
        <v>258481952.51050329</v>
      </c>
      <c r="L175" s="65">
        <f t="shared" si="26"/>
        <v>151531292.67431125</v>
      </c>
      <c r="M175" s="65">
        <f t="shared" si="26"/>
        <v>136262934.46960893</v>
      </c>
      <c r="N175" s="65">
        <f t="shared" si="26"/>
        <v>127157994.1370891</v>
      </c>
      <c r="O175" s="65">
        <f t="shared" si="26"/>
        <v>115280021.4297007</v>
      </c>
      <c r="P175" s="65">
        <f t="shared" si="26"/>
        <v>101813912.21706395</v>
      </c>
      <c r="Q175" s="65">
        <f t="shared" si="26"/>
        <v>90092628.680262178</v>
      </c>
      <c r="R175" s="65">
        <f t="shared" si="26"/>
        <v>81979846.377943039</v>
      </c>
      <c r="S175" s="65">
        <f t="shared" si="26"/>
        <v>72688771.810256064</v>
      </c>
      <c r="T175" s="65">
        <f t="shared" si="26"/>
        <v>64243611.765090063</v>
      </c>
      <c r="U175" s="65">
        <f t="shared" si="26"/>
        <v>59811138.120412812</v>
      </c>
      <c r="V175" s="65">
        <f t="shared" si="26"/>
        <v>61634579.6897742</v>
      </c>
    </row>
    <row r="176" spans="2:22" ht="14.65" thickTop="1" x14ac:dyDescent="0.45">
      <c r="B176" s="44"/>
    </row>
    <row r="177" spans="1:22" x14ac:dyDescent="0.45">
      <c r="B177" s="44" t="s">
        <v>170</v>
      </c>
      <c r="C177" s="124">
        <f>SUM(C175:V175)</f>
        <v>3125326271.617517</v>
      </c>
    </row>
    <row r="178" spans="1:22" x14ac:dyDescent="0.45">
      <c r="B178" s="44"/>
    </row>
    <row r="179" spans="1:22" x14ac:dyDescent="0.45">
      <c r="B179" s="44"/>
    </row>
    <row r="180" spans="1:22" ht="15.75" x14ac:dyDescent="0.45">
      <c r="A180" s="62" t="s">
        <v>171</v>
      </c>
      <c r="B180" s="44"/>
    </row>
    <row r="182" spans="1:22" x14ac:dyDescent="0.45">
      <c r="B182" s="42" t="s">
        <v>4</v>
      </c>
      <c r="C182" s="47">
        <v>1</v>
      </c>
      <c r="D182" s="47">
        <v>2</v>
      </c>
      <c r="E182" s="47">
        <v>3</v>
      </c>
      <c r="F182" s="47">
        <v>4</v>
      </c>
      <c r="G182" s="47">
        <v>5</v>
      </c>
      <c r="H182" s="47">
        <v>6</v>
      </c>
      <c r="I182" s="47">
        <v>7</v>
      </c>
      <c r="J182" s="47">
        <v>8</v>
      </c>
      <c r="K182" s="47">
        <v>9</v>
      </c>
      <c r="L182" s="47">
        <v>10</v>
      </c>
      <c r="M182" s="47">
        <v>11</v>
      </c>
      <c r="N182" s="47">
        <v>12</v>
      </c>
      <c r="O182" s="47">
        <v>13</v>
      </c>
      <c r="P182" s="47">
        <v>14</v>
      </c>
      <c r="Q182" s="47">
        <v>15</v>
      </c>
      <c r="R182" s="47">
        <v>16</v>
      </c>
      <c r="S182" s="47">
        <v>17</v>
      </c>
      <c r="T182" s="47">
        <v>18</v>
      </c>
      <c r="U182" s="47">
        <v>19</v>
      </c>
      <c r="V182" s="47">
        <v>20</v>
      </c>
    </row>
    <row r="183" spans="1:22" x14ac:dyDescent="0.45">
      <c r="C183" s="17" t="s">
        <v>5</v>
      </c>
      <c r="D183" s="17" t="s">
        <v>6</v>
      </c>
      <c r="E183" s="58" t="s">
        <v>7</v>
      </c>
      <c r="F183" s="58" t="s">
        <v>8</v>
      </c>
      <c r="G183" s="17" t="s">
        <v>9</v>
      </c>
      <c r="H183" s="17" t="s">
        <v>10</v>
      </c>
      <c r="I183" s="17" t="s">
        <v>11</v>
      </c>
      <c r="J183" s="17" t="s">
        <v>12</v>
      </c>
      <c r="K183" s="17" t="s">
        <v>13</v>
      </c>
      <c r="L183" s="17" t="s">
        <v>14</v>
      </c>
      <c r="M183" s="17" t="s">
        <v>49</v>
      </c>
      <c r="N183" s="17" t="s">
        <v>50</v>
      </c>
      <c r="O183" s="17" t="s">
        <v>51</v>
      </c>
      <c r="P183" s="17" t="s">
        <v>52</v>
      </c>
      <c r="Q183" s="17" t="s">
        <v>53</v>
      </c>
      <c r="R183" s="17" t="s">
        <v>54</v>
      </c>
      <c r="S183" s="17" t="s">
        <v>55</v>
      </c>
      <c r="T183" s="17" t="s">
        <v>56</v>
      </c>
      <c r="U183" s="17" t="s">
        <v>57</v>
      </c>
      <c r="V183" s="17" t="s">
        <v>58</v>
      </c>
    </row>
    <row r="184" spans="1:22" x14ac:dyDescent="0.45">
      <c r="B184" s="44" t="s">
        <v>172</v>
      </c>
      <c r="C184" s="3">
        <f>'[3]Copper Weighted Price'!E104*(1+'Copper Weighted Price'!$D$278)</f>
        <v>1143973893.3258967</v>
      </c>
      <c r="D184" s="3">
        <f>'[3]Copper Weighted Price'!F104*(1+'Copper Weighted Price'!$D$278)</f>
        <v>1108336497.8717024</v>
      </c>
      <c r="E184" s="3">
        <f>'[3]Copper Weighted Price'!G104*(1+'Copper Weighted Price'!$D$278)</f>
        <v>1062042647.2397627</v>
      </c>
      <c r="F184" s="3">
        <f>'[3]Copper Weighted Price'!H104*(1+'Copper Weighted Price'!$D$278)</f>
        <v>1032352395.5897068</v>
      </c>
      <c r="G184" s="3">
        <f>'[3]Copper Weighted Price'!I104*(1+'Copper Weighted Price'!$D$278)</f>
        <v>1044270200.9344059</v>
      </c>
      <c r="H184" s="3">
        <f>'[3]Copper Weighted Price'!J104*(1+'Copper Weighted Price'!$D$278)</f>
        <v>975490727.68020988</v>
      </c>
      <c r="I184" s="3">
        <f>'[3]Copper Weighted Price'!K104*(1+'Copper Weighted Price'!$D$278)</f>
        <v>904090721.57109058</v>
      </c>
      <c r="J184" s="3">
        <f>'[3]Copper Weighted Price'!L104*(1+'Copper Weighted Price'!$D$278)</f>
        <v>827626008.66718054</v>
      </c>
      <c r="K184" s="3">
        <f>'[3]Copper Weighted Price'!M104*(1+'Copper Weighted Price'!$D$278)</f>
        <v>745783392.7883029</v>
      </c>
      <c r="L184" s="3">
        <f>'[3]Copper Weighted Price'!N104*(1+'Copper Weighted Price'!$D$278)</f>
        <v>657570273.30849349</v>
      </c>
      <c r="M184" s="3">
        <f>'[3]Copper Weighted Price'!O104*(1+'Copper Weighted Price'!$D$278)</f>
        <v>554231203.58591342</v>
      </c>
      <c r="N184" s="3">
        <f>'[3]Copper Weighted Price'!P104*(1+'Copper Weighted Price'!$D$278)</f>
        <v>448705903.30908722</v>
      </c>
      <c r="O184" s="3">
        <f>'[3]Copper Weighted Price'!Q104*(1+'Copper Weighted Price'!$D$278)</f>
        <v>325855835.12283576</v>
      </c>
      <c r="P184" s="3">
        <f>'[3]Copper Weighted Price'!R104*(1+'Copper Weighted Price'!$D$278)</f>
        <v>289369641.28591877</v>
      </c>
      <c r="Q184" s="3">
        <f>'[3]Copper Weighted Price'!S104*(1+'Copper Weighted Price'!$D$278)</f>
        <v>274545569.36992115</v>
      </c>
      <c r="R184" s="77">
        <v>0</v>
      </c>
      <c r="S184" s="77">
        <v>0</v>
      </c>
      <c r="T184" s="77">
        <v>0</v>
      </c>
      <c r="U184" s="77">
        <v>0</v>
      </c>
      <c r="V184" s="77">
        <v>0</v>
      </c>
    </row>
    <row r="185" spans="1:22" x14ac:dyDescent="0.45">
      <c r="B185" s="44" t="s">
        <v>173</v>
      </c>
      <c r="C185" s="3">
        <f>'[3]Copper Weighted Price'!Y29</f>
        <v>8216780.1699065296</v>
      </c>
      <c r="D185" s="3">
        <f>'[3]Copper Weighted Price'!Z29</f>
        <v>7832834.4963622466</v>
      </c>
      <c r="E185" s="3">
        <f>'[3]Copper Weighted Price'!AA29</f>
        <v>7447035.1107443366</v>
      </c>
      <c r="F185" s="3">
        <f>'[3]Copper Weighted Price'!AB29</f>
        <v>6984820.6996061625</v>
      </c>
      <c r="G185" s="3">
        <f>'[3]Copper Weighted Price'!AC29</f>
        <v>6442873.1686797086</v>
      </c>
      <c r="H185" s="3">
        <f>'[3]Copper Weighted Price'!AD29</f>
        <v>5887071.3019443322</v>
      </c>
      <c r="I185" s="3">
        <f>'[3]Copper Weighted Price'!AE29</f>
        <v>5312777.6039058957</v>
      </c>
      <c r="J185" s="3">
        <f>'[3]Copper Weighted Price'!AF29</f>
        <v>4696800.1107768668</v>
      </c>
      <c r="K185" s="3">
        <f>'[3]Copper Weighted Price'!AG29</f>
        <v>4045973.7954985043</v>
      </c>
      <c r="L185" s="3">
        <f>'[3]Copper Weighted Price'!AH29</f>
        <v>3364298.1312035136</v>
      </c>
      <c r="M185" s="3">
        <f>'[3]Copper Weighted Price'!AI29</f>
        <v>2527786.9147202354</v>
      </c>
      <c r="N185" s="3">
        <f>'[3]Copper Weighted Price'!AJ29</f>
        <v>1808405.940029504</v>
      </c>
      <c r="O185" s="3">
        <f>'[3]Copper Weighted Price'!AK29</f>
        <v>1073148.789961711</v>
      </c>
      <c r="P185" s="3">
        <f>'[3]Copper Weighted Price'!AL29</f>
        <v>397401.32582072308</v>
      </c>
      <c r="Q185" s="3">
        <f>'[3]Copper Weighted Price'!AM29</f>
        <v>294084.36911281518</v>
      </c>
      <c r="R185" s="77">
        <v>0</v>
      </c>
      <c r="S185" s="77">
        <v>0</v>
      </c>
      <c r="T185" s="77">
        <v>0</v>
      </c>
      <c r="U185" s="77">
        <v>0</v>
      </c>
      <c r="V185" s="77">
        <v>0</v>
      </c>
    </row>
    <row r="186" spans="1:22" x14ac:dyDescent="0.45">
      <c r="B186" s="44"/>
      <c r="Q186" s="28">
        <f>'[3]Copper Weighted Price'!AM2/12</f>
        <v>17.325815435527584</v>
      </c>
    </row>
    <row r="187" spans="1:22" x14ac:dyDescent="0.45">
      <c r="B187" s="44" t="s">
        <v>174</v>
      </c>
      <c r="C187" s="3">
        <f>C184*C$129</f>
        <v>1143973893.3258967</v>
      </c>
      <c r="D187" s="3">
        <f t="shared" ref="D187:V187" si="27">D184*D$129</f>
        <v>1035828502.6838341</v>
      </c>
      <c r="E187" s="3">
        <f t="shared" si="27"/>
        <v>927629179.1770134</v>
      </c>
      <c r="F187" s="3">
        <f t="shared" si="27"/>
        <v>842707068.72306252</v>
      </c>
      <c r="G187" s="3">
        <f t="shared" si="27"/>
        <v>796668736.37676537</v>
      </c>
      <c r="H187" s="3">
        <f t="shared" si="27"/>
        <v>695511407.0504564</v>
      </c>
      <c r="I187" s="3">
        <f t="shared" si="27"/>
        <v>602433821.94355595</v>
      </c>
      <c r="J187" s="3">
        <f t="shared" si="27"/>
        <v>515403883.27446103</v>
      </c>
      <c r="K187" s="3">
        <f t="shared" si="27"/>
        <v>434052724.63619649</v>
      </c>
      <c r="L187" s="3">
        <f t="shared" si="27"/>
        <v>357674659.77276999</v>
      </c>
      <c r="M187" s="3">
        <f t="shared" si="27"/>
        <v>281743040.02187175</v>
      </c>
      <c r="N187" s="3">
        <f t="shared" si="27"/>
        <v>213176942.35873231</v>
      </c>
      <c r="O187" s="3">
        <f t="shared" si="27"/>
        <v>144683887.78291631</v>
      </c>
      <c r="P187" s="3">
        <f t="shared" si="27"/>
        <v>120078113.43191546</v>
      </c>
      <c r="Q187" s="3">
        <f t="shared" si="27"/>
        <v>106473505.2465734</v>
      </c>
      <c r="R187" s="3">
        <f t="shared" si="27"/>
        <v>0</v>
      </c>
      <c r="S187" s="3">
        <f t="shared" si="27"/>
        <v>0</v>
      </c>
      <c r="T187" s="3">
        <f t="shared" si="27"/>
        <v>0</v>
      </c>
      <c r="U187" s="3">
        <f t="shared" si="27"/>
        <v>0</v>
      </c>
      <c r="V187" s="3">
        <f t="shared" si="27"/>
        <v>0</v>
      </c>
    </row>
    <row r="188" spans="1:22" x14ac:dyDescent="0.45">
      <c r="B188" s="44"/>
    </row>
    <row r="189" spans="1:22" x14ac:dyDescent="0.45">
      <c r="B189" s="44" t="s">
        <v>175</v>
      </c>
      <c r="C189" s="124">
        <f>SUM(C187:V187)*H8</f>
        <v>3962622396.157773</v>
      </c>
    </row>
    <row r="190" spans="1:22" x14ac:dyDescent="0.45">
      <c r="B190" s="44"/>
    </row>
    <row r="191" spans="1:22" x14ac:dyDescent="0.45">
      <c r="C191" s="17"/>
      <c r="D191" s="17"/>
      <c r="E191" s="58"/>
      <c r="F191" s="58"/>
      <c r="G191" s="17"/>
      <c r="H191" s="17"/>
      <c r="I191" s="17"/>
      <c r="J191" s="17"/>
      <c r="K191" s="17"/>
      <c r="L191" s="17"/>
      <c r="M191" s="17"/>
      <c r="N191" s="17"/>
      <c r="O191" s="17"/>
      <c r="P191" s="17"/>
      <c r="Q191" s="17"/>
      <c r="R191" s="17"/>
      <c r="S191" s="17"/>
      <c r="T191" s="17"/>
      <c r="U191" s="17"/>
      <c r="V191" s="17"/>
    </row>
    <row r="192" spans="1:22" x14ac:dyDescent="0.45">
      <c r="B192" s="42" t="s">
        <v>1</v>
      </c>
      <c r="C192" s="47">
        <v>1</v>
      </c>
      <c r="D192" s="47">
        <v>2</v>
      </c>
      <c r="E192" s="47">
        <v>3</v>
      </c>
      <c r="F192" s="47">
        <v>4</v>
      </c>
      <c r="G192" s="47">
        <v>5</v>
      </c>
      <c r="H192" s="47">
        <v>6</v>
      </c>
      <c r="I192" s="47">
        <v>7</v>
      </c>
      <c r="J192" s="47">
        <v>8</v>
      </c>
      <c r="K192" s="47">
        <v>9</v>
      </c>
      <c r="L192" s="47">
        <v>10</v>
      </c>
      <c r="M192" s="47">
        <v>11</v>
      </c>
      <c r="N192" s="47">
        <v>12</v>
      </c>
      <c r="O192" s="47">
        <v>13</v>
      </c>
      <c r="P192" s="47">
        <v>14</v>
      </c>
      <c r="Q192" s="47">
        <v>15</v>
      </c>
      <c r="R192" s="47">
        <v>16</v>
      </c>
      <c r="S192" s="47">
        <v>17</v>
      </c>
      <c r="T192" s="47">
        <v>18</v>
      </c>
      <c r="U192" s="47">
        <v>19</v>
      </c>
      <c r="V192" s="47">
        <v>20</v>
      </c>
    </row>
    <row r="193" spans="2:22" x14ac:dyDescent="0.45">
      <c r="C193" s="17" t="s">
        <v>5</v>
      </c>
      <c r="D193" s="17" t="s">
        <v>6</v>
      </c>
      <c r="E193" s="58" t="s">
        <v>7</v>
      </c>
      <c r="F193" s="58" t="s">
        <v>8</v>
      </c>
      <c r="G193" s="17" t="s">
        <v>9</v>
      </c>
      <c r="H193" s="17" t="s">
        <v>10</v>
      </c>
      <c r="I193" s="17" t="s">
        <v>11</v>
      </c>
      <c r="J193" s="17" t="s">
        <v>12</v>
      </c>
      <c r="K193" s="17" t="s">
        <v>13</v>
      </c>
      <c r="L193" s="17" t="s">
        <v>14</v>
      </c>
      <c r="M193" s="17" t="s">
        <v>49</v>
      </c>
      <c r="N193" s="17" t="s">
        <v>50</v>
      </c>
      <c r="O193" s="17" t="s">
        <v>51</v>
      </c>
      <c r="P193" s="17" t="s">
        <v>52</v>
      </c>
      <c r="Q193" s="17" t="s">
        <v>53</v>
      </c>
      <c r="R193" s="17" t="s">
        <v>54</v>
      </c>
      <c r="S193" s="17" t="s">
        <v>55</v>
      </c>
      <c r="T193" s="17" t="s">
        <v>56</v>
      </c>
      <c r="U193" s="17" t="s">
        <v>57</v>
      </c>
      <c r="V193" s="17" t="s">
        <v>58</v>
      </c>
    </row>
    <row r="194" spans="2:22" x14ac:dyDescent="0.45">
      <c r="B194" s="44" t="s">
        <v>172</v>
      </c>
      <c r="C194" s="3">
        <f>'[3]Copper Weighted Price'!E135*(1+'Copper Weighted Price'!$D$366)</f>
        <v>1197900632.1414278</v>
      </c>
      <c r="D194" s="3">
        <f>'[3]Copper Weighted Price'!F135*(1+'Copper Weighted Price'!$D$366)</f>
        <v>1167579747.3367569</v>
      </c>
      <c r="E194" s="3">
        <f>'[3]Copper Weighted Price'!G135*(1+'Copper Weighted Price'!$D$366)</f>
        <v>1126513200.8374836</v>
      </c>
      <c r="F194" s="3">
        <f>'[3]Copper Weighted Price'!H135*(1+'Copper Weighted Price'!$D$366)</f>
        <v>1101891586.3555841</v>
      </c>
      <c r="G194" s="3">
        <f>'[3]Copper Weighted Price'!I135*(1+'Copper Weighted Price'!$D$366)</f>
        <v>1118260682.5568435</v>
      </c>
      <c r="H194" s="3">
        <f>'[3]Copper Weighted Price'!J135*(1+'Copper Weighted Price'!$D$366)</f>
        <v>1059846019.7932928</v>
      </c>
      <c r="I194" s="3">
        <f>'[3]Copper Weighted Price'!K135*(1+'Copper Weighted Price'!$D$366)</f>
        <v>998159013.3341105</v>
      </c>
      <c r="J194" s="3">
        <f>'[3]Copper Weighted Price'!L135*(1+'Copper Weighted Price'!$D$366)</f>
        <v>930903240.28982687</v>
      </c>
      <c r="K194" s="3">
        <f>'[3]Copper Weighted Price'!M135*(1+'Copper Weighted Price'!$D$366)</f>
        <v>857395787.30236316</v>
      </c>
      <c r="L194" s="3">
        <f>'[3]Copper Weighted Price'!N135*(1+'Copper Weighted Price'!$D$366)</f>
        <v>776164906.52834201</v>
      </c>
      <c r="M194" s="3">
        <f>'[3]Copper Weighted Price'!O135*(1+'Copper Weighted Price'!$D$366)</f>
        <v>680310560.00570595</v>
      </c>
      <c r="N194" s="3">
        <f>'[3]Copper Weighted Price'!P135*(1+'Copper Weighted Price'!$D$366)</f>
        <v>576960264.43831754</v>
      </c>
      <c r="O194" s="3">
        <f>'[3]Copper Weighted Price'!Q135*(1+'Copper Weighted Price'!$D$366)</f>
        <v>450626612.28743118</v>
      </c>
      <c r="P194" s="3">
        <f>'[3]Copper Weighted Price'!R135*(1+'Copper Weighted Price'!$D$366)</f>
        <v>412910169.48716933</v>
      </c>
      <c r="Q194" s="3">
        <f>'[3]Copper Weighted Price'!S135*(1+'Copper Weighted Price'!$D$366)</f>
        <v>396182920.93414783</v>
      </c>
      <c r="R194" s="77">
        <v>0</v>
      </c>
      <c r="S194" s="77">
        <v>0</v>
      </c>
      <c r="T194" s="77">
        <v>0</v>
      </c>
      <c r="U194" s="77">
        <v>0</v>
      </c>
      <c r="V194" s="77">
        <v>0</v>
      </c>
    </row>
    <row r="195" spans="2:22" x14ac:dyDescent="0.45">
      <c r="B195" s="44" t="s">
        <v>173</v>
      </c>
      <c r="C195" s="3">
        <f t="shared" ref="C195:Q195" si="28">C185</f>
        <v>8216780.1699065296</v>
      </c>
      <c r="D195" s="3">
        <f t="shared" si="28"/>
        <v>7832834.4963622466</v>
      </c>
      <c r="E195" s="3">
        <f t="shared" si="28"/>
        <v>7447035.1107443366</v>
      </c>
      <c r="F195" s="3">
        <f t="shared" si="28"/>
        <v>6984820.6996061625</v>
      </c>
      <c r="G195" s="3">
        <f t="shared" si="28"/>
        <v>6442873.1686797086</v>
      </c>
      <c r="H195" s="3">
        <f t="shared" si="28"/>
        <v>5887071.3019443322</v>
      </c>
      <c r="I195" s="3">
        <f t="shared" si="28"/>
        <v>5312777.6039058957</v>
      </c>
      <c r="J195" s="3">
        <f t="shared" si="28"/>
        <v>4696800.1107768668</v>
      </c>
      <c r="K195" s="3">
        <f t="shared" si="28"/>
        <v>4045973.7954985043</v>
      </c>
      <c r="L195" s="3">
        <f t="shared" si="28"/>
        <v>3364298.1312035136</v>
      </c>
      <c r="M195" s="3">
        <f t="shared" si="28"/>
        <v>2527786.9147202354</v>
      </c>
      <c r="N195" s="3">
        <f t="shared" si="28"/>
        <v>1808405.940029504</v>
      </c>
      <c r="O195" s="3">
        <f t="shared" si="28"/>
        <v>1073148.789961711</v>
      </c>
      <c r="P195" s="3">
        <f t="shared" si="28"/>
        <v>397401.32582072308</v>
      </c>
      <c r="Q195" s="3">
        <f t="shared" si="28"/>
        <v>294084.36911281518</v>
      </c>
      <c r="R195" s="77">
        <v>0</v>
      </c>
      <c r="S195" s="77">
        <v>0</v>
      </c>
      <c r="T195" s="77">
        <v>0</v>
      </c>
      <c r="U195" s="77">
        <v>0</v>
      </c>
      <c r="V195" s="77">
        <v>0</v>
      </c>
    </row>
    <row r="196" spans="2:22" x14ac:dyDescent="0.45">
      <c r="B196" s="44"/>
    </row>
    <row r="197" spans="2:22" x14ac:dyDescent="0.45">
      <c r="B197" s="44" t="s">
        <v>174</v>
      </c>
      <c r="C197" s="3">
        <f t="shared" ref="C197:V197" si="29">C194*C$129</f>
        <v>1197900632.1414278</v>
      </c>
      <c r="D197" s="3">
        <f t="shared" si="29"/>
        <v>1091196025.5483711</v>
      </c>
      <c r="E197" s="3">
        <f t="shared" si="29"/>
        <v>983940257.52247667</v>
      </c>
      <c r="F197" s="3">
        <f t="shared" si="29"/>
        <v>899471762.50595605</v>
      </c>
      <c r="G197" s="3">
        <f t="shared" si="29"/>
        <v>853115720.54361343</v>
      </c>
      <c r="H197" s="3">
        <f t="shared" si="29"/>
        <v>755655564.49339223</v>
      </c>
      <c r="I197" s="3">
        <f t="shared" si="29"/>
        <v>665115496.66754723</v>
      </c>
      <c r="J197" s="3">
        <f t="shared" si="29"/>
        <v>579719752.61001921</v>
      </c>
      <c r="K197" s="3">
        <f t="shared" si="29"/>
        <v>499012154.42568451</v>
      </c>
      <c r="L197" s="3">
        <f t="shared" si="29"/>
        <v>422182282.47043651</v>
      </c>
      <c r="M197" s="3">
        <f t="shared" si="29"/>
        <v>345835391.61067408</v>
      </c>
      <c r="N197" s="3">
        <f t="shared" si="29"/>
        <v>274109665.43652177</v>
      </c>
      <c r="O197" s="3">
        <f t="shared" si="29"/>
        <v>200083605.00775751</v>
      </c>
      <c r="P197" s="3">
        <f t="shared" si="29"/>
        <v>171343040.50880569</v>
      </c>
      <c r="Q197" s="3">
        <f t="shared" si="29"/>
        <v>153646567.3348662</v>
      </c>
      <c r="R197" s="3">
        <f t="shared" si="29"/>
        <v>0</v>
      </c>
      <c r="S197" s="3">
        <f t="shared" si="29"/>
        <v>0</v>
      </c>
      <c r="T197" s="3">
        <f t="shared" si="29"/>
        <v>0</v>
      </c>
      <c r="U197" s="3">
        <f t="shared" si="29"/>
        <v>0</v>
      </c>
      <c r="V197" s="3">
        <f t="shared" si="29"/>
        <v>0</v>
      </c>
    </row>
    <row r="198" spans="2:22" x14ac:dyDescent="0.45">
      <c r="B198" s="44"/>
    </row>
    <row r="199" spans="2:22" x14ac:dyDescent="0.45">
      <c r="B199" s="44" t="s">
        <v>175</v>
      </c>
      <c r="C199" s="124">
        <f>SUM(C197:V197)*H8</f>
        <v>4384191975.7977324</v>
      </c>
    </row>
    <row r="202" spans="2:22" x14ac:dyDescent="0.45">
      <c r="B202" s="42" t="s">
        <v>0</v>
      </c>
      <c r="C202" s="47">
        <v>1</v>
      </c>
      <c r="D202" s="47">
        <v>2</v>
      </c>
      <c r="E202" s="47">
        <v>3</v>
      </c>
      <c r="F202" s="47">
        <v>4</v>
      </c>
      <c r="G202" s="47">
        <v>5</v>
      </c>
      <c r="H202" s="47">
        <v>6</v>
      </c>
      <c r="I202" s="47">
        <v>7</v>
      </c>
      <c r="J202" s="47">
        <v>8</v>
      </c>
      <c r="K202" s="47">
        <v>9</v>
      </c>
      <c r="L202" s="47">
        <v>10</v>
      </c>
      <c r="M202" s="47">
        <v>11</v>
      </c>
      <c r="N202" s="47">
        <v>12</v>
      </c>
      <c r="O202" s="47">
        <v>13</v>
      </c>
      <c r="P202" s="47">
        <v>14</v>
      </c>
      <c r="Q202" s="47">
        <v>15</v>
      </c>
      <c r="R202" s="47">
        <v>16</v>
      </c>
      <c r="S202" s="47">
        <v>17</v>
      </c>
      <c r="T202" s="47">
        <v>18</v>
      </c>
      <c r="U202" s="47">
        <v>19</v>
      </c>
      <c r="V202" s="47">
        <v>20</v>
      </c>
    </row>
    <row r="203" spans="2:22" x14ac:dyDescent="0.45">
      <c r="C203" s="17" t="s">
        <v>5</v>
      </c>
      <c r="D203" s="17" t="s">
        <v>6</v>
      </c>
      <c r="E203" s="58" t="s">
        <v>7</v>
      </c>
      <c r="F203" s="58" t="s">
        <v>8</v>
      </c>
      <c r="G203" s="17" t="s">
        <v>9</v>
      </c>
      <c r="H203" s="17" t="s">
        <v>10</v>
      </c>
      <c r="I203" s="17" t="s">
        <v>11</v>
      </c>
      <c r="J203" s="17" t="s">
        <v>12</v>
      </c>
      <c r="K203" s="17" t="s">
        <v>13</v>
      </c>
      <c r="L203" s="17" t="s">
        <v>14</v>
      </c>
      <c r="M203" s="17" t="s">
        <v>49</v>
      </c>
      <c r="N203" s="17" t="s">
        <v>50</v>
      </c>
      <c r="O203" s="17" t="s">
        <v>51</v>
      </c>
      <c r="P203" s="17" t="s">
        <v>52</v>
      </c>
      <c r="Q203" s="17" t="s">
        <v>53</v>
      </c>
      <c r="R203" s="17" t="s">
        <v>54</v>
      </c>
      <c r="S203" s="17" t="s">
        <v>55</v>
      </c>
      <c r="T203" s="17" t="s">
        <v>56</v>
      </c>
      <c r="U203" s="17" t="s">
        <v>57</v>
      </c>
      <c r="V203" s="17" t="s">
        <v>58</v>
      </c>
    </row>
    <row r="204" spans="2:22" x14ac:dyDescent="0.45">
      <c r="B204" s="44" t="s">
        <v>172</v>
      </c>
      <c r="C204" s="3">
        <f>'[3]Copper Weighted Price'!E166*(1+'Copper Weighted Price'!$D$454)</f>
        <v>1092006502.4011018</v>
      </c>
      <c r="D204" s="3">
        <f>'[3]Copper Weighted Price'!F166*(1+'Copper Weighted Price'!$D$454)</f>
        <v>1050210515.9535021</v>
      </c>
      <c r="E204" s="3">
        <f>'[3]Copper Weighted Price'!G166*(1+'Copper Weighted Price'!$D$454)</f>
        <v>998138590.49802244</v>
      </c>
      <c r="F204" s="3">
        <f>'[3]Copper Weighted Price'!H166*(1+'Copper Weighted Price'!$D$454)</f>
        <v>963647982.60678482</v>
      </c>
      <c r="G204" s="3">
        <f>'[3]Copper Weighted Price'!I166*(1+'Copper Weighted Price'!$D$454)</f>
        <v>971814232.55153179</v>
      </c>
      <c r="H204" s="3">
        <f>'[3]Copper Weighted Price'!J166*(1+'Copper Weighted Price'!$D$454)</f>
        <v>894207316.12013376</v>
      </c>
      <c r="I204" s="3">
        <f>'[3]Copper Weighted Price'!K166*(1+'Copper Weighted Price'!$D$454)</f>
        <v>815064937.51378548</v>
      </c>
      <c r="J204" s="3">
        <f>'[3]Copper Weighted Price'!L166*(1+'Copper Weighted Price'!$D$454)</f>
        <v>731861485.43619049</v>
      </c>
      <c r="K204" s="3">
        <f>'[3]Copper Weighted Price'!M166*(1+'Copper Weighted Price'!$D$454)</f>
        <v>644718383.72056949</v>
      </c>
      <c r="L204" s="3">
        <f>'[3]Copper Weighted Price'!N166*(1+'Copper Weighted Price'!$D$454)</f>
        <v>553203069.68227112</v>
      </c>
      <c r="M204" s="3">
        <f>'[3]Copper Weighted Price'!O166*(1+'Copper Weighted Price'!$D$454)</f>
        <v>446589196.64402115</v>
      </c>
      <c r="N204" s="3">
        <f>'[3]Copper Weighted Price'!P166*(1+'Copper Weighted Price'!$D$454)</f>
        <v>344155362.63939309</v>
      </c>
      <c r="O204" s="3">
        <f>'[3]Copper Weighted Price'!Q166*(1+'Copper Weighted Price'!$D$454)</f>
        <v>230999034.54366341</v>
      </c>
      <c r="P204" s="3">
        <f>'[3]Copper Weighted Price'!R166*(1+'Copper Weighted Price'!$D$454)</f>
        <v>197358715.38759565</v>
      </c>
      <c r="Q204" s="3">
        <f>'[3]Copper Weighted Price'!S166*(1+'Copper Weighted Price'!$D$454)</f>
        <v>184942574.46403334</v>
      </c>
      <c r="R204" s="77">
        <v>0</v>
      </c>
      <c r="S204" s="77">
        <v>0</v>
      </c>
      <c r="T204" s="77">
        <v>0</v>
      </c>
      <c r="U204" s="77">
        <v>0</v>
      </c>
      <c r="V204" s="77">
        <v>0</v>
      </c>
    </row>
    <row r="205" spans="2:22" x14ac:dyDescent="0.45">
      <c r="B205" s="44" t="s">
        <v>173</v>
      </c>
      <c r="C205" s="3">
        <f t="shared" ref="C205:Q205" si="30">C185</f>
        <v>8216780.1699065296</v>
      </c>
      <c r="D205" s="3">
        <f t="shared" si="30"/>
        <v>7832834.4963622466</v>
      </c>
      <c r="E205" s="3">
        <f t="shared" si="30"/>
        <v>7447035.1107443366</v>
      </c>
      <c r="F205" s="3">
        <f t="shared" si="30"/>
        <v>6984820.6996061625</v>
      </c>
      <c r="G205" s="3">
        <f t="shared" si="30"/>
        <v>6442873.1686797086</v>
      </c>
      <c r="H205" s="3">
        <f t="shared" si="30"/>
        <v>5887071.3019443322</v>
      </c>
      <c r="I205" s="3">
        <f t="shared" si="30"/>
        <v>5312777.6039058957</v>
      </c>
      <c r="J205" s="3">
        <f t="shared" si="30"/>
        <v>4696800.1107768668</v>
      </c>
      <c r="K205" s="3">
        <f t="shared" si="30"/>
        <v>4045973.7954985043</v>
      </c>
      <c r="L205" s="3">
        <f t="shared" si="30"/>
        <v>3364298.1312035136</v>
      </c>
      <c r="M205" s="3">
        <f t="shared" si="30"/>
        <v>2527786.9147202354</v>
      </c>
      <c r="N205" s="3">
        <f t="shared" si="30"/>
        <v>1808405.940029504</v>
      </c>
      <c r="O205" s="3">
        <f t="shared" si="30"/>
        <v>1073148.789961711</v>
      </c>
      <c r="P205" s="3">
        <f t="shared" si="30"/>
        <v>397401.32582072308</v>
      </c>
      <c r="Q205" s="3">
        <f t="shared" si="30"/>
        <v>294084.36911281518</v>
      </c>
      <c r="R205" s="77">
        <v>0</v>
      </c>
      <c r="S205" s="77">
        <v>0</v>
      </c>
      <c r="T205" s="77">
        <v>0</v>
      </c>
      <c r="U205" s="77">
        <v>0</v>
      </c>
      <c r="V205" s="77">
        <v>0</v>
      </c>
    </row>
    <row r="206" spans="2:22" x14ac:dyDescent="0.45">
      <c r="B206" s="44"/>
    </row>
    <row r="207" spans="2:22" x14ac:dyDescent="0.45">
      <c r="B207" s="44" t="s">
        <v>174</v>
      </c>
      <c r="C207" s="3">
        <f t="shared" ref="C207:V207" si="31">C204*C$129</f>
        <v>1092006502.4011018</v>
      </c>
      <c r="D207" s="3">
        <f t="shared" si="31"/>
        <v>981505155.09673095</v>
      </c>
      <c r="E207" s="3">
        <f t="shared" si="31"/>
        <v>871812901.12500858</v>
      </c>
      <c r="F207" s="3">
        <f t="shared" si="31"/>
        <v>786623802.272071</v>
      </c>
      <c r="G207" s="3">
        <f t="shared" si="31"/>
        <v>741392425.01320386</v>
      </c>
      <c r="H207" s="3">
        <f t="shared" si="31"/>
        <v>637557457.98683906</v>
      </c>
      <c r="I207" s="3">
        <f t="shared" si="31"/>
        <v>543112183.0178026</v>
      </c>
      <c r="J207" s="3">
        <f t="shared" si="31"/>
        <v>455766551.15066105</v>
      </c>
      <c r="K207" s="3">
        <f t="shared" si="31"/>
        <v>375231969.20582747</v>
      </c>
      <c r="L207" s="3">
        <f t="shared" si="31"/>
        <v>300905816.10131699</v>
      </c>
      <c r="M207" s="3">
        <f t="shared" si="31"/>
        <v>227023301.98900044</v>
      </c>
      <c r="N207" s="3">
        <f t="shared" si="31"/>
        <v>163505733.62813324</v>
      </c>
      <c r="O207" s="3">
        <f t="shared" si="31"/>
        <v>102566333.91045028</v>
      </c>
      <c r="P207" s="3">
        <f t="shared" si="31"/>
        <v>81896850.366804659</v>
      </c>
      <c r="Q207" s="3">
        <f t="shared" si="31"/>
        <v>71723918.97528258</v>
      </c>
      <c r="R207" s="3">
        <f t="shared" si="31"/>
        <v>0</v>
      </c>
      <c r="S207" s="3">
        <f t="shared" si="31"/>
        <v>0</v>
      </c>
      <c r="T207" s="3">
        <f t="shared" si="31"/>
        <v>0</v>
      </c>
      <c r="U207" s="3">
        <f t="shared" si="31"/>
        <v>0</v>
      </c>
      <c r="V207" s="3">
        <f t="shared" si="31"/>
        <v>0</v>
      </c>
    </row>
    <row r="208" spans="2:22" x14ac:dyDescent="0.45">
      <c r="B208" s="44"/>
    </row>
    <row r="209" spans="1:3" x14ac:dyDescent="0.45">
      <c r="B209" s="44" t="s">
        <v>175</v>
      </c>
      <c r="C209" s="124">
        <f>SUM(C207:V207)*H8</f>
        <v>3583909539.0732303</v>
      </c>
    </row>
    <row r="211" spans="1:3" ht="15.75" x14ac:dyDescent="0.45">
      <c r="A211" s="62" t="s">
        <v>176</v>
      </c>
      <c r="B211" s="44"/>
    </row>
    <row r="212" spans="1:3" ht="15.75" x14ac:dyDescent="0.45">
      <c r="A212" s="62"/>
      <c r="B212" s="44"/>
    </row>
    <row r="213" spans="1:3" x14ac:dyDescent="0.45">
      <c r="B213" s="44" t="s">
        <v>177</v>
      </c>
      <c r="C213" s="124">
        <f>C157</f>
        <v>3342023205.8947592</v>
      </c>
    </row>
    <row r="214" spans="1:3" x14ac:dyDescent="0.45">
      <c r="B214" s="44" t="s">
        <v>178</v>
      </c>
      <c r="C214" s="124">
        <f>C167</f>
        <v>3701861689.9811435</v>
      </c>
    </row>
    <row r="215" spans="1:3" x14ac:dyDescent="0.45">
      <c r="B215" s="44" t="s">
        <v>179</v>
      </c>
      <c r="C215" s="124">
        <f>C177</f>
        <v>3125326271.617517</v>
      </c>
    </row>
    <row r="216" spans="1:3" x14ac:dyDescent="0.45">
      <c r="B216" s="44"/>
    </row>
    <row r="217" spans="1:3" x14ac:dyDescent="0.45">
      <c r="B217" s="44" t="s">
        <v>180</v>
      </c>
      <c r="C217" s="124">
        <f>C189</f>
        <v>3962622396.157773</v>
      </c>
    </row>
    <row r="218" spans="1:3" x14ac:dyDescent="0.45">
      <c r="B218" s="44" t="s">
        <v>181</v>
      </c>
      <c r="C218" s="124">
        <f>C199</f>
        <v>4384191975.7977324</v>
      </c>
    </row>
    <row r="219" spans="1:3" x14ac:dyDescent="0.45">
      <c r="B219" s="44" t="s">
        <v>182</v>
      </c>
      <c r="C219" s="124">
        <f>C209</f>
        <v>3583909539.0732303</v>
      </c>
    </row>
    <row r="220" spans="1:3" x14ac:dyDescent="0.45">
      <c r="B220" s="44"/>
    </row>
    <row r="221" spans="1:3" x14ac:dyDescent="0.45">
      <c r="B221" s="44" t="s">
        <v>45</v>
      </c>
      <c r="C221" s="124">
        <f>C213+C217</f>
        <v>7304645602.0525322</v>
      </c>
    </row>
    <row r="222" spans="1:3" x14ac:dyDescent="0.45">
      <c r="B222" s="44" t="s">
        <v>46</v>
      </c>
      <c r="C222" s="124">
        <f>C214+C218</f>
        <v>8086053665.7788754</v>
      </c>
    </row>
    <row r="223" spans="1:3" x14ac:dyDescent="0.45">
      <c r="B223" s="44" t="s">
        <v>47</v>
      </c>
      <c r="C223" s="124">
        <f>C215+C219</f>
        <v>6709235810.6907473</v>
      </c>
    </row>
    <row r="224" spans="1:3" x14ac:dyDescent="0.45">
      <c r="B224" s="44"/>
    </row>
    <row r="225" spans="1:22" x14ac:dyDescent="0.45">
      <c r="B225" s="44"/>
    </row>
    <row r="226" spans="1:22" ht="21" x14ac:dyDescent="0.65">
      <c r="A226" s="40" t="s">
        <v>183</v>
      </c>
      <c r="B226" s="44"/>
    </row>
    <row r="227" spans="1:22" x14ac:dyDescent="0.45">
      <c r="B227" s="44"/>
    </row>
    <row r="228" spans="1:22" ht="15.75" x14ac:dyDescent="0.45">
      <c r="A228" s="62" t="s">
        <v>184</v>
      </c>
      <c r="B228" s="44"/>
    </row>
    <row r="229" spans="1:22" x14ac:dyDescent="0.45">
      <c r="A229" t="s">
        <v>185</v>
      </c>
      <c r="B229" s="44"/>
    </row>
    <row r="230" spans="1:22" x14ac:dyDescent="0.45">
      <c r="B230" s="44"/>
    </row>
    <row r="231" spans="1:22" x14ac:dyDescent="0.45">
      <c r="B231" s="42" t="s">
        <v>186</v>
      </c>
      <c r="C231" s="47">
        <v>1</v>
      </c>
      <c r="D231" s="47">
        <v>2</v>
      </c>
      <c r="E231" s="47">
        <v>3</v>
      </c>
      <c r="F231" s="47">
        <v>4</v>
      </c>
      <c r="G231" s="47">
        <v>5</v>
      </c>
      <c r="H231" s="47">
        <v>6</v>
      </c>
      <c r="I231" s="47">
        <v>7</v>
      </c>
      <c r="J231" s="47">
        <v>8</v>
      </c>
      <c r="K231" s="47">
        <v>9</v>
      </c>
      <c r="L231" s="47">
        <v>10</v>
      </c>
      <c r="M231" s="47">
        <v>11</v>
      </c>
      <c r="N231" s="47">
        <v>12</v>
      </c>
      <c r="O231" s="47">
        <v>13</v>
      </c>
      <c r="P231" s="47">
        <v>14</v>
      </c>
      <c r="Q231" s="47">
        <v>15</v>
      </c>
      <c r="R231" s="47">
        <v>16</v>
      </c>
      <c r="S231" s="47">
        <v>17</v>
      </c>
      <c r="T231" s="47">
        <v>18</v>
      </c>
      <c r="U231" s="47">
        <v>19</v>
      </c>
      <c r="V231" s="47">
        <v>20</v>
      </c>
    </row>
    <row r="232" spans="1:22" x14ac:dyDescent="0.45">
      <c r="B232" s="44"/>
      <c r="C232" s="17" t="s">
        <v>5</v>
      </c>
      <c r="D232" s="17" t="s">
        <v>6</v>
      </c>
      <c r="E232" s="58" t="s">
        <v>7</v>
      </c>
      <c r="F232" s="58" t="s">
        <v>8</v>
      </c>
      <c r="G232" s="17" t="s">
        <v>9</v>
      </c>
      <c r="H232" s="17" t="s">
        <v>10</v>
      </c>
      <c r="I232" s="17" t="s">
        <v>11</v>
      </c>
      <c r="J232" s="17" t="s">
        <v>12</v>
      </c>
      <c r="K232" s="17" t="s">
        <v>13</v>
      </c>
      <c r="L232" s="17" t="s">
        <v>14</v>
      </c>
      <c r="M232" s="17" t="s">
        <v>49</v>
      </c>
      <c r="N232" s="17" t="s">
        <v>50</v>
      </c>
      <c r="O232" s="17" t="s">
        <v>51</v>
      </c>
      <c r="P232" s="17" t="s">
        <v>52</v>
      </c>
      <c r="Q232" s="17" t="s">
        <v>53</v>
      </c>
      <c r="R232" s="17" t="s">
        <v>54</v>
      </c>
      <c r="S232" s="17" t="s">
        <v>55</v>
      </c>
      <c r="T232" s="17" t="s">
        <v>56</v>
      </c>
      <c r="U232" s="17" t="s">
        <v>57</v>
      </c>
      <c r="V232" s="17" t="s">
        <v>58</v>
      </c>
    </row>
    <row r="233" spans="1:22" x14ac:dyDescent="0.45">
      <c r="B233" s="44" t="s">
        <v>187</v>
      </c>
      <c r="C233" s="67">
        <f t="shared" ref="C233:V233" si="32">C$295+C$139</f>
        <v>15.013732019909156</v>
      </c>
      <c r="D233" s="67">
        <f t="shared" si="32"/>
        <v>15.365184044544311</v>
      </c>
      <c r="E233" s="67">
        <f t="shared" si="32"/>
        <v>15.6490106575132</v>
      </c>
      <c r="F233" s="67">
        <f t="shared" si="32"/>
        <v>15.950019261156131</v>
      </c>
      <c r="G233" s="67">
        <f t="shared" si="32"/>
        <v>16.240213191032566</v>
      </c>
      <c r="H233" s="67">
        <f t="shared" si="32"/>
        <v>16.260415438597153</v>
      </c>
      <c r="I233" s="67">
        <f t="shared" si="32"/>
        <v>16.259845002791224</v>
      </c>
      <c r="J233" s="67">
        <f t="shared" si="32"/>
        <v>16.247597535734716</v>
      </c>
      <c r="K233" s="67">
        <f t="shared" si="32"/>
        <v>16.21362055823294</v>
      </c>
      <c r="L233" s="67">
        <f t="shared" si="32"/>
        <v>16.141577002861929</v>
      </c>
      <c r="M233" s="67">
        <f t="shared" si="32"/>
        <v>16.141577002861929</v>
      </c>
      <c r="N233" s="67">
        <f t="shared" si="32"/>
        <v>16.141577002861929</v>
      </c>
      <c r="O233" s="67">
        <f t="shared" si="32"/>
        <v>16.141577002861929</v>
      </c>
      <c r="P233" s="67">
        <f t="shared" si="32"/>
        <v>16.141577002861929</v>
      </c>
      <c r="Q233" s="67">
        <f t="shared" si="32"/>
        <v>16.141577002861929</v>
      </c>
      <c r="R233" s="67">
        <f t="shared" si="32"/>
        <v>16.141577002861929</v>
      </c>
      <c r="S233" s="67">
        <f t="shared" si="32"/>
        <v>16.141577002861929</v>
      </c>
      <c r="T233" s="67">
        <f t="shared" si="32"/>
        <v>16.141577002861929</v>
      </c>
      <c r="U233" s="67">
        <f t="shared" si="32"/>
        <v>16.141577002861929</v>
      </c>
      <c r="V233" s="67">
        <f t="shared" si="32"/>
        <v>16.141577002861929</v>
      </c>
    </row>
    <row r="234" spans="1:22" x14ac:dyDescent="0.45">
      <c r="B234" s="44" t="s">
        <v>188</v>
      </c>
      <c r="C234" s="3">
        <f t="shared" ref="C234:V234" si="33">C68</f>
        <v>59001</v>
      </c>
      <c r="D234" s="3">
        <f t="shared" si="33"/>
        <v>155509</v>
      </c>
      <c r="E234" s="3">
        <f t="shared" si="33"/>
        <v>272678</v>
      </c>
      <c r="F234" s="3">
        <f t="shared" si="33"/>
        <v>408439</v>
      </c>
      <c r="G234" s="3">
        <f t="shared" si="33"/>
        <v>599275</v>
      </c>
      <c r="H234" s="3">
        <f t="shared" si="33"/>
        <v>861215</v>
      </c>
      <c r="I234" s="3">
        <f t="shared" si="33"/>
        <v>1173624</v>
      </c>
      <c r="J234" s="3">
        <f t="shared" si="33"/>
        <v>1488501</v>
      </c>
      <c r="K234" s="3">
        <f t="shared" si="33"/>
        <v>1813824</v>
      </c>
      <c r="L234" s="3">
        <f t="shared" si="33"/>
        <v>2129334</v>
      </c>
      <c r="M234" s="3">
        <f t="shared" si="33"/>
        <v>2389028</v>
      </c>
      <c r="N234" s="3">
        <f t="shared" si="33"/>
        <v>2625884</v>
      </c>
      <c r="O234" s="3">
        <f t="shared" si="33"/>
        <v>2823784</v>
      </c>
      <c r="P234" s="3">
        <f t="shared" si="33"/>
        <v>2966655</v>
      </c>
      <c r="Q234" s="3">
        <f t="shared" si="33"/>
        <v>3056775</v>
      </c>
      <c r="R234" s="3">
        <f t="shared" si="33"/>
        <v>3119287</v>
      </c>
      <c r="S234" s="3">
        <f t="shared" si="33"/>
        <v>3148022</v>
      </c>
      <c r="T234" s="3">
        <f t="shared" si="33"/>
        <v>3148022</v>
      </c>
      <c r="U234" s="3">
        <f t="shared" si="33"/>
        <v>3148022</v>
      </c>
      <c r="V234" s="3">
        <f t="shared" si="33"/>
        <v>3148022</v>
      </c>
    </row>
    <row r="235" spans="1:22" x14ac:dyDescent="0.45">
      <c r="B235" s="44" t="s">
        <v>189</v>
      </c>
      <c r="C235" s="3">
        <f>C233*C234*months_in_year</f>
        <v>10629902.434879921</v>
      </c>
      <c r="D235" s="3">
        <f t="shared" ref="D235:V235" si="34">D233*D234*months_in_year</f>
        <v>28673092.866996497</v>
      </c>
      <c r="E235" s="3">
        <f t="shared" si="34"/>
        <v>51205691.136832617</v>
      </c>
      <c r="F235" s="3">
        <f t="shared" si="34"/>
        <v>78175319.004088178</v>
      </c>
      <c r="G235" s="3">
        <f t="shared" si="34"/>
        <v>116788245.12067249</v>
      </c>
      <c r="H235" s="3">
        <f t="shared" si="34"/>
        <v>168044564.18341738</v>
      </c>
      <c r="I235" s="3">
        <f t="shared" si="34"/>
        <v>228995331.97867018</v>
      </c>
      <c r="J235" s="3">
        <f t="shared" si="34"/>
        <v>290214782.15446389</v>
      </c>
      <c r="K235" s="3">
        <f t="shared" si="34"/>
        <v>352903849.14499563</v>
      </c>
      <c r="L235" s="3">
        <f t="shared" si="34"/>
        <v>412449704.70974404</v>
      </c>
      <c r="M235" s="3">
        <f t="shared" si="34"/>
        <v>462752153.08791876</v>
      </c>
      <c r="N235" s="3">
        <f t="shared" si="34"/>
        <v>508630905.43899715</v>
      </c>
      <c r="O235" s="3">
        <f t="shared" si="34"/>
        <v>546963922.50539362</v>
      </c>
      <c r="P235" s="3">
        <f t="shared" si="34"/>
        <v>574637881.48110425</v>
      </c>
      <c r="Q235" s="3">
        <f t="shared" si="34"/>
        <v>592094028.51507926</v>
      </c>
      <c r="R235" s="3">
        <f t="shared" si="34"/>
        <v>604202535.65431416</v>
      </c>
      <c r="S235" s="3">
        <f t="shared" si="34"/>
        <v>609768474.23644102</v>
      </c>
      <c r="T235" s="3">
        <f t="shared" si="34"/>
        <v>609768474.23644102</v>
      </c>
      <c r="U235" s="3">
        <f t="shared" si="34"/>
        <v>609768474.23644102</v>
      </c>
      <c r="V235" s="3">
        <f t="shared" si="34"/>
        <v>609768474.23644102</v>
      </c>
    </row>
    <row r="236" spans="1:22" x14ac:dyDescent="0.45">
      <c r="B236" s="44" t="s">
        <v>190</v>
      </c>
      <c r="C236" s="3">
        <f t="shared" ref="C236:V236" si="35">$C$143*C$93</f>
        <v>1715580</v>
      </c>
      <c r="D236" s="3">
        <f t="shared" si="35"/>
        <v>2892645</v>
      </c>
      <c r="E236" s="3">
        <f t="shared" si="35"/>
        <v>3628611</v>
      </c>
      <c r="F236" s="3">
        <f t="shared" si="35"/>
        <v>4365981</v>
      </c>
      <c r="G236" s="3">
        <f t="shared" si="35"/>
        <v>6118470</v>
      </c>
      <c r="H236" s="3">
        <f t="shared" si="35"/>
        <v>8398269</v>
      </c>
      <c r="I236" s="3">
        <f t="shared" si="35"/>
        <v>10181106</v>
      </c>
      <c r="J236" s="3">
        <f t="shared" si="35"/>
        <v>10612053</v>
      </c>
      <c r="K236" s="3">
        <f t="shared" si="35"/>
        <v>11245662</v>
      </c>
      <c r="L236" s="3">
        <f t="shared" si="35"/>
        <v>11288295</v>
      </c>
      <c r="M236" s="3">
        <f t="shared" si="35"/>
        <v>9980280</v>
      </c>
      <c r="N236" s="3">
        <f t="shared" si="35"/>
        <v>9514827</v>
      </c>
      <c r="O236" s="3">
        <f t="shared" si="35"/>
        <v>8549496</v>
      </c>
      <c r="P236" s="3">
        <f t="shared" si="35"/>
        <v>7073460</v>
      </c>
      <c r="Q236" s="3">
        <f t="shared" si="35"/>
        <v>5596101</v>
      </c>
      <c r="R236" s="3">
        <f t="shared" si="35"/>
        <v>4766472</v>
      </c>
      <c r="S236" s="3">
        <f t="shared" si="35"/>
        <v>3737367</v>
      </c>
      <c r="T236" s="3">
        <f t="shared" si="35"/>
        <v>2821095</v>
      </c>
      <c r="U236" s="3">
        <f t="shared" si="35"/>
        <v>2685231</v>
      </c>
      <c r="V236" s="3">
        <f t="shared" si="35"/>
        <v>2553768</v>
      </c>
    </row>
    <row r="237" spans="1:22" x14ac:dyDescent="0.45">
      <c r="B237" s="44"/>
    </row>
    <row r="238" spans="1:22" x14ac:dyDescent="0.45">
      <c r="B238" s="44" t="s">
        <v>191</v>
      </c>
      <c r="C238" s="3">
        <f>SUM(C235:C236)*C$128</f>
        <v>12345482.434879921</v>
      </c>
      <c r="D238" s="3">
        <f t="shared" ref="D238:V238" si="36">SUM(D235:D236)*D$128</f>
        <v>29281760.544523653</v>
      </c>
      <c r="E238" s="3">
        <f t="shared" si="36"/>
        <v>47186177.709040493</v>
      </c>
      <c r="F238" s="3">
        <f t="shared" si="36"/>
        <v>65889319.478628054</v>
      </c>
      <c r="G238" s="3">
        <f t="shared" si="36"/>
        <v>91012400.278583869</v>
      </c>
      <c r="H238" s="3">
        <f t="shared" si="36"/>
        <v>121202120.59773387</v>
      </c>
      <c r="I238" s="3">
        <f t="shared" si="36"/>
        <v>152407320.80396008</v>
      </c>
      <c r="J238" s="3">
        <f t="shared" si="36"/>
        <v>177821901.01450619</v>
      </c>
      <c r="K238" s="3">
        <f t="shared" si="36"/>
        <v>199677736.26712391</v>
      </c>
      <c r="L238" s="3">
        <f t="shared" si="36"/>
        <v>215540340.4402428</v>
      </c>
      <c r="M238" s="3">
        <f t="shared" si="36"/>
        <v>223063129.42541268</v>
      </c>
      <c r="N238" s="3">
        <f t="shared" si="36"/>
        <v>226801308.69377294</v>
      </c>
      <c r="O238" s="3">
        <f t="shared" si="36"/>
        <v>225563811.03363436</v>
      </c>
      <c r="P238" s="3">
        <f t="shared" si="36"/>
        <v>219110727.16366526</v>
      </c>
      <c r="Q238" s="3">
        <f t="shared" si="36"/>
        <v>208839878.5019193</v>
      </c>
      <c r="R238" s="3">
        <f t="shared" si="36"/>
        <v>197384832.67511389</v>
      </c>
      <c r="S238" s="3">
        <f t="shared" si="36"/>
        <v>184466933.55320168</v>
      </c>
      <c r="T238" s="3">
        <f t="shared" si="36"/>
        <v>170864036.99388823</v>
      </c>
      <c r="U238" s="3">
        <f t="shared" si="36"/>
        <v>158465808.61230305</v>
      </c>
      <c r="V238" s="3">
        <f t="shared" si="36"/>
        <v>146968268.99358359</v>
      </c>
    </row>
    <row r="239" spans="1:22" x14ac:dyDescent="0.45">
      <c r="B239" s="44" t="s">
        <v>192</v>
      </c>
      <c r="C239" s="124">
        <f>SUM(C238:V238)</f>
        <v>3073893295.2157183</v>
      </c>
    </row>
    <row r="240" spans="1:22" x14ac:dyDescent="0.45">
      <c r="B240" s="44"/>
    </row>
    <row r="242" spans="2:22" x14ac:dyDescent="0.45">
      <c r="B242" s="44" t="s">
        <v>193</v>
      </c>
      <c r="C242" s="67">
        <f t="shared" ref="C242:V242" si="37">C$304+C$139</f>
        <v>15.013732019909156</v>
      </c>
      <c r="D242" s="67">
        <f t="shared" si="37"/>
        <v>15.365184044544311</v>
      </c>
      <c r="E242" s="67">
        <f t="shared" si="37"/>
        <v>15.6490106575132</v>
      </c>
      <c r="F242" s="67">
        <f t="shared" si="37"/>
        <v>15.950019261156131</v>
      </c>
      <c r="G242" s="67">
        <f t="shared" si="37"/>
        <v>16.240213191032566</v>
      </c>
      <c r="H242" s="67">
        <f t="shared" si="37"/>
        <v>16.52734578596457</v>
      </c>
      <c r="I242" s="67">
        <f t="shared" si="37"/>
        <v>16.799021258866844</v>
      </c>
      <c r="J242" s="67">
        <f t="shared" si="37"/>
        <v>17.063726612619551</v>
      </c>
      <c r="K242" s="67">
        <f t="shared" si="37"/>
        <v>17.309945410319898</v>
      </c>
      <c r="L242" s="67">
        <f t="shared" si="37"/>
        <v>17.518324450642357</v>
      </c>
      <c r="M242" s="67">
        <f t="shared" si="37"/>
        <v>17.518324450642357</v>
      </c>
      <c r="N242" s="67">
        <f t="shared" si="37"/>
        <v>17.518324450642357</v>
      </c>
      <c r="O242" s="67">
        <f t="shared" si="37"/>
        <v>17.518324450642357</v>
      </c>
      <c r="P242" s="67">
        <f t="shared" si="37"/>
        <v>17.518324450642357</v>
      </c>
      <c r="Q242" s="67">
        <f t="shared" si="37"/>
        <v>17.518324450642357</v>
      </c>
      <c r="R242" s="67">
        <f t="shared" si="37"/>
        <v>17.518324450642357</v>
      </c>
      <c r="S242" s="67">
        <f t="shared" si="37"/>
        <v>17.518324450642357</v>
      </c>
      <c r="T242" s="67">
        <f t="shared" si="37"/>
        <v>17.518324450642357</v>
      </c>
      <c r="U242" s="67">
        <f t="shared" si="37"/>
        <v>17.518324450642357</v>
      </c>
      <c r="V242" s="67">
        <f t="shared" si="37"/>
        <v>17.518324450642357</v>
      </c>
    </row>
    <row r="243" spans="2:22" x14ac:dyDescent="0.45">
      <c r="B243" s="44" t="s">
        <v>188</v>
      </c>
      <c r="C243" s="3">
        <f t="shared" ref="C243:V243" si="38">C68</f>
        <v>59001</v>
      </c>
      <c r="D243" s="3">
        <f t="shared" si="38"/>
        <v>155509</v>
      </c>
      <c r="E243" s="3">
        <f t="shared" si="38"/>
        <v>272678</v>
      </c>
      <c r="F243" s="3">
        <f t="shared" si="38"/>
        <v>408439</v>
      </c>
      <c r="G243" s="3">
        <f t="shared" si="38"/>
        <v>599275</v>
      </c>
      <c r="H243" s="3">
        <f t="shared" si="38"/>
        <v>861215</v>
      </c>
      <c r="I243" s="3">
        <f t="shared" si="38"/>
        <v>1173624</v>
      </c>
      <c r="J243" s="3">
        <f t="shared" si="38"/>
        <v>1488501</v>
      </c>
      <c r="K243" s="3">
        <f t="shared" si="38"/>
        <v>1813824</v>
      </c>
      <c r="L243" s="3">
        <f t="shared" si="38"/>
        <v>2129334</v>
      </c>
      <c r="M243" s="3">
        <f t="shared" si="38"/>
        <v>2389028</v>
      </c>
      <c r="N243" s="3">
        <f t="shared" si="38"/>
        <v>2625884</v>
      </c>
      <c r="O243" s="3">
        <f t="shared" si="38"/>
        <v>2823784</v>
      </c>
      <c r="P243" s="3">
        <f t="shared" si="38"/>
        <v>2966655</v>
      </c>
      <c r="Q243" s="3">
        <f t="shared" si="38"/>
        <v>3056775</v>
      </c>
      <c r="R243" s="3">
        <f t="shared" si="38"/>
        <v>3119287</v>
      </c>
      <c r="S243" s="3">
        <f t="shared" si="38"/>
        <v>3148022</v>
      </c>
      <c r="T243" s="3">
        <f t="shared" si="38"/>
        <v>3148022</v>
      </c>
      <c r="U243" s="3">
        <f t="shared" si="38"/>
        <v>3148022</v>
      </c>
      <c r="V243" s="3">
        <f t="shared" si="38"/>
        <v>3148022</v>
      </c>
    </row>
    <row r="244" spans="2:22" x14ac:dyDescent="0.45">
      <c r="B244" s="44" t="s">
        <v>194</v>
      </c>
      <c r="C244" s="3">
        <f>C242*C243*months_in_year</f>
        <v>10629902.434879921</v>
      </c>
      <c r="D244" s="3">
        <f t="shared" ref="D244:V244" si="39">D242*D243*months_in_year</f>
        <v>28673092.866996497</v>
      </c>
      <c r="E244" s="3">
        <f t="shared" si="39"/>
        <v>51205691.136832617</v>
      </c>
      <c r="F244" s="3">
        <f t="shared" si="39"/>
        <v>78175319.004088178</v>
      </c>
      <c r="G244" s="3">
        <f t="shared" si="39"/>
        <v>116788245.12067249</v>
      </c>
      <c r="H244" s="3">
        <f t="shared" si="39"/>
        <v>170803177.21271372</v>
      </c>
      <c r="I244" s="3">
        <f t="shared" si="39"/>
        <v>236588814.31099612</v>
      </c>
      <c r="J244" s="3">
        <f t="shared" si="39"/>
        <v>304792489.51932979</v>
      </c>
      <c r="K244" s="3">
        <f t="shared" si="39"/>
        <v>376766333.08713692</v>
      </c>
      <c r="L244" s="3">
        <f t="shared" si="39"/>
        <v>447628366.50940907</v>
      </c>
      <c r="M244" s="3">
        <f t="shared" si="39"/>
        <v>502221211.50803053</v>
      </c>
      <c r="N244" s="3">
        <f t="shared" si="39"/>
        <v>552013054.58100665</v>
      </c>
      <c r="O244" s="3">
        <f t="shared" si="39"/>
        <v>593615571.48639214</v>
      </c>
      <c r="P244" s="3">
        <f t="shared" si="39"/>
        <v>623649897.87744474</v>
      </c>
      <c r="Q244" s="3">
        <f t="shared" si="39"/>
        <v>642594914.6713475</v>
      </c>
      <c r="R244" s="3">
        <f t="shared" si="39"/>
        <v>655736180.64805019</v>
      </c>
      <c r="S244" s="3">
        <f t="shared" si="39"/>
        <v>661776849.28512061</v>
      </c>
      <c r="T244" s="3">
        <f t="shared" si="39"/>
        <v>661776849.28512061</v>
      </c>
      <c r="U244" s="3">
        <f t="shared" si="39"/>
        <v>661776849.28512061</v>
      </c>
      <c r="V244" s="3">
        <f t="shared" si="39"/>
        <v>661776849.28512061</v>
      </c>
    </row>
    <row r="245" spans="2:22" x14ac:dyDescent="0.45">
      <c r="B245" s="44" t="s">
        <v>190</v>
      </c>
      <c r="C245" s="3">
        <f t="shared" ref="C245:V245" si="40">$C$143*C$93</f>
        <v>1715580</v>
      </c>
      <c r="D245" s="3">
        <f t="shared" si="40"/>
        <v>2892645</v>
      </c>
      <c r="E245" s="3">
        <f t="shared" si="40"/>
        <v>3628611</v>
      </c>
      <c r="F245" s="3">
        <f t="shared" si="40"/>
        <v>4365981</v>
      </c>
      <c r="G245" s="3">
        <f t="shared" si="40"/>
        <v>6118470</v>
      </c>
      <c r="H245" s="3">
        <f t="shared" si="40"/>
        <v>8398269</v>
      </c>
      <c r="I245" s="3">
        <f t="shared" si="40"/>
        <v>10181106</v>
      </c>
      <c r="J245" s="3">
        <f t="shared" si="40"/>
        <v>10612053</v>
      </c>
      <c r="K245" s="3">
        <f t="shared" si="40"/>
        <v>11245662</v>
      </c>
      <c r="L245" s="3">
        <f t="shared" si="40"/>
        <v>11288295</v>
      </c>
      <c r="M245" s="3">
        <f t="shared" si="40"/>
        <v>9980280</v>
      </c>
      <c r="N245" s="3">
        <f t="shared" si="40"/>
        <v>9514827</v>
      </c>
      <c r="O245" s="3">
        <f t="shared" si="40"/>
        <v>8549496</v>
      </c>
      <c r="P245" s="3">
        <f t="shared" si="40"/>
        <v>7073460</v>
      </c>
      <c r="Q245" s="3">
        <f t="shared" si="40"/>
        <v>5596101</v>
      </c>
      <c r="R245" s="3">
        <f t="shared" si="40"/>
        <v>4766472</v>
      </c>
      <c r="S245" s="3">
        <f t="shared" si="40"/>
        <v>3737367</v>
      </c>
      <c r="T245" s="3">
        <f t="shared" si="40"/>
        <v>2821095</v>
      </c>
      <c r="U245" s="3">
        <f t="shared" si="40"/>
        <v>2685231</v>
      </c>
      <c r="V245" s="3">
        <f t="shared" si="40"/>
        <v>2553768</v>
      </c>
    </row>
    <row r="246" spans="2:22" x14ac:dyDescent="0.45">
      <c r="B246" s="44"/>
    </row>
    <row r="247" spans="2:22" x14ac:dyDescent="0.45">
      <c r="B247" s="44" t="s">
        <v>195</v>
      </c>
      <c r="C247" s="3">
        <f>SUM(C244:C245)*C$128</f>
        <v>12345482.434879921</v>
      </c>
      <c r="D247" s="3">
        <f t="shared" ref="D247:V247" si="41">SUM(D244:D245)*D$128</f>
        <v>29281760.544523653</v>
      </c>
      <c r="E247" s="3">
        <f t="shared" si="41"/>
        <v>47186177.709040493</v>
      </c>
      <c r="F247" s="3">
        <f t="shared" si="41"/>
        <v>65889319.478628054</v>
      </c>
      <c r="G247" s="3">
        <f t="shared" si="41"/>
        <v>91012400.278583869</v>
      </c>
      <c r="H247" s="3">
        <f t="shared" si="41"/>
        <v>123097067.21033835</v>
      </c>
      <c r="I247" s="3">
        <f t="shared" si="41"/>
        <v>157246017.74092683</v>
      </c>
      <c r="J247" s="3">
        <f t="shared" si="41"/>
        <v>186438936.90734002</v>
      </c>
      <c r="K247" s="3">
        <f t="shared" si="41"/>
        <v>212762490.27460665</v>
      </c>
      <c r="L247" s="3">
        <f t="shared" si="41"/>
        <v>233434465.45552543</v>
      </c>
      <c r="M247" s="3">
        <f t="shared" si="41"/>
        <v>241686966.23126855</v>
      </c>
      <c r="N247" s="3">
        <f t="shared" si="41"/>
        <v>245790422.34147549</v>
      </c>
      <c r="O247" s="3">
        <f t="shared" si="41"/>
        <v>244506510.49797723</v>
      </c>
      <c r="P247" s="3">
        <f t="shared" si="41"/>
        <v>237571874.10471815</v>
      </c>
      <c r="Q247" s="3">
        <f t="shared" si="41"/>
        <v>226485475.12181169</v>
      </c>
      <c r="R247" s="3">
        <f t="shared" si="41"/>
        <v>214088408.33557096</v>
      </c>
      <c r="S247" s="3">
        <f t="shared" si="41"/>
        <v>200104641.98150232</v>
      </c>
      <c r="T247" s="3">
        <f t="shared" si="41"/>
        <v>185370260.02570701</v>
      </c>
      <c r="U247" s="3">
        <f t="shared" si="41"/>
        <v>171922416.24849856</v>
      </c>
      <c r="V247" s="3">
        <f t="shared" si="41"/>
        <v>159451207.43161282</v>
      </c>
    </row>
    <row r="248" spans="2:22" x14ac:dyDescent="0.45">
      <c r="B248" s="44" t="s">
        <v>196</v>
      </c>
      <c r="C248" s="124">
        <f>SUM(C247:V247)</f>
        <v>3285672300.3545365</v>
      </c>
    </row>
    <row r="249" spans="2:22" x14ac:dyDescent="0.45">
      <c r="B249" s="44"/>
    </row>
    <row r="250" spans="2:22" x14ac:dyDescent="0.45">
      <c r="B250" s="44"/>
    </row>
    <row r="251" spans="2:22" x14ac:dyDescent="0.45">
      <c r="B251" s="42" t="s">
        <v>158</v>
      </c>
      <c r="C251" s="47">
        <v>1</v>
      </c>
      <c r="D251" s="47">
        <v>2</v>
      </c>
      <c r="E251" s="47">
        <v>3</v>
      </c>
      <c r="F251" s="47">
        <v>4</v>
      </c>
      <c r="G251" s="47">
        <v>5</v>
      </c>
      <c r="H251" s="47">
        <v>6</v>
      </c>
      <c r="I251" s="47">
        <v>7</v>
      </c>
      <c r="J251" s="47">
        <v>8</v>
      </c>
      <c r="K251" s="47">
        <v>9</v>
      </c>
      <c r="L251" s="47">
        <v>10</v>
      </c>
      <c r="M251" s="47">
        <v>11</v>
      </c>
      <c r="N251" s="47">
        <v>12</v>
      </c>
      <c r="O251" s="47">
        <v>13</v>
      </c>
      <c r="P251" s="47">
        <v>14</v>
      </c>
      <c r="Q251" s="47">
        <v>15</v>
      </c>
      <c r="R251" s="47">
        <v>16</v>
      </c>
      <c r="S251" s="47">
        <v>17</v>
      </c>
      <c r="T251" s="47">
        <v>18</v>
      </c>
      <c r="U251" s="47">
        <v>19</v>
      </c>
      <c r="V251" s="47">
        <v>20</v>
      </c>
    </row>
    <row r="252" spans="2:22" x14ac:dyDescent="0.45">
      <c r="B252" s="44"/>
      <c r="C252" s="17" t="s">
        <v>5</v>
      </c>
      <c r="D252" s="17" t="s">
        <v>6</v>
      </c>
      <c r="E252" s="58" t="s">
        <v>7</v>
      </c>
      <c r="F252" s="58" t="s">
        <v>8</v>
      </c>
      <c r="G252" s="17" t="s">
        <v>9</v>
      </c>
      <c r="H252" s="17" t="s">
        <v>10</v>
      </c>
      <c r="I252" s="17" t="s">
        <v>11</v>
      </c>
      <c r="J252" s="17" t="s">
        <v>12</v>
      </c>
      <c r="K252" s="17" t="s">
        <v>13</v>
      </c>
      <c r="L252" s="17" t="s">
        <v>14</v>
      </c>
      <c r="M252" s="17" t="s">
        <v>49</v>
      </c>
      <c r="N252" s="17" t="s">
        <v>50</v>
      </c>
      <c r="O252" s="17" t="s">
        <v>51</v>
      </c>
      <c r="P252" s="17" t="s">
        <v>52</v>
      </c>
      <c r="Q252" s="17" t="s">
        <v>53</v>
      </c>
      <c r="R252" s="17" t="s">
        <v>54</v>
      </c>
      <c r="S252" s="17" t="s">
        <v>55</v>
      </c>
      <c r="T252" s="17" t="s">
        <v>56</v>
      </c>
      <c r="U252" s="17" t="s">
        <v>57</v>
      </c>
      <c r="V252" s="17" t="s">
        <v>58</v>
      </c>
    </row>
    <row r="253" spans="2:22" x14ac:dyDescent="0.45">
      <c r="B253" s="44" t="s">
        <v>187</v>
      </c>
      <c r="C253" s="67">
        <f t="shared" ref="C253:V253" si="42">C$295+C$137</f>
        <v>13.863732019909156</v>
      </c>
      <c r="D253" s="67">
        <f t="shared" si="42"/>
        <v>14.228735364386925</v>
      </c>
      <c r="E253" s="67">
        <f t="shared" si="42"/>
        <v>14.527867368042305</v>
      </c>
      <c r="F253" s="67">
        <f t="shared" si="42"/>
        <v>14.845997761378081</v>
      </c>
      <c r="G253" s="67">
        <f t="shared" si="42"/>
        <v>15.154111261258956</v>
      </c>
      <c r="H253" s="67">
        <f t="shared" si="42"/>
        <v>15.174313508823543</v>
      </c>
      <c r="I253" s="67">
        <f t="shared" si="42"/>
        <v>15.173743073017615</v>
      </c>
      <c r="J253" s="67">
        <f t="shared" si="42"/>
        <v>15.161495605961106</v>
      </c>
      <c r="K253" s="67">
        <f t="shared" si="42"/>
        <v>15.127518628459331</v>
      </c>
      <c r="L253" s="67">
        <f t="shared" si="42"/>
        <v>15.055475073088319</v>
      </c>
      <c r="M253" s="67">
        <f t="shared" si="42"/>
        <v>15.055475073088319</v>
      </c>
      <c r="N253" s="67">
        <f t="shared" si="42"/>
        <v>15.055475073088319</v>
      </c>
      <c r="O253" s="67">
        <f t="shared" si="42"/>
        <v>15.055475073088319</v>
      </c>
      <c r="P253" s="67">
        <f t="shared" si="42"/>
        <v>15.055475073088319</v>
      </c>
      <c r="Q253" s="67">
        <f t="shared" si="42"/>
        <v>15.055475073088319</v>
      </c>
      <c r="R253" s="67">
        <f t="shared" si="42"/>
        <v>15.055475073088319</v>
      </c>
      <c r="S253" s="67">
        <f t="shared" si="42"/>
        <v>15.055475073088319</v>
      </c>
      <c r="T253" s="67">
        <f t="shared" si="42"/>
        <v>15.055475073088319</v>
      </c>
      <c r="U253" s="67">
        <f t="shared" si="42"/>
        <v>15.055475073088319</v>
      </c>
      <c r="V253" s="67">
        <f t="shared" si="42"/>
        <v>15.055475073088319</v>
      </c>
    </row>
    <row r="254" spans="2:22" x14ac:dyDescent="0.45">
      <c r="B254" s="44" t="s">
        <v>188</v>
      </c>
      <c r="C254" s="3">
        <f t="shared" ref="C254:V254" si="43">C77</f>
        <v>59001</v>
      </c>
      <c r="D254" s="3">
        <f t="shared" si="43"/>
        <v>155509</v>
      </c>
      <c r="E254" s="3">
        <f t="shared" si="43"/>
        <v>272678</v>
      </c>
      <c r="F254" s="3">
        <f t="shared" si="43"/>
        <v>408439</v>
      </c>
      <c r="G254" s="3">
        <f t="shared" si="43"/>
        <v>599275</v>
      </c>
      <c r="H254" s="3">
        <f t="shared" si="43"/>
        <v>861215</v>
      </c>
      <c r="I254" s="3">
        <f t="shared" si="43"/>
        <v>1173624</v>
      </c>
      <c r="J254" s="3">
        <f t="shared" si="43"/>
        <v>1488501</v>
      </c>
      <c r="K254" s="3">
        <f t="shared" si="43"/>
        <v>1813824</v>
      </c>
      <c r="L254" s="3">
        <f t="shared" si="43"/>
        <v>2129334</v>
      </c>
      <c r="M254" s="3">
        <f t="shared" si="43"/>
        <v>2389028</v>
      </c>
      <c r="N254" s="3">
        <f t="shared" si="43"/>
        <v>2625884</v>
      </c>
      <c r="O254" s="3">
        <f t="shared" si="43"/>
        <v>2823784</v>
      </c>
      <c r="P254" s="3">
        <f t="shared" si="43"/>
        <v>2966655</v>
      </c>
      <c r="Q254" s="3">
        <f t="shared" si="43"/>
        <v>3056775</v>
      </c>
      <c r="R254" s="3">
        <f t="shared" si="43"/>
        <v>3119287</v>
      </c>
      <c r="S254" s="3">
        <f t="shared" si="43"/>
        <v>3148022</v>
      </c>
      <c r="T254" s="3">
        <f t="shared" si="43"/>
        <v>3148022</v>
      </c>
      <c r="U254" s="3">
        <f t="shared" si="43"/>
        <v>3148022</v>
      </c>
      <c r="V254" s="3">
        <f t="shared" si="43"/>
        <v>3148022</v>
      </c>
    </row>
    <row r="255" spans="2:22" x14ac:dyDescent="0.45">
      <c r="B255" s="44" t="s">
        <v>189</v>
      </c>
      <c r="C255" s="3">
        <f>C253*C254*months_in_year</f>
        <v>9815688.6348799206</v>
      </c>
      <c r="D255" s="3">
        <f t="shared" ref="D255:V255" si="44">D253*D254*months_in_year</f>
        <v>26552356.893365353</v>
      </c>
      <c r="E255" s="3">
        <f t="shared" si="44"/>
        <v>47537157.818196476</v>
      </c>
      <c r="F255" s="3">
        <f t="shared" si="44"/>
        <v>72764213.755914032</v>
      </c>
      <c r="G255" s="3">
        <f t="shared" si="44"/>
        <v>108977760.31309153</v>
      </c>
      <c r="H255" s="3">
        <f t="shared" si="44"/>
        <v>156820156.90201759</v>
      </c>
      <c r="I255" s="3">
        <f t="shared" si="44"/>
        <v>213699228.48392671</v>
      </c>
      <c r="J255" s="3">
        <f t="shared" si="44"/>
        <v>270814816.45162451</v>
      </c>
      <c r="K255" s="3">
        <f t="shared" si="44"/>
        <v>329263876.18495941</v>
      </c>
      <c r="L255" s="3">
        <f t="shared" si="44"/>
        <v>384697619.51135331</v>
      </c>
      <c r="M255" s="3">
        <f t="shared" si="44"/>
        <v>431615418.03492045</v>
      </c>
      <c r="N255" s="3">
        <f t="shared" si="44"/>
        <v>474407173.28185737</v>
      </c>
      <c r="O255" s="3">
        <f t="shared" si="44"/>
        <v>510160915.4854275</v>
      </c>
      <c r="P255" s="3">
        <f t="shared" si="44"/>
        <v>535972804.83543396</v>
      </c>
      <c r="Q255" s="3">
        <f t="shared" si="44"/>
        <v>552254397.79847455</v>
      </c>
      <c r="R255" s="3">
        <f t="shared" si="44"/>
        <v>563548172.09170127</v>
      </c>
      <c r="S255" s="3">
        <f t="shared" si="44"/>
        <v>568739601.00640357</v>
      </c>
      <c r="T255" s="3">
        <f t="shared" si="44"/>
        <v>568739601.00640357</v>
      </c>
      <c r="U255" s="3">
        <f t="shared" si="44"/>
        <v>568739601.00640357</v>
      </c>
      <c r="V255" s="3">
        <f t="shared" si="44"/>
        <v>568739601.00640357</v>
      </c>
    </row>
    <row r="256" spans="2:22" x14ac:dyDescent="0.45">
      <c r="B256" s="44" t="s">
        <v>190</v>
      </c>
      <c r="C256" s="3">
        <f>$C$143*C$93</f>
        <v>1715580</v>
      </c>
      <c r="D256" s="3">
        <f t="shared" ref="D256:V256" si="45">$C$143*D$93</f>
        <v>2892645</v>
      </c>
      <c r="E256" s="3">
        <f t="shared" si="45"/>
        <v>3628611</v>
      </c>
      <c r="F256" s="3">
        <f t="shared" si="45"/>
        <v>4365981</v>
      </c>
      <c r="G256" s="3">
        <f t="shared" si="45"/>
        <v>6118470</v>
      </c>
      <c r="H256" s="3">
        <f t="shared" si="45"/>
        <v>8398269</v>
      </c>
      <c r="I256" s="3">
        <f t="shared" si="45"/>
        <v>10181106</v>
      </c>
      <c r="J256" s="3">
        <f t="shared" si="45"/>
        <v>10612053</v>
      </c>
      <c r="K256" s="3">
        <f t="shared" si="45"/>
        <v>11245662</v>
      </c>
      <c r="L256" s="3">
        <f t="shared" si="45"/>
        <v>11288295</v>
      </c>
      <c r="M256" s="3">
        <f t="shared" si="45"/>
        <v>9980280</v>
      </c>
      <c r="N256" s="3">
        <f t="shared" si="45"/>
        <v>9514827</v>
      </c>
      <c r="O256" s="3">
        <f t="shared" si="45"/>
        <v>8549496</v>
      </c>
      <c r="P256" s="3">
        <f t="shared" si="45"/>
        <v>7073460</v>
      </c>
      <c r="Q256" s="3">
        <f t="shared" si="45"/>
        <v>5596101</v>
      </c>
      <c r="R256" s="3">
        <f t="shared" si="45"/>
        <v>4766472</v>
      </c>
      <c r="S256" s="3">
        <f t="shared" si="45"/>
        <v>3737367</v>
      </c>
      <c r="T256" s="3">
        <f t="shared" si="45"/>
        <v>2821095</v>
      </c>
      <c r="U256" s="3">
        <f t="shared" si="45"/>
        <v>2685231</v>
      </c>
      <c r="V256" s="3">
        <f t="shared" si="45"/>
        <v>2553768</v>
      </c>
    </row>
    <row r="257" spans="2:22" x14ac:dyDescent="0.45">
      <c r="B257" s="44"/>
    </row>
    <row r="258" spans="2:22" x14ac:dyDescent="0.45">
      <c r="B258" s="44" t="s">
        <v>197</v>
      </c>
      <c r="C258" s="3">
        <f>SUM(C255:C256)*C$128</f>
        <v>11531268.634879921</v>
      </c>
      <c r="D258" s="3">
        <f t="shared" ref="D258:V258" si="46">SUM(D255:D256)*D$128</f>
        <v>27314472.999411274</v>
      </c>
      <c r="E258" s="3">
        <f t="shared" si="46"/>
        <v>44029320.443441674</v>
      </c>
      <c r="F258" s="3">
        <f t="shared" si="46"/>
        <v>61569857.071181498</v>
      </c>
      <c r="G258" s="3">
        <f t="shared" si="46"/>
        <v>85228737.693676054</v>
      </c>
      <c r="H258" s="3">
        <f t="shared" si="46"/>
        <v>113491850.1355491</v>
      </c>
      <c r="I258" s="3">
        <f t="shared" si="46"/>
        <v>142660381.79911613</v>
      </c>
      <c r="J258" s="3">
        <f t="shared" si="46"/>
        <v>166354377.58321458</v>
      </c>
      <c r="K258" s="3">
        <f t="shared" si="46"/>
        <v>186714993.92749047</v>
      </c>
      <c r="L258" s="3">
        <f t="shared" si="46"/>
        <v>201423848.89196259</v>
      </c>
      <c r="M258" s="3">
        <f t="shared" si="46"/>
        <v>208370975.73575878</v>
      </c>
      <c r="N258" s="3">
        <f t="shared" si="46"/>
        <v>211820991.85301173</v>
      </c>
      <c r="O258" s="3">
        <f t="shared" si="46"/>
        <v>210620109.865702</v>
      </c>
      <c r="P258" s="3">
        <f t="shared" si="46"/>
        <v>204546917.83840585</v>
      </c>
      <c r="Q258" s="3">
        <f t="shared" si="46"/>
        <v>194919448.45371461</v>
      </c>
      <c r="R258" s="3">
        <f t="shared" si="46"/>
        <v>184207553.29232666</v>
      </c>
      <c r="S258" s="3">
        <f t="shared" si="46"/>
        <v>172130505.88914752</v>
      </c>
      <c r="T258" s="3">
        <f t="shared" si="46"/>
        <v>159420226.5448584</v>
      </c>
      <c r="U258" s="3">
        <f t="shared" si="46"/>
        <v>147850028.97498408</v>
      </c>
      <c r="V258" s="3">
        <f t="shared" si="46"/>
        <v>137120606.99236006</v>
      </c>
    </row>
    <row r="259" spans="2:22" x14ac:dyDescent="0.45">
      <c r="B259" s="44" t="s">
        <v>198</v>
      </c>
      <c r="C259" s="124">
        <f>SUM(C258:V258)</f>
        <v>2871326474.620193</v>
      </c>
    </row>
    <row r="260" spans="2:22" x14ac:dyDescent="0.45">
      <c r="B260" s="44"/>
    </row>
    <row r="262" spans="2:22" x14ac:dyDescent="0.45">
      <c r="B262" s="44" t="s">
        <v>193</v>
      </c>
      <c r="C262" s="67">
        <f t="shared" ref="C262:V262" si="47">C$304+C$137</f>
        <v>13.863732019909156</v>
      </c>
      <c r="D262" s="67">
        <f t="shared" si="47"/>
        <v>14.228735364386925</v>
      </c>
      <c r="E262" s="67">
        <f t="shared" si="47"/>
        <v>14.527867368042305</v>
      </c>
      <c r="F262" s="67">
        <f t="shared" si="47"/>
        <v>14.845997761378081</v>
      </c>
      <c r="G262" s="67">
        <f t="shared" si="47"/>
        <v>15.154111261258956</v>
      </c>
      <c r="H262" s="67">
        <f t="shared" si="47"/>
        <v>15.44124385619096</v>
      </c>
      <c r="I262" s="67">
        <f t="shared" si="47"/>
        <v>15.712919329093234</v>
      </c>
      <c r="J262" s="67">
        <f t="shared" si="47"/>
        <v>15.97762468284594</v>
      </c>
      <c r="K262" s="67">
        <f t="shared" si="47"/>
        <v>16.223843480546289</v>
      </c>
      <c r="L262" s="67">
        <f t="shared" si="47"/>
        <v>16.432222520868745</v>
      </c>
      <c r="M262" s="67">
        <f t="shared" si="47"/>
        <v>16.432222520868745</v>
      </c>
      <c r="N262" s="67">
        <f t="shared" si="47"/>
        <v>16.432222520868745</v>
      </c>
      <c r="O262" s="67">
        <f t="shared" si="47"/>
        <v>16.432222520868745</v>
      </c>
      <c r="P262" s="67">
        <f t="shared" si="47"/>
        <v>16.432222520868745</v>
      </c>
      <c r="Q262" s="67">
        <f t="shared" si="47"/>
        <v>16.432222520868745</v>
      </c>
      <c r="R262" s="67">
        <f t="shared" si="47"/>
        <v>16.432222520868745</v>
      </c>
      <c r="S262" s="67">
        <f t="shared" si="47"/>
        <v>16.432222520868745</v>
      </c>
      <c r="T262" s="67">
        <f t="shared" si="47"/>
        <v>16.432222520868745</v>
      </c>
      <c r="U262" s="67">
        <f t="shared" si="47"/>
        <v>16.432222520868745</v>
      </c>
      <c r="V262" s="67">
        <f t="shared" si="47"/>
        <v>16.432222520868745</v>
      </c>
    </row>
    <row r="263" spans="2:22" x14ac:dyDescent="0.45">
      <c r="B263" s="44" t="s">
        <v>188</v>
      </c>
      <c r="C263" s="3">
        <f t="shared" ref="C263:V263" si="48">C77</f>
        <v>59001</v>
      </c>
      <c r="D263" s="3">
        <f t="shared" si="48"/>
        <v>155509</v>
      </c>
      <c r="E263" s="3">
        <f t="shared" si="48"/>
        <v>272678</v>
      </c>
      <c r="F263" s="3">
        <f t="shared" si="48"/>
        <v>408439</v>
      </c>
      <c r="G263" s="3">
        <f t="shared" si="48"/>
        <v>599275</v>
      </c>
      <c r="H263" s="3">
        <f t="shared" si="48"/>
        <v>861215</v>
      </c>
      <c r="I263" s="3">
        <f t="shared" si="48"/>
        <v>1173624</v>
      </c>
      <c r="J263" s="3">
        <f t="shared" si="48"/>
        <v>1488501</v>
      </c>
      <c r="K263" s="3">
        <f t="shared" si="48"/>
        <v>1813824</v>
      </c>
      <c r="L263" s="3">
        <f t="shared" si="48"/>
        <v>2129334</v>
      </c>
      <c r="M263" s="3">
        <f t="shared" si="48"/>
        <v>2389028</v>
      </c>
      <c r="N263" s="3">
        <f t="shared" si="48"/>
        <v>2625884</v>
      </c>
      <c r="O263" s="3">
        <f t="shared" si="48"/>
        <v>2823784</v>
      </c>
      <c r="P263" s="3">
        <f t="shared" si="48"/>
        <v>2966655</v>
      </c>
      <c r="Q263" s="3">
        <f t="shared" si="48"/>
        <v>3056775</v>
      </c>
      <c r="R263" s="3">
        <f t="shared" si="48"/>
        <v>3119287</v>
      </c>
      <c r="S263" s="3">
        <f t="shared" si="48"/>
        <v>3148022</v>
      </c>
      <c r="T263" s="3">
        <f t="shared" si="48"/>
        <v>3148022</v>
      </c>
      <c r="U263" s="3">
        <f t="shared" si="48"/>
        <v>3148022</v>
      </c>
      <c r="V263" s="3">
        <f t="shared" si="48"/>
        <v>3148022</v>
      </c>
    </row>
    <row r="264" spans="2:22" x14ac:dyDescent="0.45">
      <c r="B264" s="44" t="s">
        <v>194</v>
      </c>
      <c r="C264" s="3">
        <f>C262*C263*months_in_year</f>
        <v>9815688.6348799206</v>
      </c>
      <c r="D264" s="3">
        <f t="shared" ref="D264:V264" si="49">D262*D263*months_in_year</f>
        <v>26552356.893365353</v>
      </c>
      <c r="E264" s="3">
        <f t="shared" si="49"/>
        <v>47537157.818196476</v>
      </c>
      <c r="F264" s="3">
        <f t="shared" si="49"/>
        <v>72764213.755914032</v>
      </c>
      <c r="G264" s="3">
        <f t="shared" si="49"/>
        <v>108977760.31309153</v>
      </c>
      <c r="H264" s="3">
        <f t="shared" si="49"/>
        <v>159578769.93131399</v>
      </c>
      <c r="I264" s="3">
        <f t="shared" si="49"/>
        <v>221292710.81625259</v>
      </c>
      <c r="J264" s="3">
        <f t="shared" si="49"/>
        <v>285392523.81649041</v>
      </c>
      <c r="K264" s="3">
        <f t="shared" si="49"/>
        <v>353126360.12710071</v>
      </c>
      <c r="L264" s="3">
        <f t="shared" si="49"/>
        <v>419876281.31101835</v>
      </c>
      <c r="M264" s="3">
        <f t="shared" si="49"/>
        <v>471084476.45503217</v>
      </c>
      <c r="N264" s="3">
        <f t="shared" si="49"/>
        <v>517789322.42386687</v>
      </c>
      <c r="O264" s="3">
        <f t="shared" si="49"/>
        <v>556812564.4664259</v>
      </c>
      <c r="P264" s="3">
        <f t="shared" si="49"/>
        <v>584984821.23177433</v>
      </c>
      <c r="Q264" s="3">
        <f t="shared" si="49"/>
        <v>602755283.95474267</v>
      </c>
      <c r="R264" s="3">
        <f t="shared" si="49"/>
        <v>615081817.0854373</v>
      </c>
      <c r="S264" s="3">
        <f t="shared" si="49"/>
        <v>620747976.05508316</v>
      </c>
      <c r="T264" s="3">
        <f t="shared" si="49"/>
        <v>620747976.05508316</v>
      </c>
      <c r="U264" s="3">
        <f t="shared" si="49"/>
        <v>620747976.05508316</v>
      </c>
      <c r="V264" s="3">
        <f t="shared" si="49"/>
        <v>620747976.05508316</v>
      </c>
    </row>
    <row r="265" spans="2:22" x14ac:dyDescent="0.45">
      <c r="B265" s="44" t="s">
        <v>190</v>
      </c>
      <c r="C265" s="3">
        <f t="shared" ref="C265:V265" si="50">$C$143*C$93</f>
        <v>1715580</v>
      </c>
      <c r="D265" s="3">
        <f t="shared" si="50"/>
        <v>2892645</v>
      </c>
      <c r="E265" s="3">
        <f t="shared" si="50"/>
        <v>3628611</v>
      </c>
      <c r="F265" s="3">
        <f t="shared" si="50"/>
        <v>4365981</v>
      </c>
      <c r="G265" s="3">
        <f t="shared" si="50"/>
        <v>6118470</v>
      </c>
      <c r="H265" s="3">
        <f t="shared" si="50"/>
        <v>8398269</v>
      </c>
      <c r="I265" s="3">
        <f t="shared" si="50"/>
        <v>10181106</v>
      </c>
      <c r="J265" s="3">
        <f t="shared" si="50"/>
        <v>10612053</v>
      </c>
      <c r="K265" s="3">
        <f t="shared" si="50"/>
        <v>11245662</v>
      </c>
      <c r="L265" s="3">
        <f t="shared" si="50"/>
        <v>11288295</v>
      </c>
      <c r="M265" s="3">
        <f t="shared" si="50"/>
        <v>9980280</v>
      </c>
      <c r="N265" s="3">
        <f t="shared" si="50"/>
        <v>9514827</v>
      </c>
      <c r="O265" s="3">
        <f t="shared" si="50"/>
        <v>8549496</v>
      </c>
      <c r="P265" s="3">
        <f t="shared" si="50"/>
        <v>7073460</v>
      </c>
      <c r="Q265" s="3">
        <f t="shared" si="50"/>
        <v>5596101</v>
      </c>
      <c r="R265" s="3">
        <f t="shared" si="50"/>
        <v>4766472</v>
      </c>
      <c r="S265" s="3">
        <f t="shared" si="50"/>
        <v>3737367</v>
      </c>
      <c r="T265" s="3">
        <f t="shared" si="50"/>
        <v>2821095</v>
      </c>
      <c r="U265" s="3">
        <f t="shared" si="50"/>
        <v>2685231</v>
      </c>
      <c r="V265" s="3">
        <f t="shared" si="50"/>
        <v>2553768</v>
      </c>
    </row>
    <row r="266" spans="2:22" x14ac:dyDescent="0.45">
      <c r="B266" s="44"/>
    </row>
    <row r="267" spans="2:22" x14ac:dyDescent="0.45">
      <c r="B267" s="44" t="s">
        <v>81</v>
      </c>
      <c r="C267" s="3">
        <f>SUM(C264:C265)*C$128</f>
        <v>11531268.634879921</v>
      </c>
      <c r="D267" s="3">
        <f t="shared" ref="D267:V267" si="51">SUM(D264:D265)*D$128</f>
        <v>27314472.999411274</v>
      </c>
      <c r="E267" s="3">
        <f t="shared" si="51"/>
        <v>44029320.443441674</v>
      </c>
      <c r="F267" s="3">
        <f t="shared" si="51"/>
        <v>61569857.071181498</v>
      </c>
      <c r="G267" s="3">
        <f t="shared" si="51"/>
        <v>85228737.693676054</v>
      </c>
      <c r="H267" s="3">
        <f t="shared" si="51"/>
        <v>115386796.74815363</v>
      </c>
      <c r="I267" s="3">
        <f t="shared" si="51"/>
        <v>147499078.73608282</v>
      </c>
      <c r="J267" s="3">
        <f t="shared" si="51"/>
        <v>174971413.47604841</v>
      </c>
      <c r="K267" s="3">
        <f t="shared" si="51"/>
        <v>199799747.93497321</v>
      </c>
      <c r="L267" s="3">
        <f t="shared" si="51"/>
        <v>219317973.90724525</v>
      </c>
      <c r="M267" s="3">
        <f t="shared" si="51"/>
        <v>226994812.54161459</v>
      </c>
      <c r="N267" s="3">
        <f t="shared" si="51"/>
        <v>230810105.50071427</v>
      </c>
      <c r="O267" s="3">
        <f t="shared" si="51"/>
        <v>229562809.33004481</v>
      </c>
      <c r="P267" s="3">
        <f t="shared" si="51"/>
        <v>223008064.77945867</v>
      </c>
      <c r="Q267" s="3">
        <f t="shared" si="51"/>
        <v>212565045.07360694</v>
      </c>
      <c r="R267" s="3">
        <f t="shared" si="51"/>
        <v>200911128.95278373</v>
      </c>
      <c r="S267" s="3">
        <f t="shared" si="51"/>
        <v>187768214.31744817</v>
      </c>
      <c r="T267" s="3">
        <f t="shared" si="51"/>
        <v>173926449.57667717</v>
      </c>
      <c r="U267" s="3">
        <f t="shared" si="51"/>
        <v>161306636.61117962</v>
      </c>
      <c r="V267" s="3">
        <f t="shared" si="51"/>
        <v>149603545.43038931</v>
      </c>
    </row>
    <row r="268" spans="2:22" x14ac:dyDescent="0.45">
      <c r="B268" s="44" t="s">
        <v>199</v>
      </c>
      <c r="C268" s="124">
        <f>SUM(C267:V267)</f>
        <v>3083105479.7590113</v>
      </c>
    </row>
    <row r="269" spans="2:22" x14ac:dyDescent="0.45">
      <c r="B269" s="44"/>
    </row>
    <row r="270" spans="2:22" x14ac:dyDescent="0.45">
      <c r="B270" s="44"/>
    </row>
    <row r="271" spans="2:22" x14ac:dyDescent="0.45">
      <c r="B271" s="42" t="s">
        <v>159</v>
      </c>
      <c r="C271" s="47">
        <v>1</v>
      </c>
      <c r="D271" s="47">
        <v>2</v>
      </c>
      <c r="E271" s="47">
        <v>3</v>
      </c>
      <c r="F271" s="47">
        <v>4</v>
      </c>
      <c r="G271" s="47">
        <v>5</v>
      </c>
      <c r="H271" s="47">
        <v>6</v>
      </c>
      <c r="I271" s="47">
        <v>7</v>
      </c>
      <c r="J271" s="47">
        <v>8</v>
      </c>
      <c r="K271" s="47">
        <v>9</v>
      </c>
      <c r="L271" s="47">
        <v>10</v>
      </c>
      <c r="M271" s="47">
        <v>11</v>
      </c>
      <c r="N271" s="47">
        <v>12</v>
      </c>
      <c r="O271" s="47">
        <v>13</v>
      </c>
      <c r="P271" s="47">
        <v>14</v>
      </c>
      <c r="Q271" s="47">
        <v>15</v>
      </c>
      <c r="R271" s="47">
        <v>16</v>
      </c>
      <c r="S271" s="47">
        <v>17</v>
      </c>
      <c r="T271" s="47">
        <v>18</v>
      </c>
      <c r="U271" s="47">
        <v>19</v>
      </c>
      <c r="V271" s="47">
        <v>20</v>
      </c>
    </row>
    <row r="272" spans="2:22" x14ac:dyDescent="0.45">
      <c r="B272" s="44"/>
      <c r="C272" s="17" t="s">
        <v>5</v>
      </c>
      <c r="D272" s="17" t="s">
        <v>6</v>
      </c>
      <c r="E272" s="58" t="s">
        <v>7</v>
      </c>
      <c r="F272" s="58" t="s">
        <v>8</v>
      </c>
      <c r="G272" s="17" t="s">
        <v>9</v>
      </c>
      <c r="H272" s="17" t="s">
        <v>10</v>
      </c>
      <c r="I272" s="17" t="s">
        <v>11</v>
      </c>
      <c r="J272" s="17" t="s">
        <v>12</v>
      </c>
      <c r="K272" s="17" t="s">
        <v>13</v>
      </c>
      <c r="L272" s="17" t="s">
        <v>14</v>
      </c>
      <c r="M272" s="17" t="s">
        <v>49</v>
      </c>
      <c r="N272" s="17" t="s">
        <v>50</v>
      </c>
      <c r="O272" s="17" t="s">
        <v>51</v>
      </c>
      <c r="P272" s="17" t="s">
        <v>52</v>
      </c>
      <c r="Q272" s="17" t="s">
        <v>53</v>
      </c>
      <c r="R272" s="17" t="s">
        <v>54</v>
      </c>
      <c r="S272" s="17" t="s">
        <v>55</v>
      </c>
      <c r="T272" s="17" t="s">
        <v>56</v>
      </c>
      <c r="U272" s="17" t="s">
        <v>57</v>
      </c>
      <c r="V272" s="17" t="s">
        <v>58</v>
      </c>
    </row>
    <row r="273" spans="2:22" x14ac:dyDescent="0.45">
      <c r="B273" s="44" t="s">
        <v>187</v>
      </c>
      <c r="C273" s="67">
        <f t="shared" ref="C273:V273" si="52">C$295+C$138</f>
        <v>16.163732019909155</v>
      </c>
      <c r="D273" s="67">
        <f t="shared" si="52"/>
        <v>16.5016327247017</v>
      </c>
      <c r="E273" s="67">
        <f t="shared" si="52"/>
        <v>16.770153946984095</v>
      </c>
      <c r="F273" s="67">
        <f t="shared" si="52"/>
        <v>17.054040760934178</v>
      </c>
      <c r="G273" s="67">
        <f t="shared" si="52"/>
        <v>17.326315120806179</v>
      </c>
      <c r="H273" s="67">
        <f t="shared" si="52"/>
        <v>17.346517368370762</v>
      </c>
      <c r="I273" s="67">
        <f t="shared" si="52"/>
        <v>17.345946932564836</v>
      </c>
      <c r="J273" s="67">
        <f t="shared" si="52"/>
        <v>17.333699465508325</v>
      </c>
      <c r="K273" s="67">
        <f t="shared" si="52"/>
        <v>17.299722488006552</v>
      </c>
      <c r="L273" s="67">
        <f t="shared" si="52"/>
        <v>17.227678932635541</v>
      </c>
      <c r="M273" s="67">
        <f t="shared" si="52"/>
        <v>17.227678932635541</v>
      </c>
      <c r="N273" s="67">
        <f t="shared" si="52"/>
        <v>17.227678932635541</v>
      </c>
      <c r="O273" s="67">
        <f t="shared" si="52"/>
        <v>17.227678932635541</v>
      </c>
      <c r="P273" s="67">
        <f t="shared" si="52"/>
        <v>17.227678932635541</v>
      </c>
      <c r="Q273" s="67">
        <f t="shared" si="52"/>
        <v>17.227678932635541</v>
      </c>
      <c r="R273" s="67">
        <f t="shared" si="52"/>
        <v>17.227678932635541</v>
      </c>
      <c r="S273" s="67">
        <f t="shared" si="52"/>
        <v>17.227678932635541</v>
      </c>
      <c r="T273" s="67">
        <f t="shared" si="52"/>
        <v>17.227678932635541</v>
      </c>
      <c r="U273" s="67">
        <f t="shared" si="52"/>
        <v>17.227678932635541</v>
      </c>
      <c r="V273" s="67">
        <f t="shared" si="52"/>
        <v>17.227678932635541</v>
      </c>
    </row>
    <row r="274" spans="2:22" x14ac:dyDescent="0.45">
      <c r="B274" s="44" t="s">
        <v>188</v>
      </c>
      <c r="C274" s="3">
        <f t="shared" ref="C274:V274" si="53">C86</f>
        <v>59001</v>
      </c>
      <c r="D274" s="3">
        <f t="shared" si="53"/>
        <v>155509</v>
      </c>
      <c r="E274" s="3">
        <f t="shared" si="53"/>
        <v>272678</v>
      </c>
      <c r="F274" s="3">
        <f t="shared" si="53"/>
        <v>408439</v>
      </c>
      <c r="G274" s="3">
        <f t="shared" si="53"/>
        <v>599275</v>
      </c>
      <c r="H274" s="3">
        <f t="shared" si="53"/>
        <v>861215</v>
      </c>
      <c r="I274" s="3">
        <f t="shared" si="53"/>
        <v>1173624</v>
      </c>
      <c r="J274" s="3">
        <f t="shared" si="53"/>
        <v>1488501</v>
      </c>
      <c r="K274" s="3">
        <f t="shared" si="53"/>
        <v>1813824</v>
      </c>
      <c r="L274" s="3">
        <f t="shared" si="53"/>
        <v>2129334</v>
      </c>
      <c r="M274" s="3">
        <f t="shared" si="53"/>
        <v>2389028</v>
      </c>
      <c r="N274" s="3">
        <f t="shared" si="53"/>
        <v>2625884</v>
      </c>
      <c r="O274" s="3">
        <f t="shared" si="53"/>
        <v>2823784</v>
      </c>
      <c r="P274" s="3">
        <f t="shared" si="53"/>
        <v>2966655</v>
      </c>
      <c r="Q274" s="3">
        <f t="shared" si="53"/>
        <v>3056775</v>
      </c>
      <c r="R274" s="3">
        <f t="shared" si="53"/>
        <v>3119287</v>
      </c>
      <c r="S274" s="3">
        <f t="shared" si="53"/>
        <v>3148022</v>
      </c>
      <c r="T274" s="3">
        <f t="shared" si="53"/>
        <v>3148022</v>
      </c>
      <c r="U274" s="3">
        <f t="shared" si="53"/>
        <v>3148022</v>
      </c>
      <c r="V274" s="3">
        <f t="shared" si="53"/>
        <v>3148022</v>
      </c>
    </row>
    <row r="275" spans="2:22" x14ac:dyDescent="0.45">
      <c r="B275" s="44" t="s">
        <v>189</v>
      </c>
      <c r="C275" s="3">
        <f>C273*C274*months_in_year</f>
        <v>11444116.23487992</v>
      </c>
      <c r="D275" s="3">
        <f t="shared" ref="D275:V275" si="54">D273*D274*months_in_year</f>
        <v>30793828.84062764</v>
      </c>
      <c r="E275" s="3">
        <f t="shared" si="54"/>
        <v>54874224.455468751</v>
      </c>
      <c r="F275" s="3">
        <f t="shared" si="54"/>
        <v>83586424.252262339</v>
      </c>
      <c r="G275" s="3">
        <f t="shared" si="54"/>
        <v>124598729.92825347</v>
      </c>
      <c r="H275" s="3">
        <f t="shared" si="54"/>
        <v>179268971.46481711</v>
      </c>
      <c r="I275" s="3">
        <f t="shared" si="54"/>
        <v>244291435.47341368</v>
      </c>
      <c r="J275" s="3">
        <f t="shared" si="54"/>
        <v>309614747.85730326</v>
      </c>
      <c r="K275" s="3">
        <f t="shared" si="54"/>
        <v>376543822.10503197</v>
      </c>
      <c r="L275" s="3">
        <f t="shared" si="54"/>
        <v>440201789.90813482</v>
      </c>
      <c r="M275" s="3">
        <f t="shared" si="54"/>
        <v>493888888.14091706</v>
      </c>
      <c r="N275" s="3">
        <f t="shared" si="54"/>
        <v>542854637.59613693</v>
      </c>
      <c r="O275" s="3">
        <f t="shared" si="54"/>
        <v>583766929.52535987</v>
      </c>
      <c r="P275" s="3">
        <f t="shared" si="54"/>
        <v>613302958.12677479</v>
      </c>
      <c r="Q275" s="3">
        <f t="shared" si="54"/>
        <v>631933659.23168409</v>
      </c>
      <c r="R275" s="3">
        <f t="shared" si="54"/>
        <v>644856899.21692705</v>
      </c>
      <c r="S275" s="3">
        <f t="shared" si="54"/>
        <v>650797347.46647847</v>
      </c>
      <c r="T275" s="3">
        <f t="shared" si="54"/>
        <v>650797347.46647847</v>
      </c>
      <c r="U275" s="3">
        <f t="shared" si="54"/>
        <v>650797347.46647847</v>
      </c>
      <c r="V275" s="3">
        <f t="shared" si="54"/>
        <v>650797347.46647847</v>
      </c>
    </row>
    <row r="276" spans="2:22" x14ac:dyDescent="0.45">
      <c r="B276" s="44" t="s">
        <v>190</v>
      </c>
      <c r="C276" s="3">
        <f t="shared" ref="C276:V276" si="55">$C$143*C$93</f>
        <v>1715580</v>
      </c>
      <c r="D276" s="3">
        <f t="shared" si="55"/>
        <v>2892645</v>
      </c>
      <c r="E276" s="3">
        <f t="shared" si="55"/>
        <v>3628611</v>
      </c>
      <c r="F276" s="3">
        <f t="shared" si="55"/>
        <v>4365981</v>
      </c>
      <c r="G276" s="3">
        <f t="shared" si="55"/>
        <v>6118470</v>
      </c>
      <c r="H276" s="3">
        <f t="shared" si="55"/>
        <v>8398269</v>
      </c>
      <c r="I276" s="3">
        <f t="shared" si="55"/>
        <v>10181106</v>
      </c>
      <c r="J276" s="3">
        <f t="shared" si="55"/>
        <v>10612053</v>
      </c>
      <c r="K276" s="3">
        <f t="shared" si="55"/>
        <v>11245662</v>
      </c>
      <c r="L276" s="3">
        <f t="shared" si="55"/>
        <v>11288295</v>
      </c>
      <c r="M276" s="3">
        <f t="shared" si="55"/>
        <v>9980280</v>
      </c>
      <c r="N276" s="3">
        <f t="shared" si="55"/>
        <v>9514827</v>
      </c>
      <c r="O276" s="3">
        <f t="shared" si="55"/>
        <v>8549496</v>
      </c>
      <c r="P276" s="3">
        <f t="shared" si="55"/>
        <v>7073460</v>
      </c>
      <c r="Q276" s="3">
        <f t="shared" si="55"/>
        <v>5596101</v>
      </c>
      <c r="R276" s="3">
        <f t="shared" si="55"/>
        <v>4766472</v>
      </c>
      <c r="S276" s="3">
        <f t="shared" si="55"/>
        <v>3737367</v>
      </c>
      <c r="T276" s="3">
        <f t="shared" si="55"/>
        <v>2821095</v>
      </c>
      <c r="U276" s="3">
        <f t="shared" si="55"/>
        <v>2685231</v>
      </c>
      <c r="V276" s="3">
        <f t="shared" si="55"/>
        <v>2553768</v>
      </c>
    </row>
    <row r="277" spans="2:22" x14ac:dyDescent="0.45">
      <c r="B277" s="44"/>
    </row>
    <row r="278" spans="2:22" x14ac:dyDescent="0.45">
      <c r="B278" s="44" t="s">
        <v>200</v>
      </c>
      <c r="C278" s="3">
        <f>SUM(C275:C276)*C$128</f>
        <v>13159696.23487992</v>
      </c>
      <c r="D278" s="3">
        <f t="shared" ref="D278:V278" si="56">SUM(D275:D276)*D$128</f>
        <v>31249048.089636028</v>
      </c>
      <c r="E278" s="3">
        <f t="shared" si="56"/>
        <v>50343034.974639311</v>
      </c>
      <c r="F278" s="3">
        <f t="shared" si="56"/>
        <v>70208781.886074632</v>
      </c>
      <c r="G278" s="3">
        <f t="shared" si="56"/>
        <v>96796062.863491684</v>
      </c>
      <c r="H278" s="3">
        <f t="shared" si="56"/>
        <v>128912391.05991861</v>
      </c>
      <c r="I278" s="3">
        <f t="shared" si="56"/>
        <v>162154259.80880406</v>
      </c>
      <c r="J278" s="3">
        <f t="shared" si="56"/>
        <v>189289424.44579783</v>
      </c>
      <c r="K278" s="3">
        <f t="shared" si="56"/>
        <v>212640478.6067574</v>
      </c>
      <c r="L278" s="3">
        <f t="shared" si="56"/>
        <v>229656831.98852301</v>
      </c>
      <c r="M278" s="3">
        <f t="shared" si="56"/>
        <v>237755283.11506662</v>
      </c>
      <c r="N278" s="3">
        <f t="shared" si="56"/>
        <v>241781625.53453416</v>
      </c>
      <c r="O278" s="3">
        <f t="shared" si="56"/>
        <v>240507512.20156682</v>
      </c>
      <c r="P278" s="3">
        <f t="shared" si="56"/>
        <v>233674536.48892477</v>
      </c>
      <c r="Q278" s="3">
        <f t="shared" si="56"/>
        <v>222760308.55012402</v>
      </c>
      <c r="R278" s="3">
        <f t="shared" si="56"/>
        <v>210562112.05790111</v>
      </c>
      <c r="S278" s="3">
        <f t="shared" si="56"/>
        <v>196803361.21725586</v>
      </c>
      <c r="T278" s="3">
        <f t="shared" si="56"/>
        <v>182307847.44291809</v>
      </c>
      <c r="U278" s="3">
        <f t="shared" si="56"/>
        <v>169081588.24962199</v>
      </c>
      <c r="V278" s="3">
        <f t="shared" si="56"/>
        <v>156815930.99480709</v>
      </c>
    </row>
    <row r="279" spans="2:22" x14ac:dyDescent="0.45">
      <c r="B279" s="44" t="s">
        <v>201</v>
      </c>
      <c r="C279" s="124">
        <f>SUM(C278:V278)</f>
        <v>3276460115.8112431</v>
      </c>
    </row>
    <row r="280" spans="2:22" x14ac:dyDescent="0.45">
      <c r="B280" s="44"/>
    </row>
    <row r="282" spans="2:22" x14ac:dyDescent="0.45">
      <c r="B282" s="44" t="s">
        <v>193</v>
      </c>
      <c r="C282" s="67">
        <f t="shared" ref="C282:V282" si="57">C$304+C$138</f>
        <v>16.163732019909155</v>
      </c>
      <c r="D282" s="67">
        <f t="shared" si="57"/>
        <v>16.5016327247017</v>
      </c>
      <c r="E282" s="67">
        <f t="shared" si="57"/>
        <v>16.770153946984095</v>
      </c>
      <c r="F282" s="67">
        <f t="shared" si="57"/>
        <v>17.054040760934178</v>
      </c>
      <c r="G282" s="67">
        <f t="shared" si="57"/>
        <v>17.326315120806179</v>
      </c>
      <c r="H282" s="67">
        <f t="shared" si="57"/>
        <v>17.613447715738182</v>
      </c>
      <c r="I282" s="67">
        <f t="shared" si="57"/>
        <v>17.885123188640456</v>
      </c>
      <c r="J282" s="67">
        <f t="shared" si="57"/>
        <v>18.149828542393159</v>
      </c>
      <c r="K282" s="67">
        <f t="shared" si="57"/>
        <v>18.39604734009351</v>
      </c>
      <c r="L282" s="67">
        <f t="shared" si="57"/>
        <v>18.604426380415966</v>
      </c>
      <c r="M282" s="67">
        <f t="shared" si="57"/>
        <v>18.604426380415966</v>
      </c>
      <c r="N282" s="67">
        <f t="shared" si="57"/>
        <v>18.604426380415966</v>
      </c>
      <c r="O282" s="67">
        <f t="shared" si="57"/>
        <v>18.604426380415966</v>
      </c>
      <c r="P282" s="67">
        <f t="shared" si="57"/>
        <v>18.604426380415966</v>
      </c>
      <c r="Q282" s="67">
        <f t="shared" si="57"/>
        <v>18.604426380415966</v>
      </c>
      <c r="R282" s="67">
        <f t="shared" si="57"/>
        <v>18.604426380415966</v>
      </c>
      <c r="S282" s="67">
        <f t="shared" si="57"/>
        <v>18.604426380415966</v>
      </c>
      <c r="T282" s="67">
        <f t="shared" si="57"/>
        <v>18.604426380415966</v>
      </c>
      <c r="U282" s="67">
        <f t="shared" si="57"/>
        <v>18.604426380415966</v>
      </c>
      <c r="V282" s="67">
        <f t="shared" si="57"/>
        <v>18.604426380415966</v>
      </c>
    </row>
    <row r="283" spans="2:22" x14ac:dyDescent="0.45">
      <c r="B283" s="44" t="s">
        <v>188</v>
      </c>
      <c r="C283" s="3">
        <f t="shared" ref="C283:V283" si="58">C86</f>
        <v>59001</v>
      </c>
      <c r="D283" s="3">
        <f t="shared" si="58"/>
        <v>155509</v>
      </c>
      <c r="E283" s="3">
        <f t="shared" si="58"/>
        <v>272678</v>
      </c>
      <c r="F283" s="3">
        <f t="shared" si="58"/>
        <v>408439</v>
      </c>
      <c r="G283" s="3">
        <f t="shared" si="58"/>
        <v>599275</v>
      </c>
      <c r="H283" s="3">
        <f t="shared" si="58"/>
        <v>861215</v>
      </c>
      <c r="I283" s="3">
        <f t="shared" si="58"/>
        <v>1173624</v>
      </c>
      <c r="J283" s="3">
        <f t="shared" si="58"/>
        <v>1488501</v>
      </c>
      <c r="K283" s="3">
        <f t="shared" si="58"/>
        <v>1813824</v>
      </c>
      <c r="L283" s="3">
        <f t="shared" si="58"/>
        <v>2129334</v>
      </c>
      <c r="M283" s="3">
        <f t="shared" si="58"/>
        <v>2389028</v>
      </c>
      <c r="N283" s="3">
        <f t="shared" si="58"/>
        <v>2625884</v>
      </c>
      <c r="O283" s="3">
        <f t="shared" si="58"/>
        <v>2823784</v>
      </c>
      <c r="P283" s="3">
        <f t="shared" si="58"/>
        <v>2966655</v>
      </c>
      <c r="Q283" s="3">
        <f t="shared" si="58"/>
        <v>3056775</v>
      </c>
      <c r="R283" s="3">
        <f t="shared" si="58"/>
        <v>3119287</v>
      </c>
      <c r="S283" s="3">
        <f t="shared" si="58"/>
        <v>3148022</v>
      </c>
      <c r="T283" s="3">
        <f t="shared" si="58"/>
        <v>3148022</v>
      </c>
      <c r="U283" s="3">
        <f t="shared" si="58"/>
        <v>3148022</v>
      </c>
      <c r="V283" s="3">
        <f t="shared" si="58"/>
        <v>3148022</v>
      </c>
    </row>
    <row r="284" spans="2:22" x14ac:dyDescent="0.45">
      <c r="B284" s="44" t="s">
        <v>194</v>
      </c>
      <c r="C284" s="3">
        <f>C282*C283*months_in_year</f>
        <v>11444116.23487992</v>
      </c>
      <c r="D284" s="3">
        <f t="shared" ref="D284:V284" si="59">D282*D283*months_in_year</f>
        <v>30793828.84062764</v>
      </c>
      <c r="E284" s="3">
        <f t="shared" si="59"/>
        <v>54874224.455468751</v>
      </c>
      <c r="F284" s="3">
        <f t="shared" si="59"/>
        <v>83586424.252262339</v>
      </c>
      <c r="G284" s="3">
        <f t="shared" si="59"/>
        <v>124598729.92825347</v>
      </c>
      <c r="H284" s="3">
        <f t="shared" si="59"/>
        <v>182027584.4941135</v>
      </c>
      <c r="I284" s="3">
        <f t="shared" si="59"/>
        <v>251884917.80573961</v>
      </c>
      <c r="J284" s="3">
        <f t="shared" si="59"/>
        <v>324192455.22216916</v>
      </c>
      <c r="K284" s="3">
        <f t="shared" si="59"/>
        <v>400406306.04717326</v>
      </c>
      <c r="L284" s="3">
        <f t="shared" si="59"/>
        <v>475380451.70779979</v>
      </c>
      <c r="M284" s="3">
        <f t="shared" si="59"/>
        <v>533357946.56102872</v>
      </c>
      <c r="N284" s="3">
        <f t="shared" si="59"/>
        <v>586236786.73814631</v>
      </c>
      <c r="O284" s="3">
        <f t="shared" si="59"/>
        <v>630418578.50635827</v>
      </c>
      <c r="P284" s="3">
        <f t="shared" si="59"/>
        <v>662314974.52311516</v>
      </c>
      <c r="Q284" s="3">
        <f t="shared" si="59"/>
        <v>682434545.38795221</v>
      </c>
      <c r="R284" s="3">
        <f t="shared" si="59"/>
        <v>696390544.21066284</v>
      </c>
      <c r="S284" s="3">
        <f t="shared" si="59"/>
        <v>702805722.51515794</v>
      </c>
      <c r="T284" s="3">
        <f t="shared" si="59"/>
        <v>702805722.51515794</v>
      </c>
      <c r="U284" s="3">
        <f t="shared" si="59"/>
        <v>702805722.51515794</v>
      </c>
      <c r="V284" s="3">
        <f t="shared" si="59"/>
        <v>702805722.51515794</v>
      </c>
    </row>
    <row r="285" spans="2:22" x14ac:dyDescent="0.45">
      <c r="B285" s="44" t="s">
        <v>190</v>
      </c>
      <c r="C285" s="3">
        <f t="shared" ref="C285:V285" si="60">$C$143*C$93</f>
        <v>1715580</v>
      </c>
      <c r="D285" s="3">
        <f t="shared" si="60"/>
        <v>2892645</v>
      </c>
      <c r="E285" s="3">
        <f t="shared" si="60"/>
        <v>3628611</v>
      </c>
      <c r="F285" s="3">
        <f t="shared" si="60"/>
        <v>4365981</v>
      </c>
      <c r="G285" s="3">
        <f t="shared" si="60"/>
        <v>6118470</v>
      </c>
      <c r="H285" s="3">
        <f t="shared" si="60"/>
        <v>8398269</v>
      </c>
      <c r="I285" s="3">
        <f t="shared" si="60"/>
        <v>10181106</v>
      </c>
      <c r="J285" s="3">
        <f t="shared" si="60"/>
        <v>10612053</v>
      </c>
      <c r="K285" s="3">
        <f t="shared" si="60"/>
        <v>11245662</v>
      </c>
      <c r="L285" s="3">
        <f t="shared" si="60"/>
        <v>11288295</v>
      </c>
      <c r="M285" s="3">
        <f t="shared" si="60"/>
        <v>9980280</v>
      </c>
      <c r="N285" s="3">
        <f t="shared" si="60"/>
        <v>9514827</v>
      </c>
      <c r="O285" s="3">
        <f t="shared" si="60"/>
        <v>8549496</v>
      </c>
      <c r="P285" s="3">
        <f t="shared" si="60"/>
        <v>7073460</v>
      </c>
      <c r="Q285" s="3">
        <f t="shared" si="60"/>
        <v>5596101</v>
      </c>
      <c r="R285" s="3">
        <f t="shared" si="60"/>
        <v>4766472</v>
      </c>
      <c r="S285" s="3">
        <f t="shared" si="60"/>
        <v>3737367</v>
      </c>
      <c r="T285" s="3">
        <f t="shared" si="60"/>
        <v>2821095</v>
      </c>
      <c r="U285" s="3">
        <f t="shared" si="60"/>
        <v>2685231</v>
      </c>
      <c r="V285" s="3">
        <f t="shared" si="60"/>
        <v>2553768</v>
      </c>
    </row>
    <row r="286" spans="2:22" x14ac:dyDescent="0.45">
      <c r="B286" s="44"/>
    </row>
    <row r="287" spans="2:22" x14ac:dyDescent="0.45">
      <c r="B287" s="44" t="s">
        <v>202</v>
      </c>
      <c r="C287" s="3">
        <f>SUM(C284:C285)*C$128</f>
        <v>13159696.23487992</v>
      </c>
      <c r="D287" s="3">
        <f t="shared" ref="D287:V287" si="61">SUM(D284:D285)*D$128</f>
        <v>31249048.089636028</v>
      </c>
      <c r="E287" s="3">
        <f t="shared" si="61"/>
        <v>50343034.974639311</v>
      </c>
      <c r="F287" s="3">
        <f t="shared" si="61"/>
        <v>70208781.886074632</v>
      </c>
      <c r="G287" s="3">
        <f t="shared" si="61"/>
        <v>96796062.863491684</v>
      </c>
      <c r="H287" s="3">
        <f t="shared" si="61"/>
        <v>130807337.67252314</v>
      </c>
      <c r="I287" s="3">
        <f t="shared" si="61"/>
        <v>166992956.74577081</v>
      </c>
      <c r="J287" s="3">
        <f t="shared" si="61"/>
        <v>197906460.33863166</v>
      </c>
      <c r="K287" s="3">
        <f t="shared" si="61"/>
        <v>225725232.61424014</v>
      </c>
      <c r="L287" s="3">
        <f t="shared" si="61"/>
        <v>247550957.00380564</v>
      </c>
      <c r="M287" s="3">
        <f t="shared" si="61"/>
        <v>256379119.92092243</v>
      </c>
      <c r="N287" s="3">
        <f t="shared" si="61"/>
        <v>260770739.18223664</v>
      </c>
      <c r="O287" s="3">
        <f t="shared" si="61"/>
        <v>259450211.66590962</v>
      </c>
      <c r="P287" s="3">
        <f t="shared" si="61"/>
        <v>252135683.4299776</v>
      </c>
      <c r="Q287" s="3">
        <f t="shared" si="61"/>
        <v>240405905.17001635</v>
      </c>
      <c r="R287" s="3">
        <f t="shared" si="61"/>
        <v>227265687.7183581</v>
      </c>
      <c r="S287" s="3">
        <f t="shared" si="61"/>
        <v>212441069.64555645</v>
      </c>
      <c r="T287" s="3">
        <f t="shared" si="61"/>
        <v>196814070.47473681</v>
      </c>
      <c r="U287" s="3">
        <f t="shared" si="61"/>
        <v>182538195.8858175</v>
      </c>
      <c r="V287" s="3">
        <f t="shared" si="61"/>
        <v>169298869.43283632</v>
      </c>
    </row>
    <row r="288" spans="2:22" x14ac:dyDescent="0.45">
      <c r="B288" s="44" t="s">
        <v>203</v>
      </c>
      <c r="C288" s="124">
        <f>SUM(C287:V287)</f>
        <v>3488239120.9500608</v>
      </c>
    </row>
    <row r="289" spans="1:22" x14ac:dyDescent="0.45">
      <c r="B289" s="44"/>
    </row>
    <row r="290" spans="1:22" x14ac:dyDescent="0.45">
      <c r="B290" s="44"/>
    </row>
    <row r="291" spans="1:22" ht="15.75" x14ac:dyDescent="0.45">
      <c r="A291" s="62" t="s">
        <v>204</v>
      </c>
      <c r="B291" s="44"/>
    </row>
    <row r="292" spans="1:22" x14ac:dyDescent="0.45">
      <c r="A292" s="1" t="s">
        <v>205</v>
      </c>
    </row>
    <row r="293" spans="1:22" x14ac:dyDescent="0.45">
      <c r="C293" s="47">
        <v>1</v>
      </c>
      <c r="D293" s="47">
        <v>2</v>
      </c>
      <c r="E293" s="47">
        <v>3</v>
      </c>
      <c r="F293" s="47">
        <v>4</v>
      </c>
      <c r="G293" s="47">
        <v>5</v>
      </c>
      <c r="H293" s="47">
        <v>6</v>
      </c>
      <c r="I293" s="47">
        <v>7</v>
      </c>
      <c r="J293" s="47">
        <v>8</v>
      </c>
      <c r="K293" s="47">
        <v>9</v>
      </c>
      <c r="L293" s="47">
        <v>10</v>
      </c>
      <c r="M293" s="47">
        <v>11</v>
      </c>
      <c r="N293" s="47">
        <v>12</v>
      </c>
      <c r="O293" s="47">
        <v>13</v>
      </c>
      <c r="P293" s="47">
        <v>14</v>
      </c>
      <c r="Q293" s="47">
        <v>15</v>
      </c>
      <c r="R293" s="47">
        <v>16</v>
      </c>
      <c r="S293" s="47">
        <v>17</v>
      </c>
      <c r="T293" s="47">
        <v>18</v>
      </c>
      <c r="U293" s="47">
        <v>19</v>
      </c>
      <c r="V293" s="47">
        <v>20</v>
      </c>
    </row>
    <row r="294" spans="1:22" x14ac:dyDescent="0.45">
      <c r="C294" s="17" t="s">
        <v>5</v>
      </c>
      <c r="D294" s="17" t="s">
        <v>6</v>
      </c>
      <c r="E294" s="58" t="s">
        <v>7</v>
      </c>
      <c r="F294" s="58" t="s">
        <v>8</v>
      </c>
      <c r="G294" s="17" t="s">
        <v>9</v>
      </c>
      <c r="H294" s="17" t="s">
        <v>10</v>
      </c>
      <c r="I294" s="17" t="s">
        <v>11</v>
      </c>
      <c r="J294" s="17" t="s">
        <v>12</v>
      </c>
      <c r="K294" s="17" t="s">
        <v>13</v>
      </c>
      <c r="L294" s="17" t="s">
        <v>14</v>
      </c>
      <c r="M294" s="17" t="s">
        <v>49</v>
      </c>
      <c r="N294" s="17" t="s">
        <v>50</v>
      </c>
      <c r="O294" s="17" t="s">
        <v>51</v>
      </c>
      <c r="P294" s="17" t="s">
        <v>52</v>
      </c>
      <c r="Q294" s="17" t="s">
        <v>53</v>
      </c>
      <c r="R294" s="17" t="s">
        <v>54</v>
      </c>
      <c r="S294" s="17" t="s">
        <v>55</v>
      </c>
      <c r="T294" s="17" t="s">
        <v>56</v>
      </c>
      <c r="U294" s="17" t="s">
        <v>57</v>
      </c>
      <c r="V294" s="17" t="s">
        <v>58</v>
      </c>
    </row>
    <row r="295" spans="1:22" x14ac:dyDescent="0.45">
      <c r="B295" s="44" t="s">
        <v>235</v>
      </c>
      <c r="C295" s="67">
        <f>'[3]Copper Weighted Price'!Y6/months_in_year</f>
        <v>12.163732019909157</v>
      </c>
      <c r="D295" s="67">
        <f>'[3]Copper Weighted Price'!Z6/months_in_year</f>
        <v>12.501632724701699</v>
      </c>
      <c r="E295" s="67">
        <f>'[3]Copper Weighted Price'!AA6/months_in_year</f>
        <v>12.770153946984095</v>
      </c>
      <c r="F295" s="67">
        <f>'[3]Copper Weighted Price'!AB6/months_in_year</f>
        <v>13.05404076093418</v>
      </c>
      <c r="G295" s="67">
        <f>'[3]Copper Weighted Price'!AC6/months_in_year</f>
        <v>13.326315120806177</v>
      </c>
      <c r="H295" s="67">
        <f>'[3]Copper Weighted Price'!AD6/months_in_year</f>
        <v>13.346517368370764</v>
      </c>
      <c r="I295" s="67">
        <f>'[3]Copper Weighted Price'!AE6/months_in_year</f>
        <v>13.345946932564836</v>
      </c>
      <c r="J295" s="67">
        <f>'[3]Copper Weighted Price'!AF6/months_in_year</f>
        <v>13.333699465508326</v>
      </c>
      <c r="K295" s="67">
        <f>'[3]Copper Weighted Price'!AG6/months_in_year</f>
        <v>13.299722488006552</v>
      </c>
      <c r="L295" s="67">
        <f>'[3]Copper Weighted Price'!AH6/months_in_year</f>
        <v>13.22767893263554</v>
      </c>
      <c r="M295" s="67">
        <f>L295</f>
        <v>13.22767893263554</v>
      </c>
      <c r="N295" s="67">
        <f t="shared" ref="N295:V295" si="62">M295</f>
        <v>13.22767893263554</v>
      </c>
      <c r="O295" s="67">
        <f t="shared" si="62"/>
        <v>13.22767893263554</v>
      </c>
      <c r="P295" s="67">
        <f t="shared" si="62"/>
        <v>13.22767893263554</v>
      </c>
      <c r="Q295" s="67">
        <f t="shared" si="62"/>
        <v>13.22767893263554</v>
      </c>
      <c r="R295" s="67">
        <f t="shared" si="62"/>
        <v>13.22767893263554</v>
      </c>
      <c r="S295" s="67">
        <f t="shared" si="62"/>
        <v>13.22767893263554</v>
      </c>
      <c r="T295" s="67">
        <f t="shared" si="62"/>
        <v>13.22767893263554</v>
      </c>
      <c r="U295" s="67">
        <f t="shared" si="62"/>
        <v>13.22767893263554</v>
      </c>
      <c r="V295" s="67">
        <f t="shared" si="62"/>
        <v>13.22767893263554</v>
      </c>
    </row>
    <row r="296" spans="1:22" x14ac:dyDescent="0.45">
      <c r="B296" s="44" t="s">
        <v>173</v>
      </c>
      <c r="C296" s="3">
        <f t="shared" ref="C296:V296" si="63">C$185</f>
        <v>8216780.1699065296</v>
      </c>
      <c r="D296" s="3">
        <f t="shared" si="63"/>
        <v>7832834.4963622466</v>
      </c>
      <c r="E296" s="3">
        <f t="shared" si="63"/>
        <v>7447035.1107443366</v>
      </c>
      <c r="F296" s="3">
        <f t="shared" si="63"/>
        <v>6984820.6996061625</v>
      </c>
      <c r="G296" s="3">
        <f t="shared" si="63"/>
        <v>6442873.1686797086</v>
      </c>
      <c r="H296" s="3">
        <f t="shared" si="63"/>
        <v>5887071.3019443322</v>
      </c>
      <c r="I296" s="3">
        <f t="shared" si="63"/>
        <v>5312777.6039058957</v>
      </c>
      <c r="J296" s="3">
        <f t="shared" si="63"/>
        <v>4696800.1107768668</v>
      </c>
      <c r="K296" s="3">
        <f t="shared" si="63"/>
        <v>4045973.7954985043</v>
      </c>
      <c r="L296" s="3">
        <f>L$185</f>
        <v>3364298.1312035136</v>
      </c>
      <c r="M296" s="3">
        <f t="shared" si="63"/>
        <v>2527786.9147202354</v>
      </c>
      <c r="N296" s="3">
        <f t="shared" si="63"/>
        <v>1808405.940029504</v>
      </c>
      <c r="O296" s="3">
        <f t="shared" si="63"/>
        <v>1073148.789961711</v>
      </c>
      <c r="P296" s="3">
        <f t="shared" si="63"/>
        <v>397401.32582072308</v>
      </c>
      <c r="Q296" s="3">
        <f t="shared" si="63"/>
        <v>294084.36911281518</v>
      </c>
      <c r="R296" s="3">
        <f t="shared" si="63"/>
        <v>0</v>
      </c>
      <c r="S296" s="3">
        <f t="shared" si="63"/>
        <v>0</v>
      </c>
      <c r="T296" s="3">
        <f t="shared" si="63"/>
        <v>0</v>
      </c>
      <c r="U296" s="3">
        <f t="shared" si="63"/>
        <v>0</v>
      </c>
      <c r="V296" s="3">
        <f t="shared" si="63"/>
        <v>0</v>
      </c>
    </row>
    <row r="297" spans="1:22" x14ac:dyDescent="0.45">
      <c r="B297" s="44" t="s">
        <v>236</v>
      </c>
      <c r="C297" s="3">
        <f>C295*C296*months_in_year*(1+'Total costs and revenues 2026'!$W$304)</f>
        <v>1211769533.4140379</v>
      </c>
      <c r="D297" s="3">
        <f>D295*D296*months_in_year*(1+'Total costs and revenues 2026'!$W$304)</f>
        <v>1187236400.8097103</v>
      </c>
      <c r="E297" s="3">
        <f>E295*E296*months_in_year*(1+'Total costs and revenues 2026'!$W$304)</f>
        <v>1153004631.1977682</v>
      </c>
      <c r="F297" s="3">
        <f>F295*F296*months_in_year*(1+'Total costs and revenues 2026'!$W$304)</f>
        <v>1105482174.5505238</v>
      </c>
      <c r="G297" s="3">
        <f>G295*G296*months_in_year*(1+'Total costs and revenues 2026'!$W$304)</f>
        <v>1040977105.7986362</v>
      </c>
      <c r="H297" s="3">
        <f>H295*H296*months_in_year*(1+'Total costs and revenues 2026'!$W$304)</f>
        <v>952617969.07056785</v>
      </c>
      <c r="I297" s="3">
        <f>I295*I296*months_in_year*(1+'Total costs and revenues 2026'!$W$304)</f>
        <v>859651741.97478533</v>
      </c>
      <c r="J297" s="3">
        <f>J295*J296*months_in_year*(1+'Total costs and revenues 2026'!$W$304)</f>
        <v>759284015.55568051</v>
      </c>
      <c r="K297" s="3">
        <f>K295*K296*months_in_year*(1+'Total costs and revenues 2026'!$W$304)</f>
        <v>652404821.83407092</v>
      </c>
      <c r="L297" s="3">
        <f>L295*L296*months_in_year*(1+'Total costs and revenues 2026'!$W$304)</f>
        <v>539547440.66609716</v>
      </c>
      <c r="M297" s="3">
        <f>M295*M296*months_in_year*(1+'Total costs and revenues 2026'!$W$304)</f>
        <v>405392419.81466657</v>
      </c>
      <c r="N297" s="3">
        <f>N295*N296*months_in_year*(1+'Total costs and revenues 2026'!$W$304)</f>
        <v>290022096.3114351</v>
      </c>
      <c r="O297" s="3">
        <f>O295*O296*months_in_year*(1+'Total costs and revenues 2026'!$W$304)</f>
        <v>172105640.01669759</v>
      </c>
      <c r="P297" s="3">
        <f>P295*P296*months_in_year*(1+'Total costs and revenues 2026'!$W$304)</f>
        <v>63733016.487210482</v>
      </c>
      <c r="Q297" s="3">
        <f>Q295*Q296*months_in_year*(1+'Total costs and revenues 2026'!$W$304)</f>
        <v>47163617.047803439</v>
      </c>
      <c r="R297" s="3">
        <f>R295*R296*months_in_year*(1+'Total costs and revenues 2026'!$W$304)</f>
        <v>0</v>
      </c>
      <c r="S297" s="3">
        <f>S295*S296*months_in_year*(1+'Total costs and revenues 2026'!$W$304)</f>
        <v>0</v>
      </c>
      <c r="T297" s="3">
        <f>T295*T296*months_in_year*(1+'Total costs and revenues 2026'!$W$304)</f>
        <v>0</v>
      </c>
      <c r="U297" s="3">
        <f>U295*U296*months_in_year*(1+'Total costs and revenues 2026'!$W$304)</f>
        <v>0</v>
      </c>
      <c r="V297" s="3">
        <f>V295*V296*months_in_year*(1+'Total costs and revenues 2026'!$W$304)</f>
        <v>0</v>
      </c>
    </row>
    <row r="298" spans="1:22" x14ac:dyDescent="0.45">
      <c r="B298" s="44"/>
    </row>
    <row r="299" spans="1:22" x14ac:dyDescent="0.45">
      <c r="B299" s="44" t="s">
        <v>216</v>
      </c>
      <c r="C299" s="3">
        <f>C297*C$129*$H$8</f>
        <v>584298137.10403979</v>
      </c>
      <c r="D299" s="3">
        <f t="shared" ref="D299:V299" si="64">D297*D$129*$H$8</f>
        <v>535017390.10266411</v>
      </c>
      <c r="E299" s="3">
        <f t="shared" si="64"/>
        <v>485599206.97808009</v>
      </c>
      <c r="F299" s="3">
        <f t="shared" si="64"/>
        <v>435125848.92357779</v>
      </c>
      <c r="G299" s="3">
        <f t="shared" si="64"/>
        <v>382931012.39957738</v>
      </c>
      <c r="H299" s="3">
        <f t="shared" si="64"/>
        <v>327502299.26567674</v>
      </c>
      <c r="I299" s="3">
        <f t="shared" si="64"/>
        <v>276206792.09737271</v>
      </c>
      <c r="J299" s="3">
        <f t="shared" si="64"/>
        <v>227998655.45995805</v>
      </c>
      <c r="K299" s="3">
        <f t="shared" si="64"/>
        <v>183088646.11398083</v>
      </c>
      <c r="L299" s="3">
        <f t="shared" si="64"/>
        <v>141510970.73555818</v>
      </c>
      <c r="M299" s="3">
        <f t="shared" si="64"/>
        <v>99369320.363767728</v>
      </c>
      <c r="N299" s="3">
        <f t="shared" si="64"/>
        <v>66439140.471417487</v>
      </c>
      <c r="O299" s="3">
        <f t="shared" si="64"/>
        <v>36847178.901644312</v>
      </c>
      <c r="P299" s="3">
        <f t="shared" si="64"/>
        <v>12752338.633834191</v>
      </c>
      <c r="Q299" s="3">
        <f t="shared" si="64"/>
        <v>8819595.9487058762</v>
      </c>
      <c r="R299" s="3">
        <f t="shared" si="64"/>
        <v>0</v>
      </c>
      <c r="S299" s="3">
        <f t="shared" si="64"/>
        <v>0</v>
      </c>
      <c r="T299" s="3">
        <f t="shared" si="64"/>
        <v>0</v>
      </c>
      <c r="U299" s="3">
        <f t="shared" si="64"/>
        <v>0</v>
      </c>
      <c r="V299" s="3">
        <f t="shared" si="64"/>
        <v>0</v>
      </c>
    </row>
    <row r="300" spans="1:22" x14ac:dyDescent="0.45">
      <c r="B300" s="44" t="s">
        <v>217</v>
      </c>
      <c r="C300" s="124">
        <f>SUM(C299:V299)</f>
        <v>3803506533.4998546</v>
      </c>
    </row>
    <row r="301" spans="1:22" x14ac:dyDescent="0.45">
      <c r="B301" s="44"/>
    </row>
    <row r="302" spans="1:22" x14ac:dyDescent="0.45">
      <c r="B302" s="44"/>
      <c r="C302" s="47">
        <v>1</v>
      </c>
      <c r="D302" s="47">
        <v>2</v>
      </c>
      <c r="E302" s="47">
        <v>3</v>
      </c>
      <c r="F302" s="47">
        <v>4</v>
      </c>
      <c r="G302" s="47">
        <v>5</v>
      </c>
      <c r="H302" s="47">
        <v>6</v>
      </c>
      <c r="I302" s="47">
        <v>7</v>
      </c>
      <c r="J302" s="47">
        <v>8</v>
      </c>
      <c r="K302" s="47">
        <v>9</v>
      </c>
      <c r="L302" s="47">
        <v>10</v>
      </c>
      <c r="M302" s="47">
        <v>11</v>
      </c>
      <c r="N302" s="47">
        <v>12</v>
      </c>
      <c r="O302" s="47">
        <v>13</v>
      </c>
      <c r="P302" s="47">
        <v>14</v>
      </c>
      <c r="Q302" s="47">
        <v>15</v>
      </c>
      <c r="R302" s="47">
        <v>16</v>
      </c>
      <c r="S302" s="47">
        <v>17</v>
      </c>
      <c r="T302" s="47">
        <v>18</v>
      </c>
      <c r="U302" s="47">
        <v>19</v>
      </c>
      <c r="V302" s="47">
        <v>20</v>
      </c>
    </row>
    <row r="303" spans="1:22" x14ac:dyDescent="0.45">
      <c r="B303" s="44"/>
      <c r="C303" s="17" t="s">
        <v>5</v>
      </c>
      <c r="D303" s="17" t="s">
        <v>6</v>
      </c>
      <c r="E303" s="58" t="s">
        <v>7</v>
      </c>
      <c r="F303" s="58" t="s">
        <v>8</v>
      </c>
      <c r="G303" s="17" t="s">
        <v>9</v>
      </c>
      <c r="H303" s="17" t="s">
        <v>10</v>
      </c>
      <c r="I303" s="17" t="s">
        <v>11</v>
      </c>
      <c r="J303" s="17" t="s">
        <v>12</v>
      </c>
      <c r="K303" s="17" t="s">
        <v>13</v>
      </c>
      <c r="L303" s="17" t="s">
        <v>14</v>
      </c>
      <c r="M303" s="17" t="s">
        <v>49</v>
      </c>
      <c r="N303" s="17" t="s">
        <v>50</v>
      </c>
      <c r="O303" s="17" t="s">
        <v>51</v>
      </c>
      <c r="P303" s="17" t="s">
        <v>52</v>
      </c>
      <c r="Q303" s="17" t="s">
        <v>53</v>
      </c>
      <c r="R303" s="17" t="s">
        <v>54</v>
      </c>
      <c r="S303" s="17" t="s">
        <v>55</v>
      </c>
      <c r="T303" s="17" t="s">
        <v>56</v>
      </c>
      <c r="U303" s="17" t="s">
        <v>57</v>
      </c>
      <c r="V303" s="17" t="s">
        <v>58</v>
      </c>
    </row>
    <row r="304" spans="1:22" x14ac:dyDescent="0.45">
      <c r="B304" s="44" t="s">
        <v>218</v>
      </c>
      <c r="C304" s="67">
        <f>'[3]Copper Weighted Price'!Y7/months_in_year</f>
        <v>12.163732019909157</v>
      </c>
      <c r="D304" s="67">
        <f>'[3]Copper Weighted Price'!Z7/months_in_year</f>
        <v>12.501632724701699</v>
      </c>
      <c r="E304" s="67">
        <f>'[3]Copper Weighted Price'!AA7/months_in_year</f>
        <v>12.770153946984095</v>
      </c>
      <c r="F304" s="67">
        <f>'[3]Copper Weighted Price'!AB7/months_in_year</f>
        <v>13.05404076093418</v>
      </c>
      <c r="G304" s="67">
        <f>'[3]Copper Weighted Price'!AC7/months_in_year</f>
        <v>13.326315120806177</v>
      </c>
      <c r="H304" s="67">
        <f>'[3]Copper Weighted Price'!AD7/months_in_year</f>
        <v>13.613447715738181</v>
      </c>
      <c r="I304" s="67">
        <f>'[3]Copper Weighted Price'!AE7/months_in_year</f>
        <v>13.885123188640454</v>
      </c>
      <c r="J304" s="67">
        <f>'[3]Copper Weighted Price'!AF7/months_in_year</f>
        <v>14.149828542393161</v>
      </c>
      <c r="K304" s="67">
        <f>'[3]Copper Weighted Price'!AG7/months_in_year</f>
        <v>14.39604734009351</v>
      </c>
      <c r="L304" s="67">
        <f>'[3]Copper Weighted Price'!AH7/months_in_year</f>
        <v>14.604426380415967</v>
      </c>
      <c r="M304" s="67">
        <f>L304</f>
        <v>14.604426380415967</v>
      </c>
      <c r="N304" s="67">
        <f t="shared" ref="N304:V304" si="65">M304</f>
        <v>14.604426380415967</v>
      </c>
      <c r="O304" s="67">
        <f t="shared" si="65"/>
        <v>14.604426380415967</v>
      </c>
      <c r="P304" s="67">
        <f t="shared" si="65"/>
        <v>14.604426380415967</v>
      </c>
      <c r="Q304" s="67">
        <f t="shared" si="65"/>
        <v>14.604426380415967</v>
      </c>
      <c r="R304" s="67">
        <f t="shared" si="65"/>
        <v>14.604426380415967</v>
      </c>
      <c r="S304" s="67">
        <f t="shared" si="65"/>
        <v>14.604426380415967</v>
      </c>
      <c r="T304" s="67">
        <f t="shared" si="65"/>
        <v>14.604426380415967</v>
      </c>
      <c r="U304" s="67">
        <f t="shared" si="65"/>
        <v>14.604426380415967</v>
      </c>
      <c r="V304" s="67">
        <f t="shared" si="65"/>
        <v>14.604426380415967</v>
      </c>
    </row>
    <row r="305" spans="1:22" x14ac:dyDescent="0.45">
      <c r="B305" s="44" t="s">
        <v>173</v>
      </c>
      <c r="C305" s="3">
        <f t="shared" ref="C305:V305" si="66">C$185</f>
        <v>8216780.1699065296</v>
      </c>
      <c r="D305" s="3">
        <f t="shared" si="66"/>
        <v>7832834.4963622466</v>
      </c>
      <c r="E305" s="3">
        <f t="shared" si="66"/>
        <v>7447035.1107443366</v>
      </c>
      <c r="F305" s="3">
        <f t="shared" si="66"/>
        <v>6984820.6996061625</v>
      </c>
      <c r="G305" s="3">
        <f t="shared" si="66"/>
        <v>6442873.1686797086</v>
      </c>
      <c r="H305" s="3">
        <f t="shared" si="66"/>
        <v>5887071.3019443322</v>
      </c>
      <c r="I305" s="3">
        <f t="shared" si="66"/>
        <v>5312777.6039058957</v>
      </c>
      <c r="J305" s="3">
        <f t="shared" si="66"/>
        <v>4696800.1107768668</v>
      </c>
      <c r="K305" s="3">
        <f t="shared" si="66"/>
        <v>4045973.7954985043</v>
      </c>
      <c r="L305" s="3">
        <f t="shared" si="66"/>
        <v>3364298.1312035136</v>
      </c>
      <c r="M305" s="3">
        <f t="shared" si="66"/>
        <v>2527786.9147202354</v>
      </c>
      <c r="N305" s="3">
        <f t="shared" si="66"/>
        <v>1808405.940029504</v>
      </c>
      <c r="O305" s="3">
        <f t="shared" si="66"/>
        <v>1073148.789961711</v>
      </c>
      <c r="P305" s="3">
        <f t="shared" si="66"/>
        <v>397401.32582072308</v>
      </c>
      <c r="Q305" s="3">
        <f t="shared" si="66"/>
        <v>294084.36911281518</v>
      </c>
      <c r="R305" s="3">
        <f t="shared" si="66"/>
        <v>0</v>
      </c>
      <c r="S305" s="3">
        <f t="shared" si="66"/>
        <v>0</v>
      </c>
      <c r="T305" s="3">
        <f t="shared" si="66"/>
        <v>0</v>
      </c>
      <c r="U305" s="3">
        <f t="shared" si="66"/>
        <v>0</v>
      </c>
      <c r="V305" s="3">
        <f t="shared" si="66"/>
        <v>0</v>
      </c>
    </row>
    <row r="306" spans="1:22" x14ac:dyDescent="0.45">
      <c r="B306" s="44" t="s">
        <v>237</v>
      </c>
      <c r="C306" s="3">
        <f>C304*C305*months_in_year*(1+'Total costs and revenues 2026'!$W$320)</f>
        <v>1211769533.4140379</v>
      </c>
      <c r="D306" s="3">
        <f>D304*D305*months_in_year*(1+'Total costs and revenues 2026'!$W$320)</f>
        <v>1187236400.8097103</v>
      </c>
      <c r="E306" s="3">
        <f>E304*E305*months_in_year*(1+'Total costs and revenues 2026'!$W$320)</f>
        <v>1153004631.1977682</v>
      </c>
      <c r="F306" s="3">
        <f>F304*F305*months_in_year*(1+'Total costs and revenues 2026'!$W$320)</f>
        <v>1105482174.5505238</v>
      </c>
      <c r="G306" s="3">
        <f>G304*G305*months_in_year*(1+'Total costs and revenues 2026'!$W$320)</f>
        <v>1040977105.7986362</v>
      </c>
      <c r="H306" s="3">
        <f>H304*H305*months_in_year*(1+'Total costs and revenues 2026'!$W$320)</f>
        <v>971670328.45197928</v>
      </c>
      <c r="I306" s="3">
        <f>I304*I305*months_in_year*(1+'Total costs and revenues 2026'!$W$320)</f>
        <v>894381672.35056651</v>
      </c>
      <c r="J306" s="3">
        <f>J304*J305*months_in_year*(1+'Total costs and revenues 2026'!$W$320)</f>
        <v>805758271.57981265</v>
      </c>
      <c r="K306" s="3">
        <f>K304*K305*months_in_year*(1+'Total costs and revenues 2026'!$W$320)</f>
        <v>706183960.4922688</v>
      </c>
      <c r="L306" s="3">
        <f>L304*L305*months_in_year*(1+'Total costs and revenues 2026'!$W$320)</f>
        <v>595703971.65512908</v>
      </c>
      <c r="M306" s="3">
        <f>M304*M305*months_in_year*(1+'Total costs and revenues 2026'!$W$320)</f>
        <v>447585988.4801687</v>
      </c>
      <c r="N306" s="3">
        <f>N304*N305*months_in_year*(1+'Total costs and revenues 2026'!$W$320)</f>
        <v>320207829.04127711</v>
      </c>
      <c r="O306" s="3">
        <f>O304*O305*months_in_year*(1+'Total costs and revenues 2026'!$W$320)</f>
        <v>190018533.26488554</v>
      </c>
      <c r="P306" s="3">
        <f>P304*P305*months_in_year*(1+'Total costs and revenues 2026'!$W$320)</f>
        <v>70366400.03355819</v>
      </c>
      <c r="Q306" s="3">
        <f>Q304*Q305*months_in_year*(1+'Total costs and revenues 2026'!$W$320)</f>
        <v>52072444.191956043</v>
      </c>
      <c r="R306" s="3">
        <f>R304*R305*months_in_year*(1+'Total costs and revenues 2026'!$W$320)</f>
        <v>0</v>
      </c>
      <c r="S306" s="3">
        <f>S304*S305*months_in_year*(1+'Total costs and revenues 2026'!$W$320)</f>
        <v>0</v>
      </c>
      <c r="T306" s="3">
        <f>T304*T305*months_in_year*(1+'Total costs and revenues 2026'!$W$320)</f>
        <v>0</v>
      </c>
      <c r="U306" s="3">
        <f>U304*U305*months_in_year*(1+'Total costs and revenues 2026'!$W$320)</f>
        <v>0</v>
      </c>
      <c r="V306" s="3">
        <f>V304*V305*months_in_year*(1+'Total costs and revenues 2026'!$W$320)</f>
        <v>0</v>
      </c>
    </row>
    <row r="307" spans="1:22" x14ac:dyDescent="0.45">
      <c r="B307" s="44"/>
    </row>
    <row r="308" spans="1:22" x14ac:dyDescent="0.45">
      <c r="B308" s="44" t="s">
        <v>238</v>
      </c>
      <c r="C308" s="3">
        <f>C306*C$129*$H$8</f>
        <v>584298137.10403979</v>
      </c>
      <c r="D308" s="3">
        <f t="shared" ref="D308:V308" si="67">D306*D$129*$H$8</f>
        <v>535017390.10266411</v>
      </c>
      <c r="E308" s="3">
        <f t="shared" si="67"/>
        <v>485599206.97808009</v>
      </c>
      <c r="F308" s="3">
        <f t="shared" si="67"/>
        <v>435125848.92357779</v>
      </c>
      <c r="G308" s="3">
        <f t="shared" si="67"/>
        <v>382931012.39957738</v>
      </c>
      <c r="H308" s="3">
        <f t="shared" si="67"/>
        <v>334052345.25099033</v>
      </c>
      <c r="I308" s="3">
        <f t="shared" si="67"/>
        <v>287365546.49810654</v>
      </c>
      <c r="J308" s="3">
        <f t="shared" si="67"/>
        <v>241953997.16335118</v>
      </c>
      <c r="K308" s="3">
        <f t="shared" si="67"/>
        <v>198181038.68463194</v>
      </c>
      <c r="L308" s="3">
        <f t="shared" si="67"/>
        <v>156239546.23132682</v>
      </c>
      <c r="M308" s="3">
        <f t="shared" si="67"/>
        <v>109711759.0406668</v>
      </c>
      <c r="N308" s="3">
        <f t="shared" si="67"/>
        <v>73354179.575600252</v>
      </c>
      <c r="O308" s="3">
        <f t="shared" si="67"/>
        <v>40682262.877381548</v>
      </c>
      <c r="P308" s="3">
        <f t="shared" si="67"/>
        <v>14079612.281522045</v>
      </c>
      <c r="Q308" s="3">
        <f t="shared" si="67"/>
        <v>9737546.57894665</v>
      </c>
      <c r="R308" s="3">
        <f t="shared" si="67"/>
        <v>0</v>
      </c>
      <c r="S308" s="3">
        <f t="shared" si="67"/>
        <v>0</v>
      </c>
      <c r="T308" s="3">
        <f t="shared" si="67"/>
        <v>0</v>
      </c>
      <c r="U308" s="3">
        <f t="shared" si="67"/>
        <v>0</v>
      </c>
      <c r="V308" s="3">
        <f t="shared" si="67"/>
        <v>0</v>
      </c>
    </row>
    <row r="309" spans="1:22" x14ac:dyDescent="0.45">
      <c r="B309" s="44" t="s">
        <v>225</v>
      </c>
      <c r="C309" s="124">
        <f>SUM(C308:V308)</f>
        <v>3888329429.6904626</v>
      </c>
    </row>
    <row r="310" spans="1:22" x14ac:dyDescent="0.45">
      <c r="B310" s="44"/>
    </row>
    <row r="311" spans="1:22" x14ac:dyDescent="0.45">
      <c r="B311" s="44"/>
    </row>
    <row r="312" spans="1:22" x14ac:dyDescent="0.45">
      <c r="B312" s="44"/>
    </row>
    <row r="313" spans="1:22" x14ac:dyDescent="0.45">
      <c r="B313" s="44"/>
    </row>
    <row r="314" spans="1:22" ht="21" x14ac:dyDescent="0.45">
      <c r="A314" s="82" t="s">
        <v>226</v>
      </c>
      <c r="B314" s="44"/>
    </row>
    <row r="315" spans="1:22" ht="15" customHeight="1" x14ac:dyDescent="0.45">
      <c r="A315" s="82"/>
      <c r="B315" s="44"/>
    </row>
    <row r="316" spans="1:22" ht="15" customHeight="1" x14ac:dyDescent="0.5">
      <c r="A316" s="57" t="s">
        <v>227</v>
      </c>
      <c r="B316" s="44"/>
    </row>
    <row r="317" spans="1:22" x14ac:dyDescent="0.45">
      <c r="C317" s="47">
        <v>1</v>
      </c>
      <c r="D317" s="47">
        <v>2</v>
      </c>
      <c r="E317" s="47">
        <v>3</v>
      </c>
      <c r="F317" s="47">
        <v>4</v>
      </c>
      <c r="G317" s="47">
        <v>5</v>
      </c>
      <c r="H317" s="47">
        <v>6</v>
      </c>
      <c r="I317" s="47">
        <v>7</v>
      </c>
      <c r="J317" s="47">
        <v>8</v>
      </c>
      <c r="K317" s="47">
        <v>9</v>
      </c>
      <c r="L317" s="47">
        <v>10</v>
      </c>
      <c r="M317" s="47">
        <v>11</v>
      </c>
      <c r="N317" s="47">
        <v>12</v>
      </c>
      <c r="O317" s="47">
        <v>13</v>
      </c>
      <c r="P317" s="47">
        <v>14</v>
      </c>
      <c r="Q317" s="47">
        <v>15</v>
      </c>
      <c r="R317" s="47">
        <v>16</v>
      </c>
      <c r="S317" s="47">
        <v>17</v>
      </c>
      <c r="T317" s="47">
        <v>18</v>
      </c>
      <c r="U317" s="47">
        <v>19</v>
      </c>
      <c r="V317" s="47">
        <v>20</v>
      </c>
    </row>
    <row r="318" spans="1:22" x14ac:dyDescent="0.45">
      <c r="C318" s="17" t="s">
        <v>5</v>
      </c>
      <c r="D318" s="17" t="s">
        <v>6</v>
      </c>
      <c r="E318" s="58" t="s">
        <v>7</v>
      </c>
      <c r="F318" s="58" t="s">
        <v>8</v>
      </c>
      <c r="G318" s="17" t="s">
        <v>9</v>
      </c>
      <c r="H318" s="17" t="s">
        <v>10</v>
      </c>
      <c r="I318" s="17" t="s">
        <v>11</v>
      </c>
      <c r="J318" s="17" t="s">
        <v>12</v>
      </c>
      <c r="K318" s="17" t="s">
        <v>13</v>
      </c>
      <c r="L318" s="17" t="s">
        <v>14</v>
      </c>
      <c r="M318" s="17" t="s">
        <v>49</v>
      </c>
      <c r="N318" s="17" t="s">
        <v>50</v>
      </c>
      <c r="O318" s="17" t="s">
        <v>51</v>
      </c>
      <c r="P318" s="17" t="s">
        <v>52</v>
      </c>
      <c r="Q318" s="17" t="s">
        <v>53</v>
      </c>
      <c r="R318" s="17" t="s">
        <v>54</v>
      </c>
      <c r="S318" s="17" t="s">
        <v>55</v>
      </c>
      <c r="T318" s="17" t="s">
        <v>56</v>
      </c>
      <c r="U318" s="17" t="s">
        <v>57</v>
      </c>
      <c r="V318" s="17" t="s">
        <v>58</v>
      </c>
    </row>
    <row r="319" spans="1:22" x14ac:dyDescent="0.45">
      <c r="B319" s="44" t="s">
        <v>87</v>
      </c>
      <c r="C319" s="87">
        <f>C238+C299</f>
        <v>596643619.53891969</v>
      </c>
      <c r="D319" s="87">
        <f t="shared" ref="D319:V319" si="68">D238+D299</f>
        <v>564299150.64718771</v>
      </c>
      <c r="E319" s="87">
        <f t="shared" si="68"/>
        <v>532785384.68712056</v>
      </c>
      <c r="F319" s="87">
        <f t="shared" si="68"/>
        <v>501015168.40220582</v>
      </c>
      <c r="G319" s="87">
        <f t="shared" si="68"/>
        <v>473943412.67816126</v>
      </c>
      <c r="H319" s="87">
        <f t="shared" si="68"/>
        <v>448704419.86341059</v>
      </c>
      <c r="I319" s="87">
        <f t="shared" si="68"/>
        <v>428614112.9013328</v>
      </c>
      <c r="J319" s="87">
        <f t="shared" si="68"/>
        <v>405820556.47446424</v>
      </c>
      <c r="K319" s="87">
        <f t="shared" si="68"/>
        <v>382766382.38110471</v>
      </c>
      <c r="L319" s="87">
        <f t="shared" si="68"/>
        <v>357051311.17580098</v>
      </c>
      <c r="M319" s="87">
        <f t="shared" si="68"/>
        <v>322432449.7891804</v>
      </c>
      <c r="N319" s="87">
        <f t="shared" si="68"/>
        <v>293240449.16519046</v>
      </c>
      <c r="O319" s="87">
        <f t="shared" si="68"/>
        <v>262410989.93527868</v>
      </c>
      <c r="P319" s="87">
        <f t="shared" si="68"/>
        <v>231863065.79749945</v>
      </c>
      <c r="Q319" s="87">
        <f t="shared" si="68"/>
        <v>217659474.45062518</v>
      </c>
      <c r="R319" s="87">
        <f t="shared" si="68"/>
        <v>197384832.67511389</v>
      </c>
      <c r="S319" s="87">
        <f t="shared" si="68"/>
        <v>184466933.55320168</v>
      </c>
      <c r="T319" s="87">
        <f t="shared" si="68"/>
        <v>170864036.99388823</v>
      </c>
      <c r="U319" s="87">
        <f t="shared" si="68"/>
        <v>158465808.61230305</v>
      </c>
      <c r="V319" s="87">
        <f t="shared" si="68"/>
        <v>146968268.99358359</v>
      </c>
    </row>
    <row r="320" spans="1:22" x14ac:dyDescent="0.45">
      <c r="B320" s="44" t="s">
        <v>88</v>
      </c>
      <c r="C320" s="87">
        <f>C278+C299</f>
        <v>597457833.33891976</v>
      </c>
      <c r="D320" s="87">
        <f t="shared" ref="D320:V320" si="69">D278+D299</f>
        <v>566266438.19230008</v>
      </c>
      <c r="E320" s="87">
        <f t="shared" si="69"/>
        <v>535942241.95271939</v>
      </c>
      <c r="F320" s="87">
        <f t="shared" si="69"/>
        <v>505334630.80965245</v>
      </c>
      <c r="G320" s="87">
        <f t="shared" si="69"/>
        <v>479727075.26306903</v>
      </c>
      <c r="H320" s="87">
        <f t="shared" si="69"/>
        <v>456414690.32559538</v>
      </c>
      <c r="I320" s="87">
        <f t="shared" si="69"/>
        <v>438361051.90617681</v>
      </c>
      <c r="J320" s="87">
        <f t="shared" si="69"/>
        <v>417288079.90575588</v>
      </c>
      <c r="K320" s="87">
        <f t="shared" si="69"/>
        <v>395729124.72073823</v>
      </c>
      <c r="L320" s="87">
        <f t="shared" si="69"/>
        <v>371167802.72408116</v>
      </c>
      <c r="M320" s="87">
        <f t="shared" si="69"/>
        <v>337124603.47883433</v>
      </c>
      <c r="N320" s="87">
        <f t="shared" si="69"/>
        <v>308220766.00595164</v>
      </c>
      <c r="O320" s="87">
        <f t="shared" si="69"/>
        <v>277354691.1032111</v>
      </c>
      <c r="P320" s="87">
        <f t="shared" si="69"/>
        <v>246426875.12275895</v>
      </c>
      <c r="Q320" s="87">
        <f t="shared" si="69"/>
        <v>231579904.4988299</v>
      </c>
      <c r="R320" s="87">
        <f t="shared" si="69"/>
        <v>210562112.05790111</v>
      </c>
      <c r="S320" s="87">
        <f t="shared" si="69"/>
        <v>196803361.21725586</v>
      </c>
      <c r="T320" s="87">
        <f t="shared" si="69"/>
        <v>182307847.44291809</v>
      </c>
      <c r="U320" s="87">
        <f t="shared" si="69"/>
        <v>169081588.24962199</v>
      </c>
      <c r="V320" s="87">
        <f t="shared" si="69"/>
        <v>156815930.99480709</v>
      </c>
    </row>
    <row r="321" spans="1:22" x14ac:dyDescent="0.45">
      <c r="B321" s="44" t="s">
        <v>89</v>
      </c>
      <c r="C321" s="87">
        <f t="shared" ref="C321:V321" si="70">C258+C299</f>
        <v>595829405.73891973</v>
      </c>
      <c r="D321" s="87">
        <f t="shared" si="70"/>
        <v>562331863.10207534</v>
      </c>
      <c r="E321" s="87">
        <f t="shared" si="70"/>
        <v>529628527.42152178</v>
      </c>
      <c r="F321" s="87">
        <f t="shared" si="70"/>
        <v>496695705.99475926</v>
      </c>
      <c r="G321" s="87">
        <f t="shared" si="70"/>
        <v>468159750.09325343</v>
      </c>
      <c r="H321" s="87">
        <f t="shared" si="70"/>
        <v>440994149.40122581</v>
      </c>
      <c r="I321" s="87">
        <f t="shared" si="70"/>
        <v>418867173.89648885</v>
      </c>
      <c r="J321" s="87">
        <f t="shared" si="70"/>
        <v>394353033.0431726</v>
      </c>
      <c r="K321" s="87">
        <f t="shared" si="70"/>
        <v>369803640.0414713</v>
      </c>
      <c r="L321" s="87">
        <f t="shared" si="70"/>
        <v>342934819.6275208</v>
      </c>
      <c r="M321" s="87">
        <f t="shared" si="70"/>
        <v>307740296.09952652</v>
      </c>
      <c r="N321" s="87">
        <f t="shared" si="70"/>
        <v>278260132.32442921</v>
      </c>
      <c r="O321" s="87">
        <f t="shared" si="70"/>
        <v>247467288.76734632</v>
      </c>
      <c r="P321" s="87">
        <f t="shared" si="70"/>
        <v>217299256.47224003</v>
      </c>
      <c r="Q321" s="87">
        <f t="shared" si="70"/>
        <v>203739044.40242049</v>
      </c>
      <c r="R321" s="87">
        <f t="shared" si="70"/>
        <v>184207553.29232666</v>
      </c>
      <c r="S321" s="87">
        <f t="shared" si="70"/>
        <v>172130505.88914752</v>
      </c>
      <c r="T321" s="87">
        <f t="shared" si="70"/>
        <v>159420226.5448584</v>
      </c>
      <c r="U321" s="87">
        <f t="shared" si="70"/>
        <v>147850028.97498408</v>
      </c>
      <c r="V321" s="87">
        <f t="shared" si="70"/>
        <v>137120606.99236006</v>
      </c>
    </row>
    <row r="322" spans="1:22" x14ac:dyDescent="0.45">
      <c r="B322" s="44"/>
      <c r="C322" s="1"/>
      <c r="D322" s="1"/>
      <c r="E322" s="1"/>
      <c r="F322" s="1"/>
      <c r="G322" s="1"/>
      <c r="H322" s="1"/>
      <c r="I322" s="1"/>
      <c r="J322" s="1"/>
      <c r="K322" s="1"/>
      <c r="L322" s="1"/>
      <c r="M322" s="1"/>
      <c r="N322" s="1"/>
      <c r="O322" s="1"/>
      <c r="P322" s="1"/>
      <c r="Q322" s="1"/>
      <c r="R322" s="1"/>
      <c r="S322" s="1"/>
      <c r="T322" s="1"/>
      <c r="U322" s="1"/>
      <c r="V322" s="1"/>
    </row>
    <row r="323" spans="1:22" x14ac:dyDescent="0.45">
      <c r="B323" s="44" t="s">
        <v>96</v>
      </c>
      <c r="C323" s="87">
        <f>SUM($C319:C319)</f>
        <v>596643619.53891969</v>
      </c>
      <c r="D323" s="87">
        <f>SUM($C319:D319)</f>
        <v>1160942770.1861074</v>
      </c>
      <c r="E323" s="87">
        <f>SUM($C319:E319)</f>
        <v>1693728154.8732281</v>
      </c>
      <c r="F323" s="87">
        <f>SUM($C319:F319)</f>
        <v>2194743323.275434</v>
      </c>
      <c r="G323" s="87">
        <f>SUM($C319:G319)</f>
        <v>2668686735.9535952</v>
      </c>
      <c r="H323" s="87">
        <f>SUM($C319:H319)</f>
        <v>3117391155.8170056</v>
      </c>
      <c r="I323" s="87">
        <f>SUM($C319:I319)</f>
        <v>3546005268.7183385</v>
      </c>
      <c r="J323" s="87">
        <f>SUM($C319:J319)</f>
        <v>3951825825.1928029</v>
      </c>
      <c r="K323" s="87">
        <f>SUM($C319:K319)</f>
        <v>4334592207.5739079</v>
      </c>
      <c r="L323" s="87">
        <f>SUM($C319:L319)</f>
        <v>4691643518.7497091</v>
      </c>
      <c r="M323" s="87">
        <f>SUM($C319:M319)</f>
        <v>5014075968.5388899</v>
      </c>
      <c r="N323" s="87">
        <f>SUM($C319:N319)</f>
        <v>5307316417.7040806</v>
      </c>
      <c r="O323" s="87">
        <f>SUM($C319:O319)</f>
        <v>5569727407.6393595</v>
      </c>
      <c r="P323" s="87">
        <f>SUM($C319:P319)</f>
        <v>5801590473.4368591</v>
      </c>
      <c r="Q323" s="87">
        <f>SUM($C319:Q319)</f>
        <v>6019249947.8874846</v>
      </c>
      <c r="R323" s="87">
        <f>SUM($C319:R319)</f>
        <v>6216634780.5625982</v>
      </c>
      <c r="S323" s="87">
        <f>SUM($C319:S319)</f>
        <v>6401101714.1157999</v>
      </c>
      <c r="T323" s="87">
        <f>SUM($C319:T319)</f>
        <v>6571965751.1096878</v>
      </c>
      <c r="U323" s="87">
        <f>SUM($C319:U319)</f>
        <v>6730431559.7219906</v>
      </c>
      <c r="V323" s="87">
        <f>SUM($C319:V319)</f>
        <v>6877399828.7155743</v>
      </c>
    </row>
    <row r="324" spans="1:22" x14ac:dyDescent="0.45">
      <c r="B324" s="44" t="s">
        <v>97</v>
      </c>
      <c r="C324" s="87"/>
      <c r="D324" s="87"/>
      <c r="E324" s="87"/>
      <c r="F324" s="87"/>
      <c r="G324" s="87">
        <f>SUM($C320:G320)</f>
        <v>2684728219.5566611</v>
      </c>
      <c r="H324" s="87">
        <f>SUM($C320:H320)</f>
        <v>3141142909.8822565</v>
      </c>
      <c r="I324" s="87">
        <f>SUM($C320:I320)</f>
        <v>3579503961.7884331</v>
      </c>
      <c r="J324" s="87">
        <f>SUM($C320:J320)</f>
        <v>3996792041.6941891</v>
      </c>
      <c r="K324" s="87">
        <f>SUM($C320:K320)</f>
        <v>4392521166.4149275</v>
      </c>
      <c r="L324" s="87">
        <f>SUM($C320:L320)</f>
        <v>4763688969.1390085</v>
      </c>
      <c r="M324" s="87">
        <f>SUM($C320:M320)</f>
        <v>5100813572.6178427</v>
      </c>
      <c r="N324" s="87">
        <f>SUM($C320:N320)</f>
        <v>5409034338.6237946</v>
      </c>
      <c r="O324" s="87">
        <f>SUM($C320:O320)</f>
        <v>5686389029.727006</v>
      </c>
      <c r="P324" s="87">
        <f>SUM($C320:P320)</f>
        <v>5932815904.8497648</v>
      </c>
      <c r="Q324" s="87">
        <f>SUM($C320:Q320)</f>
        <v>6164395809.3485947</v>
      </c>
      <c r="R324" s="87">
        <f>SUM($C320:R320)</f>
        <v>6374957921.406496</v>
      </c>
      <c r="S324" s="87">
        <f>SUM($C320:S320)</f>
        <v>6571761282.6237516</v>
      </c>
      <c r="T324" s="87">
        <f>SUM($C320:T320)</f>
        <v>6754069130.0666695</v>
      </c>
      <c r="U324" s="87">
        <f>SUM($C320:U320)</f>
        <v>6923150718.3162918</v>
      </c>
      <c r="V324" s="87">
        <f>SUM($C320:V320)</f>
        <v>7079966649.3110991</v>
      </c>
    </row>
    <row r="325" spans="1:22" x14ac:dyDescent="0.45">
      <c r="B325" s="44" t="s">
        <v>98</v>
      </c>
      <c r="C325" s="87"/>
      <c r="D325" s="87"/>
      <c r="E325" s="87"/>
      <c r="F325" s="87"/>
      <c r="G325" s="87">
        <f>SUM($C321:G321)</f>
        <v>2652645252.3505297</v>
      </c>
      <c r="H325" s="87">
        <f>SUM($C321:H321)</f>
        <v>3093639401.7517557</v>
      </c>
      <c r="I325" s="87">
        <f>SUM($C321:I321)</f>
        <v>3512506575.6482444</v>
      </c>
      <c r="J325" s="87">
        <f>SUM($C321:J321)</f>
        <v>3906859608.6914167</v>
      </c>
      <c r="K325" s="87">
        <f>SUM($C321:K321)</f>
        <v>4276663248.7328882</v>
      </c>
      <c r="L325" s="87">
        <f>SUM($C321:L321)</f>
        <v>4619598068.3604088</v>
      </c>
      <c r="M325" s="87">
        <f>SUM($C321:M321)</f>
        <v>4927338364.4599352</v>
      </c>
      <c r="N325" s="87">
        <f>SUM($C321:N321)</f>
        <v>5205598496.7843647</v>
      </c>
      <c r="O325" s="87">
        <f>SUM($C321:O321)</f>
        <v>5453065785.5517111</v>
      </c>
      <c r="P325" s="87">
        <f>SUM($C321:P321)</f>
        <v>5670365042.0239515</v>
      </c>
      <c r="Q325" s="87">
        <f>SUM($C321:Q321)</f>
        <v>5874104086.4263716</v>
      </c>
      <c r="R325" s="87">
        <f>SUM($C321:R321)</f>
        <v>6058311639.7186985</v>
      </c>
      <c r="S325" s="87">
        <f>SUM($C321:S321)</f>
        <v>6230442145.6078463</v>
      </c>
      <c r="T325" s="87">
        <f>SUM($C321:T321)</f>
        <v>6389862372.1527042</v>
      </c>
      <c r="U325" s="87">
        <f>SUM($C321:U321)</f>
        <v>6537712401.1276884</v>
      </c>
      <c r="V325" s="87">
        <f>SUM($C321:V321)</f>
        <v>6674833008.1200485</v>
      </c>
    </row>
    <row r="326" spans="1:22" x14ac:dyDescent="0.45">
      <c r="B326" s="44"/>
      <c r="C326" s="1"/>
      <c r="D326" s="1"/>
      <c r="E326" s="1"/>
      <c r="F326" s="1"/>
      <c r="G326" s="1"/>
      <c r="H326" s="1"/>
      <c r="I326" s="1"/>
      <c r="J326" s="1"/>
      <c r="K326" s="1"/>
      <c r="L326" s="1"/>
      <c r="M326" s="1"/>
      <c r="N326" s="1"/>
      <c r="O326" s="1"/>
      <c r="P326" s="1"/>
      <c r="Q326" s="1"/>
      <c r="R326" s="1"/>
      <c r="S326" s="1"/>
      <c r="T326" s="1"/>
      <c r="U326" s="1"/>
      <c r="V326" s="1"/>
    </row>
    <row r="327" spans="1:22" x14ac:dyDescent="0.45">
      <c r="B327" s="44" t="s">
        <v>228</v>
      </c>
      <c r="C327" s="87">
        <f>C221</f>
        <v>7304645602.0525322</v>
      </c>
      <c r="D327" s="87">
        <f>C327</f>
        <v>7304645602.0525322</v>
      </c>
      <c r="E327" s="87">
        <f t="shared" ref="E327:V327" si="71">D327</f>
        <v>7304645602.0525322</v>
      </c>
      <c r="F327" s="87">
        <f t="shared" si="71"/>
        <v>7304645602.0525322</v>
      </c>
      <c r="G327" s="87">
        <f t="shared" si="71"/>
        <v>7304645602.0525322</v>
      </c>
      <c r="H327" s="87">
        <f t="shared" si="71"/>
        <v>7304645602.0525322</v>
      </c>
      <c r="I327" s="87">
        <f t="shared" si="71"/>
        <v>7304645602.0525322</v>
      </c>
      <c r="J327" s="87">
        <f t="shared" si="71"/>
        <v>7304645602.0525322</v>
      </c>
      <c r="K327" s="87">
        <f t="shared" si="71"/>
        <v>7304645602.0525322</v>
      </c>
      <c r="L327" s="87">
        <f t="shared" si="71"/>
        <v>7304645602.0525322</v>
      </c>
      <c r="M327" s="87">
        <f t="shared" si="71"/>
        <v>7304645602.0525322</v>
      </c>
      <c r="N327" s="87">
        <f t="shared" si="71"/>
        <v>7304645602.0525322</v>
      </c>
      <c r="O327" s="87">
        <f t="shared" si="71"/>
        <v>7304645602.0525322</v>
      </c>
      <c r="P327" s="87">
        <f t="shared" si="71"/>
        <v>7304645602.0525322</v>
      </c>
      <c r="Q327" s="87">
        <f t="shared" si="71"/>
        <v>7304645602.0525322</v>
      </c>
      <c r="R327" s="87">
        <f t="shared" si="71"/>
        <v>7304645602.0525322</v>
      </c>
      <c r="S327" s="87">
        <f t="shared" si="71"/>
        <v>7304645602.0525322</v>
      </c>
      <c r="T327" s="87">
        <f t="shared" si="71"/>
        <v>7304645602.0525322</v>
      </c>
      <c r="U327" s="87">
        <f t="shared" si="71"/>
        <v>7304645602.0525322</v>
      </c>
      <c r="V327" s="87">
        <f t="shared" si="71"/>
        <v>7304645602.0525322</v>
      </c>
    </row>
    <row r="328" spans="1:22" x14ac:dyDescent="0.45">
      <c r="B328" s="44" t="s">
        <v>229</v>
      </c>
      <c r="C328" s="87">
        <f>C222</f>
        <v>8086053665.7788754</v>
      </c>
      <c r="D328" s="87">
        <f t="shared" ref="D328:V329" si="72">C328</f>
        <v>8086053665.7788754</v>
      </c>
      <c r="E328" s="87">
        <f t="shared" si="72"/>
        <v>8086053665.7788754</v>
      </c>
      <c r="F328" s="87">
        <f t="shared" si="72"/>
        <v>8086053665.7788754</v>
      </c>
      <c r="G328" s="87">
        <f t="shared" si="72"/>
        <v>8086053665.7788754</v>
      </c>
      <c r="H328" s="87">
        <f t="shared" si="72"/>
        <v>8086053665.7788754</v>
      </c>
      <c r="I328" s="87">
        <f t="shared" si="72"/>
        <v>8086053665.7788754</v>
      </c>
      <c r="J328" s="87">
        <f t="shared" si="72"/>
        <v>8086053665.7788754</v>
      </c>
      <c r="K328" s="87">
        <f t="shared" si="72"/>
        <v>8086053665.7788754</v>
      </c>
      <c r="L328" s="87">
        <f t="shared" si="72"/>
        <v>8086053665.7788754</v>
      </c>
      <c r="M328" s="87">
        <f t="shared" si="72"/>
        <v>8086053665.7788754</v>
      </c>
      <c r="N328" s="87">
        <f t="shared" si="72"/>
        <v>8086053665.7788754</v>
      </c>
      <c r="O328" s="87">
        <f t="shared" si="72"/>
        <v>8086053665.7788754</v>
      </c>
      <c r="P328" s="87">
        <f t="shared" si="72"/>
        <v>8086053665.7788754</v>
      </c>
      <c r="Q328" s="87">
        <f t="shared" si="72"/>
        <v>8086053665.7788754</v>
      </c>
      <c r="R328" s="87">
        <f t="shared" si="72"/>
        <v>8086053665.7788754</v>
      </c>
      <c r="S328" s="87">
        <f t="shared" si="72"/>
        <v>8086053665.7788754</v>
      </c>
      <c r="T328" s="87">
        <f t="shared" si="72"/>
        <v>8086053665.7788754</v>
      </c>
      <c r="U328" s="87">
        <f t="shared" si="72"/>
        <v>8086053665.7788754</v>
      </c>
      <c r="V328" s="87">
        <f t="shared" si="72"/>
        <v>8086053665.7788754</v>
      </c>
    </row>
    <row r="329" spans="1:22" x14ac:dyDescent="0.45">
      <c r="B329" s="44" t="s">
        <v>230</v>
      </c>
      <c r="C329" s="87">
        <f>C223</f>
        <v>6709235810.6907473</v>
      </c>
      <c r="D329" s="87">
        <f t="shared" si="72"/>
        <v>6709235810.6907473</v>
      </c>
      <c r="E329" s="87">
        <f t="shared" si="72"/>
        <v>6709235810.6907473</v>
      </c>
      <c r="F329" s="87">
        <f t="shared" si="72"/>
        <v>6709235810.6907473</v>
      </c>
      <c r="G329" s="87">
        <f t="shared" si="72"/>
        <v>6709235810.6907473</v>
      </c>
      <c r="H329" s="87">
        <f t="shared" si="72"/>
        <v>6709235810.6907473</v>
      </c>
      <c r="I329" s="87">
        <f t="shared" si="72"/>
        <v>6709235810.6907473</v>
      </c>
      <c r="J329" s="87">
        <f t="shared" si="72"/>
        <v>6709235810.6907473</v>
      </c>
      <c r="K329" s="87">
        <f t="shared" si="72"/>
        <v>6709235810.6907473</v>
      </c>
      <c r="L329" s="87">
        <f t="shared" si="72"/>
        <v>6709235810.6907473</v>
      </c>
      <c r="M329" s="87">
        <f t="shared" si="72"/>
        <v>6709235810.6907473</v>
      </c>
      <c r="N329" s="87">
        <f t="shared" si="72"/>
        <v>6709235810.6907473</v>
      </c>
      <c r="O329" s="87">
        <f t="shared" si="72"/>
        <v>6709235810.6907473</v>
      </c>
      <c r="P329" s="87">
        <f t="shared" si="72"/>
        <v>6709235810.6907473</v>
      </c>
      <c r="Q329" s="87">
        <f t="shared" si="72"/>
        <v>6709235810.6907473</v>
      </c>
      <c r="R329" s="87">
        <f t="shared" si="72"/>
        <v>6709235810.6907473</v>
      </c>
      <c r="S329" s="87">
        <f t="shared" si="72"/>
        <v>6709235810.6907473</v>
      </c>
      <c r="T329" s="87">
        <f t="shared" si="72"/>
        <v>6709235810.6907473</v>
      </c>
      <c r="U329" s="87">
        <f t="shared" si="72"/>
        <v>6709235810.6907473</v>
      </c>
      <c r="V329" s="87">
        <f t="shared" si="72"/>
        <v>6709235810.6907473</v>
      </c>
    </row>
    <row r="330" spans="1:22" x14ac:dyDescent="0.45">
      <c r="B330" s="44"/>
      <c r="C330" s="1"/>
      <c r="D330" s="1"/>
      <c r="E330" s="1"/>
      <c r="F330" s="1"/>
      <c r="G330" s="1"/>
      <c r="H330" s="1"/>
      <c r="I330" s="1"/>
      <c r="J330" s="1"/>
      <c r="K330" s="1"/>
      <c r="L330" s="1"/>
      <c r="M330" s="1"/>
      <c r="N330" s="1"/>
      <c r="O330" s="1"/>
      <c r="P330" s="1"/>
      <c r="Q330" s="1"/>
      <c r="R330" s="1"/>
      <c r="S330" s="1"/>
      <c r="T330" s="1"/>
      <c r="U330" s="1"/>
      <c r="V330" s="1"/>
    </row>
    <row r="331" spans="1:22" x14ac:dyDescent="0.45">
      <c r="B331" s="44"/>
      <c r="C331" s="1"/>
      <c r="D331" s="1"/>
      <c r="E331" s="1"/>
      <c r="F331" s="1"/>
      <c r="G331" s="1"/>
      <c r="H331" s="1"/>
      <c r="I331" s="1"/>
      <c r="J331" s="1"/>
      <c r="K331" s="1"/>
      <c r="L331" s="1"/>
      <c r="M331" s="1"/>
      <c r="N331" s="1"/>
      <c r="O331" s="1"/>
      <c r="P331" s="1"/>
      <c r="Q331" s="1"/>
      <c r="R331" s="1"/>
      <c r="S331" s="1"/>
      <c r="T331" s="1"/>
      <c r="U331" s="1"/>
      <c r="V331" s="1"/>
    </row>
    <row r="332" spans="1:22" ht="15.75" x14ac:dyDescent="0.5">
      <c r="A332" s="57" t="s">
        <v>231</v>
      </c>
      <c r="B332" s="44"/>
      <c r="C332" s="1"/>
      <c r="D332" s="1"/>
      <c r="E332" s="1"/>
      <c r="F332" s="1"/>
      <c r="G332" s="1"/>
      <c r="H332" s="1"/>
      <c r="I332" s="1"/>
      <c r="J332" s="1"/>
      <c r="K332" s="1"/>
      <c r="L332" s="1"/>
      <c r="M332" s="1"/>
      <c r="N332" s="1"/>
      <c r="O332" s="1"/>
      <c r="P332" s="1"/>
      <c r="Q332" s="1"/>
      <c r="R332" s="1"/>
      <c r="S332" s="1"/>
      <c r="T332" s="1"/>
      <c r="U332" s="1"/>
      <c r="V332" s="1"/>
    </row>
    <row r="333" spans="1:22" x14ac:dyDescent="0.45">
      <c r="B333" s="44"/>
      <c r="C333" s="47">
        <v>1</v>
      </c>
      <c r="D333" s="47">
        <v>2</v>
      </c>
      <c r="E333" s="47">
        <v>3</v>
      </c>
      <c r="F333" s="47">
        <v>4</v>
      </c>
      <c r="G333" s="47">
        <v>5</v>
      </c>
      <c r="H333" s="47">
        <v>6</v>
      </c>
      <c r="I333" s="47">
        <v>7</v>
      </c>
      <c r="J333" s="47">
        <v>8</v>
      </c>
      <c r="K333" s="47">
        <v>9</v>
      </c>
      <c r="L333" s="47">
        <v>10</v>
      </c>
      <c r="M333" s="47">
        <v>11</v>
      </c>
      <c r="N333" s="47">
        <v>12</v>
      </c>
      <c r="O333" s="47">
        <v>13</v>
      </c>
      <c r="P333" s="47">
        <v>14</v>
      </c>
      <c r="Q333" s="47">
        <v>15</v>
      </c>
      <c r="R333" s="47">
        <v>16</v>
      </c>
      <c r="S333" s="47">
        <v>17</v>
      </c>
      <c r="T333" s="47">
        <v>18</v>
      </c>
      <c r="U333" s="47">
        <v>19</v>
      </c>
      <c r="V333" s="47">
        <v>20</v>
      </c>
    </row>
    <row r="334" spans="1:22" x14ac:dyDescent="0.45">
      <c r="C334" s="17" t="s">
        <v>5</v>
      </c>
      <c r="D334" s="17" t="s">
        <v>6</v>
      </c>
      <c r="E334" s="58" t="s">
        <v>7</v>
      </c>
      <c r="F334" s="58" t="s">
        <v>8</v>
      </c>
      <c r="G334" s="17" t="s">
        <v>9</v>
      </c>
      <c r="H334" s="17" t="s">
        <v>10</v>
      </c>
      <c r="I334" s="17" t="s">
        <v>11</v>
      </c>
      <c r="J334" s="17" t="s">
        <v>12</v>
      </c>
      <c r="K334" s="17" t="s">
        <v>13</v>
      </c>
      <c r="L334" s="17" t="s">
        <v>14</v>
      </c>
      <c r="M334" s="17" t="s">
        <v>49</v>
      </c>
      <c r="N334" s="17" t="s">
        <v>50</v>
      </c>
      <c r="O334" s="17" t="s">
        <v>51</v>
      </c>
      <c r="P334" s="17" t="s">
        <v>52</v>
      </c>
      <c r="Q334" s="17" t="s">
        <v>53</v>
      </c>
      <c r="R334" s="17" t="s">
        <v>54</v>
      </c>
      <c r="S334" s="17" t="s">
        <v>55</v>
      </c>
      <c r="T334" s="17" t="s">
        <v>56</v>
      </c>
      <c r="U334" s="17" t="s">
        <v>57</v>
      </c>
      <c r="V334" s="17" t="s">
        <v>58</v>
      </c>
    </row>
    <row r="335" spans="1:22" x14ac:dyDescent="0.45">
      <c r="B335" s="44" t="s">
        <v>87</v>
      </c>
      <c r="C335" s="87">
        <f t="shared" ref="C335:V335" si="73">C247+C308</f>
        <v>596643619.53891969</v>
      </c>
      <c r="D335" s="87">
        <f t="shared" si="73"/>
        <v>564299150.64718771</v>
      </c>
      <c r="E335" s="87">
        <f t="shared" si="73"/>
        <v>532785384.68712056</v>
      </c>
      <c r="F335" s="87">
        <f t="shared" si="73"/>
        <v>501015168.40220582</v>
      </c>
      <c r="G335" s="87">
        <f t="shared" si="73"/>
        <v>473943412.67816126</v>
      </c>
      <c r="H335" s="87">
        <f t="shared" si="73"/>
        <v>457149412.46132869</v>
      </c>
      <c r="I335" s="87">
        <f t="shared" si="73"/>
        <v>444611564.23903334</v>
      </c>
      <c r="J335" s="87">
        <f t="shared" si="73"/>
        <v>428392934.07069123</v>
      </c>
      <c r="K335" s="87">
        <f t="shared" si="73"/>
        <v>410943528.95923859</v>
      </c>
      <c r="L335" s="87">
        <f t="shared" si="73"/>
        <v>389674011.68685222</v>
      </c>
      <c r="M335" s="87">
        <f t="shared" si="73"/>
        <v>351398725.27193534</v>
      </c>
      <c r="N335" s="87">
        <f t="shared" si="73"/>
        <v>319144601.91707575</v>
      </c>
      <c r="O335" s="87">
        <f t="shared" si="73"/>
        <v>285188773.37535876</v>
      </c>
      <c r="P335" s="87">
        <f t="shared" si="73"/>
        <v>251651486.38624018</v>
      </c>
      <c r="Q335" s="87">
        <f t="shared" si="73"/>
        <v>236223021.70075834</v>
      </c>
      <c r="R335" s="87">
        <f t="shared" si="73"/>
        <v>214088408.33557096</v>
      </c>
      <c r="S335" s="87">
        <f t="shared" si="73"/>
        <v>200104641.98150232</v>
      </c>
      <c r="T335" s="87">
        <f t="shared" si="73"/>
        <v>185370260.02570701</v>
      </c>
      <c r="U335" s="87">
        <f t="shared" si="73"/>
        <v>171922416.24849856</v>
      </c>
      <c r="V335" s="87">
        <f t="shared" si="73"/>
        <v>159451207.43161282</v>
      </c>
    </row>
    <row r="336" spans="1:22" x14ac:dyDescent="0.45">
      <c r="B336" s="44" t="s">
        <v>88</v>
      </c>
      <c r="C336" s="87">
        <f t="shared" ref="C336:V336" si="74">C287+C308</f>
        <v>597457833.33891976</v>
      </c>
      <c r="D336" s="87">
        <f t="shared" si="74"/>
        <v>566266438.19230008</v>
      </c>
      <c r="E336" s="87">
        <f t="shared" si="74"/>
        <v>535942241.95271939</v>
      </c>
      <c r="F336" s="87">
        <f t="shared" si="74"/>
        <v>505334630.80965245</v>
      </c>
      <c r="G336" s="87">
        <f t="shared" si="74"/>
        <v>479727075.26306903</v>
      </c>
      <c r="H336" s="87">
        <f t="shared" si="74"/>
        <v>464859682.92351347</v>
      </c>
      <c r="I336" s="87">
        <f t="shared" si="74"/>
        <v>454358503.24387735</v>
      </c>
      <c r="J336" s="87">
        <f t="shared" si="74"/>
        <v>439860457.50198281</v>
      </c>
      <c r="K336" s="87">
        <f t="shared" si="74"/>
        <v>423906271.29887211</v>
      </c>
      <c r="L336" s="87">
        <f t="shared" si="74"/>
        <v>403790503.23513246</v>
      </c>
      <c r="M336" s="87">
        <f t="shared" si="74"/>
        <v>366090878.96158922</v>
      </c>
      <c r="N336" s="87">
        <f t="shared" si="74"/>
        <v>334124918.75783688</v>
      </c>
      <c r="O336" s="87">
        <f t="shared" si="74"/>
        <v>300132474.54329115</v>
      </c>
      <c r="P336" s="87">
        <f t="shared" si="74"/>
        <v>266215295.71149963</v>
      </c>
      <c r="Q336" s="87">
        <f t="shared" si="74"/>
        <v>250143451.748963</v>
      </c>
      <c r="R336" s="87">
        <f t="shared" si="74"/>
        <v>227265687.7183581</v>
      </c>
      <c r="S336" s="87">
        <f t="shared" si="74"/>
        <v>212441069.64555645</v>
      </c>
      <c r="T336" s="87">
        <f t="shared" si="74"/>
        <v>196814070.47473681</v>
      </c>
      <c r="U336" s="87">
        <f t="shared" si="74"/>
        <v>182538195.8858175</v>
      </c>
      <c r="V336" s="87">
        <f t="shared" si="74"/>
        <v>169298869.43283632</v>
      </c>
    </row>
    <row r="337" spans="2:22" x14ac:dyDescent="0.45">
      <c r="B337" s="44" t="s">
        <v>89</v>
      </c>
      <c r="C337" s="87">
        <f>C267+C308</f>
        <v>595829405.73891973</v>
      </c>
      <c r="D337" s="87">
        <f t="shared" ref="D337:V337" si="75">D267+D308</f>
        <v>562331863.10207534</v>
      </c>
      <c r="E337" s="87">
        <f t="shared" si="75"/>
        <v>529628527.42152178</v>
      </c>
      <c r="F337" s="87">
        <f t="shared" si="75"/>
        <v>496695705.99475926</v>
      </c>
      <c r="G337" s="87">
        <f t="shared" si="75"/>
        <v>468159750.09325343</v>
      </c>
      <c r="H337" s="87">
        <f t="shared" si="75"/>
        <v>449439141.99914396</v>
      </c>
      <c r="I337" s="87">
        <f t="shared" si="75"/>
        <v>434864625.23418939</v>
      </c>
      <c r="J337" s="87">
        <f t="shared" si="75"/>
        <v>416925410.63939959</v>
      </c>
      <c r="K337" s="87">
        <f t="shared" si="75"/>
        <v>397980786.61960518</v>
      </c>
      <c r="L337" s="87">
        <f t="shared" si="75"/>
        <v>375557520.1385721</v>
      </c>
      <c r="M337" s="87">
        <f t="shared" si="75"/>
        <v>336706571.58228141</v>
      </c>
      <c r="N337" s="87">
        <f t="shared" si="75"/>
        <v>304164285.07631451</v>
      </c>
      <c r="O337" s="87">
        <f t="shared" si="75"/>
        <v>270245072.20742637</v>
      </c>
      <c r="P337" s="87">
        <f t="shared" si="75"/>
        <v>237087677.06098071</v>
      </c>
      <c r="Q337" s="87">
        <f t="shared" si="75"/>
        <v>222302591.65255359</v>
      </c>
      <c r="R337" s="87">
        <f t="shared" si="75"/>
        <v>200911128.95278373</v>
      </c>
      <c r="S337" s="87">
        <f t="shared" si="75"/>
        <v>187768214.31744817</v>
      </c>
      <c r="T337" s="87">
        <f t="shared" si="75"/>
        <v>173926449.57667717</v>
      </c>
      <c r="U337" s="87">
        <f t="shared" si="75"/>
        <v>161306636.61117962</v>
      </c>
      <c r="V337" s="87">
        <f t="shared" si="75"/>
        <v>149603545.43038931</v>
      </c>
    </row>
    <row r="338" spans="2:22" x14ac:dyDescent="0.45">
      <c r="B338" s="44"/>
      <c r="C338" s="1"/>
      <c r="D338" s="1"/>
      <c r="E338" s="1"/>
      <c r="F338" s="1"/>
      <c r="G338" s="1"/>
      <c r="H338" s="1"/>
      <c r="I338" s="1"/>
      <c r="J338" s="1"/>
      <c r="K338" s="1"/>
      <c r="L338" s="1"/>
      <c r="M338" s="1"/>
      <c r="N338" s="1"/>
      <c r="O338" s="1"/>
      <c r="P338" s="1"/>
      <c r="Q338" s="1"/>
      <c r="R338" s="1"/>
      <c r="S338" s="1"/>
      <c r="T338" s="1"/>
      <c r="U338" s="1"/>
      <c r="V338" s="1"/>
    </row>
    <row r="339" spans="2:22" x14ac:dyDescent="0.45">
      <c r="B339" s="44" t="s">
        <v>96</v>
      </c>
      <c r="C339" s="87">
        <f>SUM($C335:C335)</f>
        <v>596643619.53891969</v>
      </c>
      <c r="D339" s="87">
        <f>SUM($C335:D335)</f>
        <v>1160942770.1861074</v>
      </c>
      <c r="E339" s="87">
        <f>SUM($C335:E335)</f>
        <v>1693728154.8732281</v>
      </c>
      <c r="F339" s="87">
        <f>SUM($C335:F335)</f>
        <v>2194743323.275434</v>
      </c>
      <c r="G339" s="87">
        <f>SUM($C335:G335)</f>
        <v>2668686735.9535952</v>
      </c>
      <c r="H339" s="87">
        <f>SUM($C335:H335)</f>
        <v>3125836148.4149237</v>
      </c>
      <c r="I339" s="87">
        <f>SUM($C335:I335)</f>
        <v>3570447712.6539569</v>
      </c>
      <c r="J339" s="87">
        <f>SUM($C335:J335)</f>
        <v>3998840646.724648</v>
      </c>
      <c r="K339" s="87">
        <f>SUM($C335:K335)</f>
        <v>4409784175.6838865</v>
      </c>
      <c r="L339" s="87">
        <f>SUM($C335:L335)</f>
        <v>4799458187.370739</v>
      </c>
      <c r="M339" s="87">
        <f>SUM($C335:M335)</f>
        <v>5150856912.6426744</v>
      </c>
      <c r="N339" s="87">
        <f>SUM($C335:N335)</f>
        <v>5470001514.5597506</v>
      </c>
      <c r="O339" s="87">
        <f>SUM($C335:O335)</f>
        <v>5755190287.9351091</v>
      </c>
      <c r="P339" s="87">
        <f>SUM($C335:P335)</f>
        <v>6006841774.3213491</v>
      </c>
      <c r="Q339" s="87">
        <f>SUM($C335:Q335)</f>
        <v>6243064796.0221071</v>
      </c>
      <c r="R339" s="87">
        <f>SUM($C335:R335)</f>
        <v>6457153204.3576784</v>
      </c>
      <c r="S339" s="87">
        <f>SUM($C335:S335)</f>
        <v>6657257846.3391809</v>
      </c>
      <c r="T339" s="87">
        <f>SUM($C335:T335)</f>
        <v>6842628106.3648882</v>
      </c>
      <c r="U339" s="87">
        <f>SUM($C335:U335)</f>
        <v>7014550522.6133871</v>
      </c>
      <c r="V339" s="87">
        <f>SUM($C335:V335)</f>
        <v>7174001730.0450001</v>
      </c>
    </row>
    <row r="340" spans="2:22" x14ac:dyDescent="0.45">
      <c r="B340" s="44" t="s">
        <v>97</v>
      </c>
      <c r="C340" s="87"/>
      <c r="D340" s="87"/>
      <c r="E340" s="87"/>
      <c r="F340" s="87"/>
      <c r="G340" s="87">
        <f>SUM($C336:G336)</f>
        <v>2684728219.5566611</v>
      </c>
      <c r="H340" s="87">
        <f>SUM($C336:H336)</f>
        <v>3149587902.4801745</v>
      </c>
      <c r="I340" s="87">
        <f>SUM($C336:I336)</f>
        <v>3603946405.724052</v>
      </c>
      <c r="J340" s="87">
        <f>SUM($C336:J336)</f>
        <v>4043806863.2260346</v>
      </c>
      <c r="K340" s="87">
        <f>SUM($C336:K336)</f>
        <v>4467713134.5249071</v>
      </c>
      <c r="L340" s="87">
        <f>SUM($C336:L336)</f>
        <v>4871503637.7600393</v>
      </c>
      <c r="M340" s="87">
        <f>SUM($C336:M336)</f>
        <v>5237594516.7216282</v>
      </c>
      <c r="N340" s="87">
        <f>SUM($C336:N336)</f>
        <v>5571719435.4794655</v>
      </c>
      <c r="O340" s="87">
        <f>SUM($C336:O336)</f>
        <v>5871851910.0227566</v>
      </c>
      <c r="P340" s="87">
        <f>SUM($C336:P336)</f>
        <v>6138067205.7342558</v>
      </c>
      <c r="Q340" s="87">
        <f>SUM($C336:Q336)</f>
        <v>6388210657.4832191</v>
      </c>
      <c r="R340" s="87">
        <f>SUM($C336:R336)</f>
        <v>6615476345.2015772</v>
      </c>
      <c r="S340" s="87">
        <f>SUM($C336:S336)</f>
        <v>6827917414.8471336</v>
      </c>
      <c r="T340" s="87">
        <f>SUM($C336:T336)</f>
        <v>7024731485.3218708</v>
      </c>
      <c r="U340" s="87">
        <f>SUM($C336:U336)</f>
        <v>7207269681.2076883</v>
      </c>
      <c r="V340" s="87">
        <f>SUM($C336:V336)</f>
        <v>7376568550.6405249</v>
      </c>
    </row>
    <row r="341" spans="2:22" x14ac:dyDescent="0.45">
      <c r="B341" s="44" t="s">
        <v>98</v>
      </c>
      <c r="C341" s="87"/>
      <c r="D341" s="87"/>
      <c r="E341" s="87"/>
      <c r="F341" s="87"/>
      <c r="G341" s="87">
        <f>SUM($C337:G337)</f>
        <v>2652645252.3505297</v>
      </c>
      <c r="H341" s="87">
        <f>SUM($C337:H337)</f>
        <v>3102084394.3496737</v>
      </c>
      <c r="I341" s="87">
        <f>SUM($C337:I337)</f>
        <v>3536949019.5838633</v>
      </c>
      <c r="J341" s="87">
        <f>SUM($C337:J337)</f>
        <v>3953874430.2232628</v>
      </c>
      <c r="K341" s="87">
        <f>SUM($C337:K337)</f>
        <v>4351855216.8428679</v>
      </c>
      <c r="L341" s="87">
        <f>SUM($C337:L337)</f>
        <v>4727412736.9814396</v>
      </c>
      <c r="M341" s="87">
        <f>SUM($C337:M337)</f>
        <v>5064119308.5637207</v>
      </c>
      <c r="N341" s="87">
        <f>SUM($C337:N337)</f>
        <v>5368283593.6400356</v>
      </c>
      <c r="O341" s="87">
        <f>SUM($C337:O337)</f>
        <v>5638528665.8474617</v>
      </c>
      <c r="P341" s="87">
        <f>SUM($C337:P337)</f>
        <v>5875616342.9084425</v>
      </c>
      <c r="Q341" s="87">
        <f>SUM($C337:Q337)</f>
        <v>6097918934.5609961</v>
      </c>
      <c r="R341" s="87">
        <f>SUM($C337:R337)</f>
        <v>6298830063.5137796</v>
      </c>
      <c r="S341" s="87">
        <f>SUM($C337:S337)</f>
        <v>6486598277.8312283</v>
      </c>
      <c r="T341" s="87">
        <f>SUM($C337:T337)</f>
        <v>6660524727.4079056</v>
      </c>
      <c r="U341" s="87">
        <f>SUM($C337:U337)</f>
        <v>6821831364.0190849</v>
      </c>
      <c r="V341" s="87">
        <f>SUM($C337:V337)</f>
        <v>6971434909.4494743</v>
      </c>
    </row>
    <row r="342" spans="2:22" x14ac:dyDescent="0.45">
      <c r="B342" s="44"/>
      <c r="C342" s="1"/>
      <c r="D342" s="1"/>
      <c r="E342" s="1"/>
      <c r="F342" s="1"/>
      <c r="G342" s="1"/>
      <c r="H342" s="1"/>
      <c r="I342" s="1"/>
      <c r="J342" s="1"/>
      <c r="K342" s="1"/>
      <c r="L342" s="1"/>
      <c r="M342" s="1"/>
      <c r="N342" s="1"/>
      <c r="O342" s="1"/>
      <c r="P342" s="1"/>
      <c r="Q342" s="1"/>
      <c r="R342" s="1"/>
      <c r="S342" s="1"/>
      <c r="T342" s="1"/>
      <c r="U342" s="1"/>
      <c r="V342" s="1"/>
    </row>
    <row r="343" spans="2:22" x14ac:dyDescent="0.45">
      <c r="B343" s="44" t="s">
        <v>228</v>
      </c>
      <c r="C343" s="87">
        <f>C327</f>
        <v>7304645602.0525322</v>
      </c>
      <c r="D343" s="87">
        <f>C343</f>
        <v>7304645602.0525322</v>
      </c>
      <c r="E343" s="87">
        <f t="shared" ref="E343:T343" si="76">D343</f>
        <v>7304645602.0525322</v>
      </c>
      <c r="F343" s="87">
        <f t="shared" si="76"/>
        <v>7304645602.0525322</v>
      </c>
      <c r="G343" s="87">
        <f t="shared" si="76"/>
        <v>7304645602.0525322</v>
      </c>
      <c r="H343" s="87">
        <f t="shared" si="76"/>
        <v>7304645602.0525322</v>
      </c>
      <c r="I343" s="87">
        <f t="shared" si="76"/>
        <v>7304645602.0525322</v>
      </c>
      <c r="J343" s="87">
        <f t="shared" si="76"/>
        <v>7304645602.0525322</v>
      </c>
      <c r="K343" s="87">
        <f t="shared" si="76"/>
        <v>7304645602.0525322</v>
      </c>
      <c r="L343" s="87">
        <f t="shared" si="76"/>
        <v>7304645602.0525322</v>
      </c>
      <c r="M343" s="87">
        <f t="shared" si="76"/>
        <v>7304645602.0525322</v>
      </c>
      <c r="N343" s="87">
        <f t="shared" si="76"/>
        <v>7304645602.0525322</v>
      </c>
      <c r="O343" s="87">
        <f t="shared" si="76"/>
        <v>7304645602.0525322</v>
      </c>
      <c r="P343" s="87">
        <f t="shared" si="76"/>
        <v>7304645602.0525322</v>
      </c>
      <c r="Q343" s="87">
        <f t="shared" si="76"/>
        <v>7304645602.0525322</v>
      </c>
      <c r="R343" s="87">
        <f t="shared" si="76"/>
        <v>7304645602.0525322</v>
      </c>
      <c r="S343" s="87">
        <f t="shared" si="76"/>
        <v>7304645602.0525322</v>
      </c>
      <c r="T343" s="87">
        <f t="shared" si="76"/>
        <v>7304645602.0525322</v>
      </c>
      <c r="U343" s="87">
        <f t="shared" ref="T343:V345" si="77">T343</f>
        <v>7304645602.0525322</v>
      </c>
      <c r="V343" s="87">
        <f t="shared" si="77"/>
        <v>7304645602.0525322</v>
      </c>
    </row>
    <row r="344" spans="2:22" x14ac:dyDescent="0.45">
      <c r="B344" s="44" t="s">
        <v>229</v>
      </c>
      <c r="C344" s="87">
        <f>C328</f>
        <v>8086053665.7788754</v>
      </c>
      <c r="D344" s="87">
        <f t="shared" ref="D344:S345" si="78">C344</f>
        <v>8086053665.7788754</v>
      </c>
      <c r="E344" s="87">
        <f t="shared" si="78"/>
        <v>8086053665.7788754</v>
      </c>
      <c r="F344" s="87">
        <f t="shared" si="78"/>
        <v>8086053665.7788754</v>
      </c>
      <c r="G344" s="87">
        <f t="shared" si="78"/>
        <v>8086053665.7788754</v>
      </c>
      <c r="H344" s="87">
        <f t="shared" si="78"/>
        <v>8086053665.7788754</v>
      </c>
      <c r="I344" s="87">
        <f t="shared" si="78"/>
        <v>8086053665.7788754</v>
      </c>
      <c r="J344" s="87">
        <f t="shared" si="78"/>
        <v>8086053665.7788754</v>
      </c>
      <c r="K344" s="87">
        <f t="shared" si="78"/>
        <v>8086053665.7788754</v>
      </c>
      <c r="L344" s="87">
        <f t="shared" si="78"/>
        <v>8086053665.7788754</v>
      </c>
      <c r="M344" s="87">
        <f t="shared" si="78"/>
        <v>8086053665.7788754</v>
      </c>
      <c r="N344" s="87">
        <f t="shared" si="78"/>
        <v>8086053665.7788754</v>
      </c>
      <c r="O344" s="87">
        <f t="shared" si="78"/>
        <v>8086053665.7788754</v>
      </c>
      <c r="P344" s="87">
        <f t="shared" si="78"/>
        <v>8086053665.7788754</v>
      </c>
      <c r="Q344" s="87">
        <f t="shared" si="78"/>
        <v>8086053665.7788754</v>
      </c>
      <c r="R344" s="87">
        <f t="shared" si="78"/>
        <v>8086053665.7788754</v>
      </c>
      <c r="S344" s="87">
        <f t="shared" si="78"/>
        <v>8086053665.7788754</v>
      </c>
      <c r="T344" s="87">
        <f t="shared" si="77"/>
        <v>8086053665.7788754</v>
      </c>
      <c r="U344" s="87">
        <f t="shared" si="77"/>
        <v>8086053665.7788754</v>
      </c>
      <c r="V344" s="87">
        <f t="shared" si="77"/>
        <v>8086053665.7788754</v>
      </c>
    </row>
    <row r="345" spans="2:22" x14ac:dyDescent="0.45">
      <c r="B345" s="44" t="s">
        <v>230</v>
      </c>
      <c r="C345" s="87">
        <f>C329</f>
        <v>6709235810.6907473</v>
      </c>
      <c r="D345" s="87">
        <f t="shared" si="78"/>
        <v>6709235810.6907473</v>
      </c>
      <c r="E345" s="87">
        <f t="shared" si="78"/>
        <v>6709235810.6907473</v>
      </c>
      <c r="F345" s="87">
        <f t="shared" si="78"/>
        <v>6709235810.6907473</v>
      </c>
      <c r="G345" s="87">
        <f t="shared" si="78"/>
        <v>6709235810.6907473</v>
      </c>
      <c r="H345" s="87">
        <f t="shared" si="78"/>
        <v>6709235810.6907473</v>
      </c>
      <c r="I345" s="87">
        <f t="shared" si="78"/>
        <v>6709235810.6907473</v>
      </c>
      <c r="J345" s="87">
        <f t="shared" si="78"/>
        <v>6709235810.6907473</v>
      </c>
      <c r="K345" s="87">
        <f t="shared" si="78"/>
        <v>6709235810.6907473</v>
      </c>
      <c r="L345" s="87">
        <f t="shared" si="78"/>
        <v>6709235810.6907473</v>
      </c>
      <c r="M345" s="87">
        <f t="shared" si="78"/>
        <v>6709235810.6907473</v>
      </c>
      <c r="N345" s="87">
        <f t="shared" si="78"/>
        <v>6709235810.6907473</v>
      </c>
      <c r="O345" s="87">
        <f t="shared" si="78"/>
        <v>6709235810.6907473</v>
      </c>
      <c r="P345" s="87">
        <f t="shared" si="78"/>
        <v>6709235810.6907473</v>
      </c>
      <c r="Q345" s="87">
        <f t="shared" si="78"/>
        <v>6709235810.6907473</v>
      </c>
      <c r="R345" s="87">
        <f t="shared" si="78"/>
        <v>6709235810.6907473</v>
      </c>
      <c r="S345" s="87">
        <f t="shared" si="78"/>
        <v>6709235810.6907473</v>
      </c>
      <c r="T345" s="87">
        <f t="shared" si="77"/>
        <v>6709235810.6907473</v>
      </c>
      <c r="U345" s="87">
        <f t="shared" si="77"/>
        <v>6709235810.6907473</v>
      </c>
      <c r="V345" s="87">
        <f t="shared" si="77"/>
        <v>6709235810.6907473</v>
      </c>
    </row>
    <row r="346" spans="2:22" x14ac:dyDescent="0.45">
      <c r="B346" s="44"/>
    </row>
    <row r="347" spans="2:22" x14ac:dyDescent="0.45">
      <c r="B347" s="44"/>
    </row>
    <row r="348" spans="2:22" x14ac:dyDescent="0.45">
      <c r="B348" s="44"/>
    </row>
    <row r="349" spans="2:22" x14ac:dyDescent="0.45">
      <c r="B349" s="44"/>
    </row>
    <row r="350" spans="2:22" x14ac:dyDescent="0.45">
      <c r="B350" s="44"/>
    </row>
    <row r="351" spans="2:22" x14ac:dyDescent="0.45">
      <c r="B351" s="44"/>
    </row>
    <row r="352" spans="2:22" x14ac:dyDescent="0.45">
      <c r="B352" s="44"/>
    </row>
    <row r="353" spans="2:2" x14ac:dyDescent="0.45">
      <c r="B353" s="44"/>
    </row>
    <row r="354" spans="2:2" x14ac:dyDescent="0.45">
      <c r="B354" s="44"/>
    </row>
    <row r="355" spans="2:2" x14ac:dyDescent="0.45">
      <c r="B355" s="44"/>
    </row>
    <row r="356" spans="2:2" x14ac:dyDescent="0.45">
      <c r="B356" s="44"/>
    </row>
    <row r="357" spans="2:2" x14ac:dyDescent="0.45">
      <c r="B357" s="44"/>
    </row>
    <row r="358" spans="2:2" x14ac:dyDescent="0.45">
      <c r="B358" s="44"/>
    </row>
    <row r="359" spans="2:2" x14ac:dyDescent="0.45">
      <c r="B359" s="44"/>
    </row>
    <row r="360" spans="2:2" x14ac:dyDescent="0.45">
      <c r="B360" s="44"/>
    </row>
    <row r="361" spans="2:2" x14ac:dyDescent="0.45">
      <c r="B361" s="44"/>
    </row>
    <row r="362" spans="2:2" x14ac:dyDescent="0.45">
      <c r="B362" s="44"/>
    </row>
    <row r="363" spans="2:2" x14ac:dyDescent="0.45">
      <c r="B363" s="44"/>
    </row>
    <row r="364" spans="2:2" x14ac:dyDescent="0.45">
      <c r="B364" s="44"/>
    </row>
    <row r="365" spans="2:2" x14ac:dyDescent="0.45">
      <c r="B365" s="44"/>
    </row>
    <row r="366" spans="2:2" x14ac:dyDescent="0.45">
      <c r="B366" s="44"/>
    </row>
    <row r="367" spans="2:2" x14ac:dyDescent="0.45">
      <c r="B367" s="44"/>
    </row>
    <row r="368" spans="2:2" x14ac:dyDescent="0.45">
      <c r="B368" s="44"/>
    </row>
    <row r="369" spans="2:2" x14ac:dyDescent="0.45">
      <c r="B369" s="44"/>
    </row>
    <row r="370" spans="2:2" x14ac:dyDescent="0.45">
      <c r="B370" s="44"/>
    </row>
    <row r="371" spans="2:2" x14ac:dyDescent="0.45">
      <c r="B371" s="44"/>
    </row>
    <row r="372" spans="2:2" x14ac:dyDescent="0.45">
      <c r="B372" s="44"/>
    </row>
    <row r="373" spans="2:2" x14ac:dyDescent="0.45">
      <c r="B373" s="44"/>
    </row>
    <row r="374" spans="2:2" x14ac:dyDescent="0.45">
      <c r="B374" s="44"/>
    </row>
  </sheetData>
  <dataValidations disablePrompts="1" count="1">
    <dataValidation type="list" allowBlank="1" showInputMessage="1" showErrorMessage="1" sqref="B10" xr:uid="{20C40E07-25D7-4A2A-947F-B983E93FD9D1}">
      <formula1>$C$117:$D$117</formula1>
    </dataValidation>
  </dataValidations>
  <pageMargins left="0.7" right="0.7" top="0.75" bottom="0.75" header="0.3" footer="0.3"/>
  <pageSetup paperSize="9" orientation="portrait" r:id="rId1"/>
  <headerFooter>
    <oddHeader>&amp;L&amp;"Calibri"&amp;12&amp;K000000 Classification: CONFIDENTIAL&amp;1#_x000D_</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E694B-9806-41E5-9929-9CC23012B0D5}">
  <sheetPr>
    <tabColor theme="8" tint="0.59999389629810485"/>
  </sheetPr>
  <dimension ref="A1"/>
  <sheetViews>
    <sheetView workbookViewId="0">
      <selection activeCell="E33" sqref="E33"/>
    </sheetView>
  </sheetViews>
  <sheetFormatPr defaultRowHeight="14.25" x14ac:dyDescent="0.45"/>
  <sheetData/>
  <pageMargins left="0.7" right="0.7" top="0.75" bottom="0.75" header="0.3" footer="0.3"/>
  <pageSetup paperSize="9" orientation="portrait" r:id="rId1"/>
  <headerFooter>
    <oddHeader>&amp;L&amp;"Calibri"&amp;12&amp;K000000 Classification: CONFIDENTIAL&amp;1#_x000D_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E1D3B-C09B-45ED-8047-AD60D1FBE8B0}">
  <dimension ref="A1:BE544"/>
  <sheetViews>
    <sheetView zoomScale="58" zoomScaleNormal="60" zoomScaleSheetLayoutView="70" workbookViewId="0">
      <pane ySplit="4" topLeftCell="A5" activePane="bottomLeft" state="frozen"/>
      <selection activeCell="D106" sqref="D106"/>
      <selection pane="bottomLeft" activeCell="E63" sqref="E63"/>
    </sheetView>
  </sheetViews>
  <sheetFormatPr defaultRowHeight="14.25" x14ac:dyDescent="0.45"/>
  <cols>
    <col min="1" max="1" width="28" customWidth="1"/>
    <col min="2" max="2" width="46.59765625" customWidth="1"/>
    <col min="3" max="3" width="11.265625" customWidth="1"/>
    <col min="4" max="4" width="29.73046875" bestFit="1" customWidth="1"/>
    <col min="5" max="5" width="21" customWidth="1"/>
    <col min="6" max="7" width="20.265625" customWidth="1"/>
    <col min="8" max="9" width="18" customWidth="1"/>
    <col min="10" max="10" width="14.265625" customWidth="1"/>
    <col min="11" max="11" width="17" customWidth="1"/>
    <col min="12" max="12" width="19.265625" customWidth="1"/>
    <col min="13" max="13" width="21.265625" customWidth="1"/>
    <col min="14" max="14" width="21.73046875" customWidth="1"/>
    <col min="15" max="19" width="21.86328125" customWidth="1"/>
    <col min="20" max="20" width="9" customWidth="1"/>
    <col min="21" max="21" width="11.59765625" bestFit="1" customWidth="1"/>
    <col min="23" max="23" width="13" customWidth="1"/>
    <col min="24" max="24" width="33" customWidth="1"/>
    <col min="25" max="39" width="14.86328125" customWidth="1"/>
    <col min="40" max="40" width="40" customWidth="1"/>
    <col min="41" max="50" width="16" customWidth="1"/>
    <col min="54" max="54" width="12.73046875" customWidth="1"/>
  </cols>
  <sheetData>
    <row r="1" spans="1:54" ht="21.4" thickBot="1" x14ac:dyDescent="0.7">
      <c r="A1" s="40" t="s">
        <v>239</v>
      </c>
      <c r="E1" s="15" t="s">
        <v>5</v>
      </c>
      <c r="F1" s="15" t="s">
        <v>6</v>
      </c>
      <c r="G1" s="16" t="s">
        <v>7</v>
      </c>
      <c r="H1" s="16" t="s">
        <v>8</v>
      </c>
      <c r="I1" s="15" t="s">
        <v>9</v>
      </c>
      <c r="J1" s="15" t="s">
        <v>10</v>
      </c>
      <c r="K1" s="15" t="s">
        <v>11</v>
      </c>
      <c r="L1" s="15" t="s">
        <v>12</v>
      </c>
      <c r="M1" s="15" t="s">
        <v>13</v>
      </c>
      <c r="N1" s="15" t="s">
        <v>14</v>
      </c>
      <c r="O1" s="15" t="s">
        <v>49</v>
      </c>
      <c r="P1" s="15" t="s">
        <v>50</v>
      </c>
      <c r="Q1" s="15" t="s">
        <v>51</v>
      </c>
      <c r="R1" s="15" t="s">
        <v>52</v>
      </c>
      <c r="S1" s="15" t="s">
        <v>53</v>
      </c>
      <c r="W1" s="40" t="s">
        <v>240</v>
      </c>
      <c r="Y1" s="15" t="s">
        <v>5</v>
      </c>
      <c r="Z1" s="15" t="s">
        <v>6</v>
      </c>
      <c r="AA1" s="16" t="s">
        <v>7</v>
      </c>
      <c r="AB1" s="16" t="s">
        <v>8</v>
      </c>
      <c r="AC1" s="15" t="s">
        <v>9</v>
      </c>
      <c r="AD1" s="15" t="s">
        <v>10</v>
      </c>
      <c r="AE1" s="15" t="s">
        <v>11</v>
      </c>
      <c r="AF1" s="15" t="s">
        <v>12</v>
      </c>
      <c r="AG1" s="15" t="s">
        <v>13</v>
      </c>
      <c r="AH1" s="15" t="s">
        <v>14</v>
      </c>
      <c r="AI1" s="15" t="s">
        <v>49</v>
      </c>
      <c r="AJ1" s="15" t="s">
        <v>50</v>
      </c>
      <c r="AK1" s="15" t="s">
        <v>51</v>
      </c>
      <c r="AL1" s="15" t="s">
        <v>52</v>
      </c>
      <c r="AM1" s="15" t="s">
        <v>53</v>
      </c>
      <c r="AP1" s="17" t="s">
        <v>241</v>
      </c>
      <c r="AR1" s="72" t="s">
        <v>5</v>
      </c>
      <c r="AS1" s="72" t="s">
        <v>6</v>
      </c>
      <c r="AT1" s="73" t="s">
        <v>7</v>
      </c>
      <c r="AU1" s="73" t="s">
        <v>8</v>
      </c>
      <c r="AV1" s="72" t="s">
        <v>9</v>
      </c>
      <c r="AW1" s="72" t="s">
        <v>10</v>
      </c>
      <c r="AX1" s="72" t="s">
        <v>11</v>
      </c>
      <c r="AY1" s="72" t="s">
        <v>12</v>
      </c>
      <c r="AZ1" s="72" t="s">
        <v>13</v>
      </c>
      <c r="BA1" s="72" t="s">
        <v>14</v>
      </c>
      <c r="BB1" s="76" t="s">
        <v>242</v>
      </c>
    </row>
    <row r="2" spans="1:54" ht="14.65" thickBot="1" x14ac:dyDescent="0.5">
      <c r="A2" t="s">
        <v>243</v>
      </c>
      <c r="B2" s="34" t="s">
        <v>244</v>
      </c>
      <c r="X2" s="101" t="s">
        <v>245</v>
      </c>
      <c r="Y2" s="79">
        <f>SUMPRODUCT(Y63:Y102,Y19:Y58)/SUM(Y19:Y58)</f>
        <v>104.6345039044669</v>
      </c>
      <c r="Z2" s="79">
        <f>SUMPRODUCT(Z63:Z102,Z19:Z58)/SUM(Z19:Z58)</f>
        <v>124.80374159008038</v>
      </c>
      <c r="AA2" s="79">
        <f t="shared" ref="AA2:AM2" si="0">SUMPRODUCT(AA63:AA102,AA19:AA58)/SUM(AA19:AA58)</f>
        <v>153.47990164537947</v>
      </c>
      <c r="AB2" s="79">
        <f t="shared" si="0"/>
        <v>150.3261537593151</v>
      </c>
      <c r="AC2" s="79">
        <f t="shared" si="0"/>
        <v>162.26214065477703</v>
      </c>
      <c r="AD2" s="79">
        <f t="shared" si="0"/>
        <v>188.70089629419056</v>
      </c>
      <c r="AE2" s="79">
        <f>SUMPRODUCT(AE63:AE102,AE19:AE58)/SUM(AE19:AE58)</f>
        <v>214.05455021018167</v>
      </c>
      <c r="AF2" s="79">
        <f>SUMPRODUCT(AF63:AF102,AF19:AF58)/SUM(AF19:AF58)</f>
        <v>242.49862352724674</v>
      </c>
      <c r="AG2" s="79">
        <f t="shared" si="0"/>
        <v>285.31297161962755</v>
      </c>
      <c r="AH2" s="79">
        <f t="shared" si="0"/>
        <v>308.7766496765035</v>
      </c>
      <c r="AI2" s="79">
        <f t="shared" si="0"/>
        <v>309.00455516308227</v>
      </c>
      <c r="AJ2" s="79">
        <f t="shared" si="0"/>
        <v>360.65137807344286</v>
      </c>
      <c r="AK2" s="79" t="e">
        <f t="shared" si="0"/>
        <v>#DIV/0!</v>
      </c>
      <c r="AL2" s="79">
        <f>IF(SUM(AL19:AL58)=0,0,SUMPRODUCT(AL63:AL102,AL19:AL58)/SUM(AL19:AL58))</f>
        <v>0</v>
      </c>
      <c r="AM2" s="79" t="e">
        <f t="shared" si="0"/>
        <v>#DIV/0!</v>
      </c>
      <c r="AQ2" t="s">
        <v>245</v>
      </c>
      <c r="AR2" s="74"/>
      <c r="AS2" s="75">
        <f t="shared" ref="AS2:BA4" si="1">Z2/Y2-1</f>
        <v>0.19275895553562661</v>
      </c>
      <c r="AT2" s="75">
        <f t="shared" si="1"/>
        <v>0.22977003485589664</v>
      </c>
      <c r="AU2" s="75">
        <f t="shared" si="1"/>
        <v>-2.0548279300772632E-2</v>
      </c>
      <c r="AV2" s="75">
        <f t="shared" si="1"/>
        <v>7.9400600607213434E-2</v>
      </c>
      <c r="AW2" s="75">
        <f t="shared" si="1"/>
        <v>0.16293853595623187</v>
      </c>
      <c r="AX2" s="75">
        <f t="shared" si="1"/>
        <v>0.13435894801720494</v>
      </c>
      <c r="AY2" s="75">
        <f t="shared" si="1"/>
        <v>0.13288235774075163</v>
      </c>
      <c r="AZ2" s="75">
        <f t="shared" si="1"/>
        <v>0.17655501490947745</v>
      </c>
      <c r="BA2" s="75">
        <f t="shared" si="1"/>
        <v>8.22383851798969E-2</v>
      </c>
      <c r="BB2" s="75">
        <f>AVERAGE(AW2:BA2)</f>
        <v>0.13779464836071256</v>
      </c>
    </row>
    <row r="3" spans="1:54" ht="14.65" thickBot="1" x14ac:dyDescent="0.5">
      <c r="A3" t="s">
        <v>246</v>
      </c>
      <c r="B3" s="34" t="s">
        <v>247</v>
      </c>
      <c r="E3" s="17"/>
      <c r="F3" s="17"/>
      <c r="G3" s="18"/>
      <c r="H3" s="18"/>
      <c r="I3" s="17"/>
      <c r="J3" s="17"/>
      <c r="K3" s="17"/>
      <c r="L3" s="17"/>
      <c r="M3" s="17"/>
      <c r="N3" s="17"/>
      <c r="O3" s="17"/>
      <c r="P3" s="17"/>
      <c r="Q3" s="17"/>
      <c r="R3" s="17"/>
      <c r="S3" s="17"/>
      <c r="X3" s="101" t="s">
        <v>248</v>
      </c>
      <c r="Y3" s="79">
        <f>SUMPRODUCT(Y106:Y145,Y19:Y58)/SUM(Y19:Y58)</f>
        <v>104.6345039044669</v>
      </c>
      <c r="Z3" s="79">
        <f>SUMPRODUCT(Z106:Z145,Z19:Z58)/SUM(Z19:Z58)</f>
        <v>124.80374159008038</v>
      </c>
      <c r="AA3" s="79">
        <f t="shared" ref="AA3:AM3" si="2">SUMPRODUCT(AA106:AA145,AA19:AA58)/SUM(AA19:AA58)</f>
        <v>153.47990164537947</v>
      </c>
      <c r="AB3" s="79">
        <f t="shared" si="2"/>
        <v>150.3261537593151</v>
      </c>
      <c r="AC3" s="79">
        <f t="shared" si="2"/>
        <v>162.26214065477703</v>
      </c>
      <c r="AD3" s="79">
        <f t="shared" si="2"/>
        <v>191.99783405270796</v>
      </c>
      <c r="AE3" s="79">
        <f>SUMPRODUCT(AE106:AE145,AE19:AE58)/SUM(AE19:AE58)</f>
        <v>220.82600608420594</v>
      </c>
      <c r="AF3" s="79">
        <f>SUMPRODUCT(AF106:AF145,AF19:AF58)/SUM(AF19:AF58)</f>
        <v>253.80024347459934</v>
      </c>
      <c r="AG3" s="79">
        <f t="shared" si="2"/>
        <v>302.92823196989679</v>
      </c>
      <c r="AH3" s="79">
        <f t="shared" si="2"/>
        <v>331.58634234530871</v>
      </c>
      <c r="AI3" s="79">
        <f t="shared" si="2"/>
        <v>344.85362659736467</v>
      </c>
      <c r="AJ3" s="79">
        <f t="shared" si="2"/>
        <v>511.70873787483077</v>
      </c>
      <c r="AK3" s="79" t="e">
        <f t="shared" si="2"/>
        <v>#DIV/0!</v>
      </c>
      <c r="AL3" s="79" t="e">
        <f>SUMPRODUCT(AL106:AL145,AL19:AL58)/SUM(AL19:AL58)</f>
        <v>#DIV/0!</v>
      </c>
      <c r="AM3" s="79" t="e">
        <f t="shared" si="2"/>
        <v>#DIV/0!</v>
      </c>
      <c r="AQ3" t="s">
        <v>248</v>
      </c>
      <c r="AR3" s="74"/>
      <c r="AS3" s="75">
        <f t="shared" si="1"/>
        <v>0.19275895553562661</v>
      </c>
      <c r="AT3" s="75">
        <f t="shared" si="1"/>
        <v>0.22977003485589664</v>
      </c>
      <c r="AU3" s="75">
        <f t="shared" si="1"/>
        <v>-2.0548279300772632E-2</v>
      </c>
      <c r="AV3" s="75">
        <f t="shared" si="1"/>
        <v>7.9400600607213434E-2</v>
      </c>
      <c r="AW3" s="75">
        <f t="shared" si="1"/>
        <v>0.18325712503199076</v>
      </c>
      <c r="AX3" s="75">
        <f t="shared" si="1"/>
        <v>0.15014842315139854</v>
      </c>
      <c r="AY3" s="75">
        <f t="shared" si="1"/>
        <v>0.14932225590232151</v>
      </c>
      <c r="AZ3" s="75">
        <f t="shared" si="1"/>
        <v>0.19356950892844282</v>
      </c>
      <c r="BA3" s="75">
        <f t="shared" si="1"/>
        <v>9.4603630005207995E-2</v>
      </c>
      <c r="BB3" s="75">
        <f t="shared" ref="BB3:BB4" si="3">AVERAGE(AW3:BA3)</f>
        <v>0.15418018860387234</v>
      </c>
    </row>
    <row r="4" spans="1:54" x14ac:dyDescent="0.45">
      <c r="A4" t="s">
        <v>249</v>
      </c>
      <c r="B4" s="68">
        <v>0.2</v>
      </c>
      <c r="D4" s="11" t="s">
        <v>250</v>
      </c>
      <c r="E4" s="14">
        <f>SUMPRODUCT(E$19:E$58,E$63:E$102)/E59</f>
        <v>72.534988035071152</v>
      </c>
      <c r="F4" s="14">
        <f>SUMPRODUCT(F$19:F$58,F$63:F$102)/F59</f>
        <v>86.273793205236316</v>
      </c>
      <c r="G4" s="14">
        <f>SUMPRODUCT(G$19:G$58,G$63:G$102)/G59</f>
        <v>107.57048310872902</v>
      </c>
      <c r="H4" s="14">
        <f t="shared" ref="H4:S4" si="4">SUMPRODUCT(H$19:H$58,H$63:H$102)/H59</f>
        <v>112.34545048355756</v>
      </c>
      <c r="I4" s="14">
        <f t="shared" si="4"/>
        <v>131.39620806756042</v>
      </c>
      <c r="J4" s="14">
        <f t="shared" si="4"/>
        <v>169.94764042171806</v>
      </c>
      <c r="K4" s="14">
        <f t="shared" si="4"/>
        <v>212.49392810835678</v>
      </c>
      <c r="L4" s="14">
        <f t="shared" si="4"/>
        <v>242.49862352724674</v>
      </c>
      <c r="M4" s="14">
        <f t="shared" si="4"/>
        <v>285.31297161962755</v>
      </c>
      <c r="N4" s="14">
        <f t="shared" si="4"/>
        <v>308.7766496765035</v>
      </c>
      <c r="O4" s="14">
        <f t="shared" si="4"/>
        <v>309.00455516308227</v>
      </c>
      <c r="P4" s="14">
        <f t="shared" si="4"/>
        <v>360.65137807344286</v>
      </c>
      <c r="Q4" s="14" t="e">
        <f t="shared" si="4"/>
        <v>#DIV/0!</v>
      </c>
      <c r="R4" s="14" t="e">
        <f t="shared" si="4"/>
        <v>#DIV/0!</v>
      </c>
      <c r="S4" s="14" t="e">
        <f t="shared" si="4"/>
        <v>#DIV/0!</v>
      </c>
      <c r="U4" t="s">
        <v>251</v>
      </c>
      <c r="X4" s="101" t="s">
        <v>252</v>
      </c>
      <c r="Y4" s="79">
        <f>SUMPRODUCT(Y148:Y187,Y19:Y58)/SUM(Y19:Y58)</f>
        <v>104.6345039044669</v>
      </c>
      <c r="Z4" s="79">
        <f>SUMPRODUCT(Z148:Z187,Z19:Z58)/SUM(Z19:Z58)</f>
        <v>124.80374159008038</v>
      </c>
      <c r="AA4" s="79">
        <f t="shared" ref="AA4:AM4" si="5">SUMPRODUCT(AA148:AA187,AA19:AA58)/SUM(AA19:AA58)</f>
        <v>153.47990164537947</v>
      </c>
      <c r="AB4" s="79">
        <f t="shared" si="5"/>
        <v>150.3261537593151</v>
      </c>
      <c r="AC4" s="79">
        <f t="shared" si="5"/>
        <v>162.26214065477703</v>
      </c>
      <c r="AD4" s="79">
        <f>SUMPRODUCT(AD148:AD187,AD19:AD58)/SUM(AD19:AD58)</f>
        <v>186.33198308101905</v>
      </c>
      <c r="AE4" s="79">
        <f>SUMPRODUCT(AE148:AE187,AE19:AE58)/SUM(AE19:AE58)</f>
        <v>208.68269299986073</v>
      </c>
      <c r="AF4" s="79">
        <f>SUMPRODUCT(AF148:AF187,AF19:AF58)/SUM(AF19:AF58)</f>
        <v>233.60880345704933</v>
      </c>
      <c r="AG4" s="79">
        <f t="shared" si="5"/>
        <v>271.71062197415034</v>
      </c>
      <c r="AH4" s="79">
        <f t="shared" si="5"/>
        <v>290.90328620069459</v>
      </c>
      <c r="AI4" s="79">
        <f t="shared" si="5"/>
        <v>277.71564157107332</v>
      </c>
      <c r="AJ4" s="79">
        <f t="shared" si="5"/>
        <v>236.18582148779001</v>
      </c>
      <c r="AK4" s="79" t="e">
        <f t="shared" si="5"/>
        <v>#DIV/0!</v>
      </c>
      <c r="AL4" s="79" t="e">
        <f t="shared" si="5"/>
        <v>#DIV/0!</v>
      </c>
      <c r="AM4" s="79" t="e">
        <f t="shared" si="5"/>
        <v>#DIV/0!</v>
      </c>
      <c r="AQ4" t="s">
        <v>252</v>
      </c>
      <c r="AR4" s="74"/>
      <c r="AS4" s="75">
        <f>Z4/Y4-1</f>
        <v>0.19275895553562661</v>
      </c>
      <c r="AT4" s="75">
        <f t="shared" si="1"/>
        <v>0.22977003485589664</v>
      </c>
      <c r="AU4" s="75">
        <f t="shared" si="1"/>
        <v>-2.0548279300772632E-2</v>
      </c>
      <c r="AV4" s="75">
        <f t="shared" si="1"/>
        <v>7.9400600607213434E-2</v>
      </c>
      <c r="AW4" s="75">
        <f t="shared" si="1"/>
        <v>0.14833923877198285</v>
      </c>
      <c r="AX4" s="75">
        <f t="shared" si="1"/>
        <v>0.1199510118943099</v>
      </c>
      <c r="AY4" s="75">
        <f t="shared" si="1"/>
        <v>0.11944502967098103</v>
      </c>
      <c r="AZ4" s="75">
        <f t="shared" si="1"/>
        <v>0.16310095318863405</v>
      </c>
      <c r="BA4" s="75">
        <f t="shared" si="1"/>
        <v>7.0636414900151268E-2</v>
      </c>
      <c r="BB4" s="75">
        <f t="shared" si="3"/>
        <v>0.12429452968521182</v>
      </c>
    </row>
    <row r="5" spans="1:54" x14ac:dyDescent="0.45">
      <c r="E5" s="22"/>
      <c r="F5" s="47"/>
      <c r="G5" s="2"/>
      <c r="H5" s="2"/>
      <c r="I5" s="47"/>
      <c r="J5" s="47"/>
      <c r="K5" s="50"/>
      <c r="L5" s="50"/>
      <c r="M5" s="50"/>
      <c r="N5" s="50"/>
      <c r="O5" s="50"/>
      <c r="P5" s="50"/>
      <c r="Q5" s="50"/>
      <c r="R5" s="50"/>
      <c r="S5" s="50"/>
      <c r="Y5" s="5"/>
      <c r="Z5" s="5"/>
      <c r="AA5" s="5"/>
      <c r="AB5" s="5"/>
      <c r="AC5" s="5"/>
      <c r="AD5" s="5"/>
      <c r="AE5" s="5"/>
      <c r="AF5" s="5"/>
      <c r="AG5" s="5"/>
      <c r="AH5" s="5"/>
      <c r="AI5" s="5"/>
      <c r="AJ5" s="5"/>
      <c r="AK5" s="5"/>
      <c r="AL5" s="5"/>
      <c r="AM5" s="5"/>
    </row>
    <row r="6" spans="1:54" x14ac:dyDescent="0.45">
      <c r="E6" s="22"/>
      <c r="F6" s="47"/>
      <c r="G6" s="2"/>
      <c r="H6" s="2"/>
      <c r="I6" s="47"/>
      <c r="J6" s="47"/>
      <c r="K6" s="50"/>
      <c r="L6" s="50"/>
      <c r="M6" s="50"/>
      <c r="N6" s="50"/>
      <c r="O6" s="50"/>
      <c r="P6" s="50"/>
      <c r="Q6" s="50"/>
      <c r="R6" s="50"/>
      <c r="S6" s="50"/>
      <c r="X6" t="s">
        <v>253</v>
      </c>
      <c r="Y6" s="29">
        <f>SUMPRODUCT(Y281:Y300,Y304:Y323)/SUM(Y281:Y300)</f>
        <v>121.58049350035395</v>
      </c>
      <c r="Z6" s="29">
        <f t="shared" ref="Z6:AM6" si="6">SUMPRODUCT(Z281:Z300,Z304:Z323)/SUM(Z281:Z300)</f>
        <v>140.57349736949919</v>
      </c>
      <c r="AA6" s="29">
        <f t="shared" si="6"/>
        <v>154.4595888955356</v>
      </c>
      <c r="AB6" s="29">
        <f t="shared" si="6"/>
        <v>160.09971554256802</v>
      </c>
      <c r="AC6" s="29">
        <f t="shared" si="6"/>
        <v>172.3658609816091</v>
      </c>
      <c r="AD6" s="29">
        <f t="shared" si="6"/>
        <v>177.39136467689784</v>
      </c>
      <c r="AE6" s="29">
        <f t="shared" si="6"/>
        <v>184.8933439916901</v>
      </c>
      <c r="AF6" s="29">
        <f t="shared" si="6"/>
        <v>187.91975085499971</v>
      </c>
      <c r="AG6" s="29">
        <f t="shared" si="6"/>
        <v>190.52774667755168</v>
      </c>
      <c r="AH6" s="29">
        <f t="shared" si="6"/>
        <v>193.58992248472586</v>
      </c>
      <c r="AI6" s="29">
        <f t="shared" si="6"/>
        <v>192.26888631418689</v>
      </c>
      <c r="AJ6" s="29">
        <f t="shared" si="6"/>
        <v>180.58176897671274</v>
      </c>
      <c r="AK6" s="29" t="e">
        <f t="shared" si="6"/>
        <v>#DIV/0!</v>
      </c>
      <c r="AL6" s="29" t="e">
        <f t="shared" si="6"/>
        <v>#DIV/0!</v>
      </c>
      <c r="AM6" s="29" t="e">
        <f t="shared" si="6"/>
        <v>#DIV/0!</v>
      </c>
    </row>
    <row r="7" spans="1:54" x14ac:dyDescent="0.45">
      <c r="E7" s="22"/>
      <c r="F7" s="47"/>
      <c r="G7" s="2"/>
      <c r="H7" s="2"/>
      <c r="I7" s="47"/>
      <c r="J7" s="47"/>
      <c r="K7" s="50"/>
      <c r="L7" s="50"/>
      <c r="M7" s="50"/>
      <c r="N7" s="50"/>
      <c r="O7" s="50"/>
      <c r="P7" s="50"/>
      <c r="Q7" s="50"/>
      <c r="R7" s="50"/>
      <c r="S7" s="50"/>
      <c r="X7" t="s">
        <v>254</v>
      </c>
      <c r="Y7" s="29">
        <f>SUMPRODUCT(Y281:Y300,Y304:Y323)/SUM(Y281:Y300)</f>
        <v>121.58049350035395</v>
      </c>
      <c r="Z7" s="29">
        <f t="shared" ref="Z7:AC7" si="7">SUMPRODUCT(Z281:Z300,Z304:Z323)/SUM(Z281:Z300)</f>
        <v>140.57349736949919</v>
      </c>
      <c r="AA7" s="29">
        <f t="shared" si="7"/>
        <v>154.4595888955356</v>
      </c>
      <c r="AB7" s="29">
        <f t="shared" si="7"/>
        <v>160.09971554256802</v>
      </c>
      <c r="AC7" s="29">
        <f t="shared" si="7"/>
        <v>172.3658609816091</v>
      </c>
      <c r="AD7" s="29">
        <f>SUMPRODUCT(AD281:AD300,AD326:AD345)/SUM(AD281:AD300)</f>
        <v>181.26262378991291</v>
      </c>
      <c r="AE7" s="29">
        <f t="shared" ref="AE7:AM7" si="8">SUMPRODUCT(AE281:AE300,AE326:AE345)/SUM(AE281:AE300)</f>
        <v>192.69475442824307</v>
      </c>
      <c r="AF7" s="29">
        <f t="shared" si="8"/>
        <v>199.95334065934495</v>
      </c>
      <c r="AG7" s="29">
        <f t="shared" si="8"/>
        <v>206.80213516201803</v>
      </c>
      <c r="AH7" s="29">
        <f t="shared" si="8"/>
        <v>214.32815340223215</v>
      </c>
      <c r="AI7" s="29">
        <f t="shared" si="8"/>
        <v>212.86560184285796</v>
      </c>
      <c r="AJ7" s="29">
        <f t="shared" si="8"/>
        <v>199.926507465496</v>
      </c>
      <c r="AK7" s="29" t="e">
        <f t="shared" si="8"/>
        <v>#DIV/0!</v>
      </c>
      <c r="AL7" s="29" t="e">
        <f t="shared" si="8"/>
        <v>#DIV/0!</v>
      </c>
      <c r="AM7" s="29" t="e">
        <f t="shared" si="8"/>
        <v>#DIV/0!</v>
      </c>
    </row>
    <row r="8" spans="1:54" x14ac:dyDescent="0.45">
      <c r="E8" s="22"/>
      <c r="F8" s="47"/>
      <c r="G8" s="2"/>
      <c r="H8" s="2"/>
      <c r="I8" s="47"/>
      <c r="J8" s="47"/>
      <c r="K8" s="50"/>
      <c r="L8" s="50"/>
      <c r="M8" s="50"/>
      <c r="N8" s="50"/>
      <c r="O8" s="50"/>
      <c r="P8" s="50"/>
      <c r="Q8" s="50"/>
      <c r="R8" s="50"/>
      <c r="S8" s="50"/>
      <c r="X8" t="s">
        <v>255</v>
      </c>
      <c r="Y8" s="29">
        <f>Y231</f>
        <v>37.112993627464597</v>
      </c>
      <c r="Z8" s="29">
        <f t="shared" ref="Z8:AM8" si="9">Z231</f>
        <v>47.555838583312102</v>
      </c>
      <c r="AA8" s="29">
        <f t="shared" si="9"/>
        <v>41.854039649299452</v>
      </c>
      <c r="AB8" s="29">
        <f t="shared" si="9"/>
        <v>35.699299250081353</v>
      </c>
      <c r="AC8" s="29">
        <f t="shared" si="9"/>
        <v>43.391508310558571</v>
      </c>
      <c r="AD8" s="29">
        <f t="shared" si="9"/>
        <v>43.391508310558571</v>
      </c>
      <c r="AE8" s="29">
        <f t="shared" si="9"/>
        <v>43.391508310558571</v>
      </c>
      <c r="AF8" s="29">
        <f t="shared" si="9"/>
        <v>43.391508310558571</v>
      </c>
      <c r="AG8" s="29">
        <f t="shared" si="9"/>
        <v>43.391508310558571</v>
      </c>
      <c r="AH8" s="29">
        <f t="shared" si="9"/>
        <v>43.391508310558571</v>
      </c>
      <c r="AI8" s="29">
        <f t="shared" si="9"/>
        <v>43.391508310558571</v>
      </c>
      <c r="AJ8" s="29">
        <f t="shared" si="9"/>
        <v>43.391508310558571</v>
      </c>
      <c r="AK8" s="29">
        <f t="shared" si="9"/>
        <v>43.391508310558571</v>
      </c>
      <c r="AL8" s="29">
        <f t="shared" si="9"/>
        <v>43.391508310558571</v>
      </c>
      <c r="AM8" s="29">
        <f t="shared" si="9"/>
        <v>43.391508310558571</v>
      </c>
    </row>
    <row r="9" spans="1:54" x14ac:dyDescent="0.45">
      <c r="E9" s="22"/>
      <c r="F9" s="47"/>
      <c r="G9" s="2"/>
      <c r="H9" s="2"/>
      <c r="I9" s="47"/>
      <c r="J9" s="47"/>
      <c r="K9" s="50"/>
      <c r="L9" s="50"/>
      <c r="M9" s="50"/>
      <c r="N9" s="50"/>
      <c r="O9" s="50"/>
      <c r="P9" s="50"/>
      <c r="Q9" s="50"/>
      <c r="R9" s="50"/>
      <c r="S9" s="50"/>
      <c r="X9" t="s">
        <v>256</v>
      </c>
      <c r="Y9" s="29">
        <f>Y231</f>
        <v>37.112993627464597</v>
      </c>
      <c r="Z9" s="29">
        <f t="shared" ref="Z9:AC9" si="10">Z231</f>
        <v>47.555838583312102</v>
      </c>
      <c r="AA9" s="29">
        <f t="shared" si="10"/>
        <v>41.854039649299452</v>
      </c>
      <c r="AB9" s="29">
        <f t="shared" si="10"/>
        <v>35.699299250081353</v>
      </c>
      <c r="AC9" s="29">
        <f t="shared" si="10"/>
        <v>43.391508310558571</v>
      </c>
      <c r="AD9" s="29">
        <f>AD275</f>
        <v>44.338452781506639</v>
      </c>
      <c r="AE9" s="29">
        <f t="shared" ref="AE9:AM9" si="11">AE275</f>
        <v>45.222374465518591</v>
      </c>
      <c r="AF9" s="29">
        <f t="shared" si="11"/>
        <v>46.170117848009468</v>
      </c>
      <c r="AG9" s="29">
        <f t="shared" si="11"/>
        <v>47.097898983241535</v>
      </c>
      <c r="AH9" s="29">
        <f t="shared" si="11"/>
        <v>48.039803571249408</v>
      </c>
      <c r="AI9" s="29">
        <f t="shared" si="11"/>
        <v>48.039803571249408</v>
      </c>
      <c r="AJ9" s="29">
        <f t="shared" si="11"/>
        <v>48.039803571249408</v>
      </c>
      <c r="AK9" s="29">
        <f t="shared" si="11"/>
        <v>48.039803571249408</v>
      </c>
      <c r="AL9" s="29">
        <f t="shared" si="11"/>
        <v>48.039803571249408</v>
      </c>
      <c r="AM9" s="29">
        <f t="shared" si="11"/>
        <v>48.039803571249408</v>
      </c>
    </row>
    <row r="10" spans="1:54" x14ac:dyDescent="0.45">
      <c r="E10" s="22"/>
      <c r="F10" s="47"/>
      <c r="G10" s="2"/>
      <c r="H10" s="2"/>
      <c r="I10" s="47"/>
      <c r="J10" s="47"/>
      <c r="K10" s="50"/>
      <c r="L10" s="50"/>
      <c r="M10" s="50"/>
      <c r="N10" s="50"/>
      <c r="O10" s="50"/>
      <c r="P10" s="50"/>
      <c r="Q10" s="50"/>
      <c r="R10" s="50"/>
      <c r="S10" s="50"/>
    </row>
    <row r="11" spans="1:54" x14ac:dyDescent="0.45">
      <c r="A11" s="36" t="s">
        <v>257</v>
      </c>
      <c r="B11" s="35">
        <f>'Top Down inputs'!L140</f>
        <v>1.9998866368604373E-2</v>
      </c>
      <c r="D11" s="52" t="s">
        <v>258</v>
      </c>
      <c r="E11" s="22"/>
      <c r="F11" s="47"/>
      <c r="G11" s="2"/>
      <c r="H11" s="2"/>
      <c r="I11" s="47"/>
      <c r="J11" s="47"/>
      <c r="K11" s="47"/>
      <c r="L11" s="47"/>
      <c r="M11" s="47"/>
      <c r="N11" s="22"/>
      <c r="O11" s="22"/>
      <c r="P11" s="22"/>
      <c r="Q11" s="22"/>
      <c r="R11" s="22"/>
      <c r="S11" s="22"/>
      <c r="X11" t="s">
        <v>259</v>
      </c>
    </row>
    <row r="12" spans="1:54" x14ac:dyDescent="0.45">
      <c r="A12" s="37" t="s">
        <v>260</v>
      </c>
      <c r="B12" s="117">
        <v>0.67992120891451202</v>
      </c>
      <c r="C12" t="s">
        <v>261</v>
      </c>
      <c r="D12" s="52" t="s">
        <v>262</v>
      </c>
      <c r="E12" s="22"/>
      <c r="F12" s="47"/>
      <c r="G12" s="2"/>
      <c r="H12" s="2"/>
      <c r="I12" s="47"/>
      <c r="J12" s="47"/>
      <c r="K12" s="47"/>
      <c r="L12" s="47"/>
      <c r="M12" s="47"/>
      <c r="N12" s="22"/>
      <c r="O12" s="22"/>
      <c r="P12" s="22"/>
      <c r="Q12" s="22"/>
      <c r="R12" s="22"/>
      <c r="S12" s="22"/>
      <c r="X12" t="s">
        <v>263</v>
      </c>
      <c r="Y12" s="26">
        <f>SUM(Y19:Y26)</f>
        <v>1564990.574489329</v>
      </c>
      <c r="Z12" s="26">
        <f t="shared" ref="Z12:AM12" si="12">SUM(Z19:Z26)</f>
        <v>1356701.7978079165</v>
      </c>
      <c r="AA12" s="26">
        <f t="shared" si="12"/>
        <v>985922.35897989711</v>
      </c>
      <c r="AB12" s="26">
        <f t="shared" si="12"/>
        <v>750901.72090340545</v>
      </c>
      <c r="AC12" s="26">
        <f t="shared" si="12"/>
        <v>540043.30796041479</v>
      </c>
      <c r="AD12" s="26">
        <f t="shared" si="12"/>
        <v>303233.62080317887</v>
      </c>
      <c r="AE12" s="26">
        <f t="shared" si="12"/>
        <v>100600.12014302969</v>
      </c>
      <c r="AF12" s="26">
        <f t="shared" si="12"/>
        <v>68391.147925125886</v>
      </c>
      <c r="AG12" s="26">
        <f t="shared" si="12"/>
        <v>55321.559769676045</v>
      </c>
      <c r="AH12" s="26">
        <f t="shared" si="12"/>
        <v>45731.295280185092</v>
      </c>
      <c r="AI12" s="26">
        <f t="shared" si="12"/>
        <v>30407.195384792234</v>
      </c>
      <c r="AJ12" s="26">
        <f t="shared" si="12"/>
        <v>31458.215529635396</v>
      </c>
      <c r="AK12" s="26">
        <f t="shared" si="12"/>
        <v>0</v>
      </c>
      <c r="AL12" s="26">
        <f t="shared" si="12"/>
        <v>0</v>
      </c>
      <c r="AM12" s="26">
        <f t="shared" si="12"/>
        <v>0</v>
      </c>
    </row>
    <row r="13" spans="1:54" x14ac:dyDescent="0.45">
      <c r="A13" s="36" t="s">
        <v>264</v>
      </c>
      <c r="B13" s="117">
        <v>0.85185341429120343</v>
      </c>
      <c r="C13" t="s">
        <v>265</v>
      </c>
      <c r="D13" s="52" t="s">
        <v>266</v>
      </c>
      <c r="E13" s="22"/>
      <c r="F13" s="47"/>
      <c r="G13" s="2"/>
      <c r="H13" s="2"/>
      <c r="I13" s="47"/>
      <c r="J13" s="47"/>
      <c r="K13" s="47"/>
      <c r="L13" s="47"/>
      <c r="M13" s="47"/>
      <c r="N13" s="22"/>
      <c r="O13" s="22"/>
      <c r="P13" s="22"/>
      <c r="Q13" s="22"/>
      <c r="R13" s="22"/>
      <c r="S13" s="22"/>
      <c r="X13" t="s">
        <v>267</v>
      </c>
      <c r="Y13" s="26">
        <f>SUM(Y27:Y30)</f>
        <v>1271552.07215249</v>
      </c>
      <c r="Z13" s="26">
        <f t="shared" ref="Z13:AM13" si="13">SUM(Z27:Z30)</f>
        <v>1247559.6120580668</v>
      </c>
      <c r="AA13" s="26">
        <f t="shared" si="13"/>
        <v>1171891.0774574555</v>
      </c>
      <c r="AB13" s="26">
        <f t="shared" si="13"/>
        <v>871357.67299202725</v>
      </c>
      <c r="AC13" s="26">
        <f t="shared" si="13"/>
        <v>497729.50441951863</v>
      </c>
      <c r="AD13" s="26">
        <f t="shared" si="13"/>
        <v>195666.48802259995</v>
      </c>
      <c r="AE13" s="26">
        <f t="shared" si="13"/>
        <v>11298.712735330799</v>
      </c>
      <c r="AF13" s="26">
        <f t="shared" si="13"/>
        <v>0</v>
      </c>
      <c r="AG13" s="26">
        <f t="shared" si="13"/>
        <v>0</v>
      </c>
      <c r="AH13" s="26">
        <f t="shared" si="13"/>
        <v>0</v>
      </c>
      <c r="AI13" s="26">
        <f t="shared" si="13"/>
        <v>0</v>
      </c>
      <c r="AJ13" s="26">
        <f t="shared" si="13"/>
        <v>0</v>
      </c>
      <c r="AK13" s="26">
        <f t="shared" si="13"/>
        <v>0</v>
      </c>
      <c r="AL13" s="26">
        <f t="shared" si="13"/>
        <v>0</v>
      </c>
      <c r="AM13" s="26">
        <f t="shared" si="13"/>
        <v>0</v>
      </c>
    </row>
    <row r="14" spans="1:54" x14ac:dyDescent="0.45">
      <c r="A14" s="36" t="s">
        <v>268</v>
      </c>
      <c r="B14" s="35" cm="1">
        <f t="array" ref="B14">INDEX('Top Down inputs'!$C$92:$E$92,,MATCH($B$62,'Top Down inputs'!$C$91:$E$91,0))</f>
        <v>0.04</v>
      </c>
      <c r="D14" s="52" t="s">
        <v>269</v>
      </c>
      <c r="E14" s="2"/>
      <c r="F14" s="2"/>
      <c r="G14" s="2"/>
      <c r="H14" s="2"/>
      <c r="I14" s="47"/>
      <c r="J14" s="47"/>
      <c r="K14" s="47"/>
      <c r="L14" s="47"/>
      <c r="M14" s="47"/>
      <c r="N14" s="22"/>
      <c r="O14" s="22"/>
      <c r="P14" s="22"/>
      <c r="Q14" s="22"/>
      <c r="R14" s="22"/>
      <c r="S14" s="22"/>
      <c r="X14" t="s">
        <v>270</v>
      </c>
      <c r="Y14" s="12">
        <f>'Total costs and revenues 2026'!C68</f>
        <v>63962</v>
      </c>
      <c r="Z14" s="12">
        <f>'Total costs and revenues 2026'!D68</f>
        <v>152619</v>
      </c>
      <c r="AA14" s="12">
        <f>'Total costs and revenues 2026'!E68</f>
        <v>264050</v>
      </c>
      <c r="AB14" s="12">
        <f>'Total costs and revenues 2026'!F68</f>
        <v>368344</v>
      </c>
      <c r="AC14" s="12">
        <f>'Total costs and revenues 2026'!G68</f>
        <v>626185</v>
      </c>
      <c r="AD14" s="12">
        <f>'Total costs and revenues 2026'!H68</f>
        <v>869883</v>
      </c>
      <c r="AE14" s="12">
        <f>'Total costs and revenues 2026'!I68</f>
        <v>1182884</v>
      </c>
      <c r="AF14" s="12">
        <f>'Total costs and revenues 2026'!J68</f>
        <v>1446082</v>
      </c>
      <c r="AG14" s="12">
        <f>'Total costs and revenues 2026'!K68</f>
        <v>1718771</v>
      </c>
      <c r="AH14" s="12">
        <f>'Total costs and revenues 2026'!L68</f>
        <v>1974397</v>
      </c>
      <c r="AI14" s="12">
        <f>'Total costs and revenues 2026'!M68</f>
        <v>2148689</v>
      </c>
      <c r="AJ14" s="12">
        <f>'Total costs and revenues 2026'!N68</f>
        <v>2296346</v>
      </c>
      <c r="AK14" s="12">
        <f>'Total costs and revenues 2026'!O68</f>
        <v>2422196</v>
      </c>
      <c r="AL14" s="12">
        <f>'Total costs and revenues 2026'!P68</f>
        <v>2515181</v>
      </c>
      <c r="AM14" s="12">
        <f>'Total costs and revenues 2026'!Q68</f>
        <v>2586733</v>
      </c>
    </row>
    <row r="15" spans="1:54" x14ac:dyDescent="0.45">
      <c r="E15" s="22"/>
      <c r="F15" s="47"/>
      <c r="G15" s="2"/>
      <c r="H15" s="2"/>
      <c r="I15" s="47"/>
      <c r="J15" s="47"/>
      <c r="K15" s="47"/>
      <c r="L15" s="47"/>
      <c r="M15" s="47"/>
      <c r="N15" s="22"/>
      <c r="O15" s="22"/>
      <c r="P15" s="22"/>
      <c r="Q15" s="22"/>
      <c r="R15" s="22"/>
      <c r="S15" s="22"/>
    </row>
    <row r="16" spans="1:54" x14ac:dyDescent="0.45">
      <c r="E16" s="22"/>
      <c r="F16" s="47"/>
      <c r="G16" s="2"/>
      <c r="H16" s="2"/>
      <c r="I16" s="47"/>
      <c r="J16" s="47"/>
      <c r="K16" s="47"/>
      <c r="L16" s="47"/>
      <c r="M16" s="47"/>
      <c r="N16" s="22"/>
      <c r="O16" s="22"/>
      <c r="P16" s="22"/>
      <c r="Q16" s="22"/>
      <c r="R16" s="22"/>
      <c r="S16" s="22"/>
      <c r="W16" s="8" t="s">
        <v>271</v>
      </c>
    </row>
    <row r="17" spans="1:57" x14ac:dyDescent="0.45">
      <c r="C17" s="47"/>
      <c r="D17" s="47"/>
      <c r="E17" s="47"/>
      <c r="F17" s="47"/>
      <c r="G17" s="47"/>
      <c r="H17" s="47"/>
      <c r="I17" s="47"/>
      <c r="J17" s="47"/>
      <c r="K17" s="47"/>
      <c r="L17" s="47"/>
      <c r="M17" s="47"/>
      <c r="N17" s="22"/>
      <c r="O17" s="22"/>
      <c r="P17" s="22"/>
      <c r="Q17" s="22"/>
      <c r="R17" s="22"/>
      <c r="S17" s="22"/>
    </row>
    <row r="18" spans="1:57" x14ac:dyDescent="0.45">
      <c r="A18" s="10" t="s">
        <v>272</v>
      </c>
      <c r="B18" s="11" t="s">
        <v>273</v>
      </c>
      <c r="C18" s="11"/>
      <c r="D18" s="11"/>
      <c r="E18" s="47"/>
      <c r="F18" s="47"/>
      <c r="G18" s="2"/>
      <c r="H18" s="2"/>
      <c r="I18" s="47"/>
      <c r="J18" s="47"/>
      <c r="K18" s="47"/>
      <c r="L18" s="47"/>
      <c r="M18" s="47"/>
      <c r="N18" s="47"/>
      <c r="O18" s="47"/>
      <c r="P18" s="47"/>
      <c r="Q18" s="47"/>
      <c r="R18" s="47"/>
      <c r="S18" s="47"/>
      <c r="W18" s="10" t="s">
        <v>272</v>
      </c>
      <c r="X18" s="11" t="s">
        <v>273</v>
      </c>
    </row>
    <row r="19" spans="1:57" x14ac:dyDescent="0.45">
      <c r="A19" s="9" t="str" cm="1">
        <f t="array" ref="A19:A58">TD_service_codes</f>
        <v>WN127</v>
      </c>
      <c r="B19" t="s">
        <v>274</v>
      </c>
      <c r="C19" s="9" t="s">
        <v>275</v>
      </c>
      <c r="D19" s="9" t="s">
        <v>261</v>
      </c>
      <c r="E19" s="24">
        <f>INDEX('Top Down inputs'!$C$98:$Q$137,MATCH($A19,'Top Down inputs'!$A$98:$A$137,0),MATCH(E$1,'Top Down inputs'!$C$96:$Q$96,0))</f>
        <v>7967.3625678161361</v>
      </c>
      <c r="F19" s="24">
        <f>INDEX('Top Down inputs'!$C$98:$Q$137,MATCH($A19,'Top Down inputs'!$A$98:$A$137,0),MATCH(F$1,'Top Down inputs'!$C$96:$Q$96,0))</f>
        <v>7457.9053779264814</v>
      </c>
      <c r="G19" s="24">
        <f>INDEX('Top Down inputs'!$C$98:$Q$137,MATCH($A19,'Top Down inputs'!$A$98:$A$137,0),MATCH(G$1,'Top Down inputs'!$C$96:$Q$96,0))</f>
        <v>4709.7458087580098</v>
      </c>
      <c r="H19" s="24">
        <f>INDEX('Top Down inputs'!$C$98:$Q$137,MATCH($A19,'Top Down inputs'!$A$98:$A$137,0),MATCH(H$1,'Top Down inputs'!$C$96:$Q$96,0))</f>
        <v>2132.292793605031</v>
      </c>
      <c r="I19" s="24">
        <f>INDEX('Top Down inputs'!$C$98:$Q$137,MATCH($A19,'Top Down inputs'!$A$98:$A$137,0),MATCH(I$1,'Top Down inputs'!$C$96:$Q$96,0))</f>
        <v>1583.8614663116955</v>
      </c>
      <c r="J19" s="24">
        <f>INDEX('Top Down inputs'!$C$98:$Q$137,MATCH($A19,'Top Down inputs'!$A$98:$A$137,0),MATCH(J$1,'Top Down inputs'!$C$96:$Q$96,0))</f>
        <v>848.52351475404328</v>
      </c>
      <c r="K19" s="24">
        <f>INDEX('Top Down inputs'!$C$98:$Q$137,MATCH($A19,'Top Down inputs'!$A$98:$A$137,0),MATCH(K$1,'Top Down inputs'!$C$96:$Q$96,0))</f>
        <v>277.45686143935683</v>
      </c>
      <c r="L19" s="24">
        <f>INDEX('Top Down inputs'!$C$98:$Q$137,MATCH($A19,'Top Down inputs'!$A$98:$A$137,0),MATCH(L$1,'Top Down inputs'!$C$96:$Q$96,0))</f>
        <v>192.72183984362792</v>
      </c>
      <c r="M19" s="24">
        <f>INDEX('Top Down inputs'!$C$98:$Q$137,MATCH($A19,'Top Down inputs'!$A$98:$A$137,0),MATCH(M$1,'Top Down inputs'!$C$96:$Q$96,0))</f>
        <v>155.89258413243067</v>
      </c>
      <c r="N19" s="24">
        <f>INDEX('Top Down inputs'!$C$98:$Q$137,MATCH($A19,'Top Down inputs'!$A$98:$A$137,0),MATCH(N$1,'Top Down inputs'!$C$96:$Q$96,0))</f>
        <v>128.86783790320865</v>
      </c>
      <c r="O19" s="24">
        <f>INDEX('Top Down inputs'!$C$98:$Q$137,MATCH($A19,'Top Down inputs'!$A$98:$A$137,0),MATCH(O$1,'Top Down inputs'!$C$96:$Q$96,0))</f>
        <v>90.651697756157276</v>
      </c>
      <c r="P19" s="24">
        <f>INDEX('Top Down inputs'!$C$98:$Q$137,MATCH($A19,'Top Down inputs'!$A$98:$A$137,0),MATCH(P$1,'Top Down inputs'!$C$96:$Q$96,0))</f>
        <v>93.785060083733441</v>
      </c>
      <c r="Q19" s="24">
        <f>INDEX('Top Down inputs'!$C$98:$Q$137,MATCH($A19,'Top Down inputs'!$A$98:$A$137,0),MATCH(Q$1,'Top Down inputs'!$C$96:$Q$96,0))</f>
        <v>0</v>
      </c>
      <c r="R19" s="24">
        <f>INDEX('Top Down inputs'!$C$98:$Q$137,MATCH($A19,'Top Down inputs'!$A$98:$A$137,0),MATCH(R$1,'Top Down inputs'!$C$96:$Q$96,0))</f>
        <v>0</v>
      </c>
      <c r="S19" s="24">
        <f>INDEX('Top Down inputs'!$C$98:$Q$137,MATCH($A19,'Top Down inputs'!$A$98:$A$137,0),MATCH(S$1,'Top Down inputs'!$C$96:$Q$96,0))</f>
        <v>0</v>
      </c>
      <c r="W19" s="9" t="str" cm="1">
        <f t="array" ref="W19:W58">TD_service_codes</f>
        <v>WN127</v>
      </c>
      <c r="X19" t="s">
        <v>274</v>
      </c>
      <c r="Y19" s="12">
        <f>IF(AND($C19="Rentals",$D19="Legacy"),E19-SUMIFS(E$19:E$58,$C$19:$C$58,"Rentals",$D$19:$D$58,"FTTC")*E19/SUMIFS(E$19:E$58,$C$19:$C$58,"Rentals",$D$19:$D$58,"Legacy"),E19)</f>
        <v>3820.5548656066276</v>
      </c>
      <c r="Z19" s="26">
        <f>IF(AND($C19="Rentals",$D19="Legacy"),F19-SUMIFS(F$19:F$58,$C$19:$C$58,"Rentals",$D$19:$D$58,"FTTC")*F19/SUMIFS(F$19:F$58,$C$19:$C$58,"Rentals",$D$19:$D$58,"Legacy"),F19)</f>
        <v>3214.2811211359221</v>
      </c>
      <c r="AA19" s="26">
        <f t="shared" ref="Z19:AJ34" si="14">IF(AND($C19="Rentals",$D19="Legacy"),G19-SUMIFS(G$19:G$58,$C$19:$C$58,"Rentals",$D$19:$D$58,"FTTC")*G19/SUMIFS(G$19:G$58,$C$19:$C$58,"Rentals",$D$19:$D$58,"Legacy"),G19)</f>
        <v>1825.3657921716563</v>
      </c>
      <c r="AB19" s="26">
        <f t="shared" si="14"/>
        <v>982.18516363367644</v>
      </c>
      <c r="AC19" s="26">
        <f t="shared" si="14"/>
        <v>815.66540430196721</v>
      </c>
      <c r="AD19" s="26">
        <f t="shared" si="14"/>
        <v>578.54391534972285</v>
      </c>
      <c r="AE19" s="26">
        <f t="shared" si="14"/>
        <v>267.87685656885373</v>
      </c>
      <c r="AF19" s="26">
        <f t="shared" si="14"/>
        <v>192.72183984362792</v>
      </c>
      <c r="AG19" s="26">
        <f t="shared" si="14"/>
        <v>155.89258413243067</v>
      </c>
      <c r="AH19" s="26">
        <f t="shared" si="14"/>
        <v>128.86783790320865</v>
      </c>
      <c r="AI19" s="26">
        <f t="shared" si="14"/>
        <v>90.651697756157276</v>
      </c>
      <c r="AJ19" s="26">
        <f t="shared" si="14"/>
        <v>93.785060083733441</v>
      </c>
      <c r="AK19" s="26">
        <f>IF(Q19=0,Q19,IF(AND($C19="Rentals",$D19="Legacy"),Q19-SUMIFS(Q$19:Q$58,$C$19:$C$58,"Rentals",$D$19:$D$58,"FTTC")*Q19/SUMIFS(Q$19:Q$58,$C$19:$C$58,"Rentals",$D$19:$D$58,"Legacy"),Q19))</f>
        <v>0</v>
      </c>
      <c r="AL19" s="26">
        <f>IF(R19=0,R19,IF(AND($C19="Rentals",$D19="Legacy"),R19-SUMIFS(R$19:R$58,$C$19:$C$58,"Rentals",$D$19:$D$58,"FTTC")*R19/SUMIFS(R$19:R$58,$C$19:$C$58,"Rentals",$D$19:$D$58,"Legacy"),R19))</f>
        <v>0</v>
      </c>
      <c r="AM19" s="26">
        <f>IF(S19=0,S19,IF(AND($C19="Rentals",$D19="Legacy"),S19-SUMIFS(S$19:S$58,$C$19:$C$58,"Rentals",$D$19:$D$58,"FTTC")*S19/SUMIFS(S$19:S$58,$C$19:$C$58,"Rentals",$D$19:$D$58,"Legacy"),S19))</f>
        <v>0</v>
      </c>
      <c r="AN19" s="12"/>
      <c r="AO19" s="6">
        <v>6.3330744601859973E-2</v>
      </c>
      <c r="AQ19">
        <v>6995245</v>
      </c>
      <c r="AS19">
        <v>450059.0967675033</v>
      </c>
      <c r="AT19">
        <v>424096.44114636962</v>
      </c>
      <c r="AU19">
        <v>386350.148860819</v>
      </c>
      <c r="AV19">
        <v>347408.81101714243</v>
      </c>
      <c r="AW19">
        <v>301046.23085438652</v>
      </c>
      <c r="AX19">
        <v>265307.59188368014</v>
      </c>
      <c r="AY19">
        <v>231787.21740735925</v>
      </c>
      <c r="AZ19">
        <v>195142.73153316817</v>
      </c>
      <c r="BA19">
        <v>156074.52880048362</v>
      </c>
      <c r="BB19">
        <v>118556.9430290501</v>
      </c>
      <c r="BC19">
        <v>92194.84453187896</v>
      </c>
      <c r="BD19">
        <v>61054.537784027219</v>
      </c>
      <c r="BE19">
        <v>29043.417592067573</v>
      </c>
    </row>
    <row r="20" spans="1:57" x14ac:dyDescent="0.45">
      <c r="A20" s="9" t="str">
        <v>WN346</v>
      </c>
      <c r="B20" t="s">
        <v>276</v>
      </c>
      <c r="C20" s="9" t="s">
        <v>275</v>
      </c>
      <c r="D20" s="9" t="s">
        <v>261</v>
      </c>
      <c r="E20" s="24">
        <f>INDEX('Top Down inputs'!$C$98:$Q$137,MATCH($A20,'Top Down inputs'!$A$98:$A$137,0),MATCH(E$1,'Top Down inputs'!$C$96:$Q$96,0))</f>
        <v>32.03909989374953</v>
      </c>
      <c r="F20" s="24">
        <f>INDEX('Top Down inputs'!$C$98:$Q$137,MATCH($A20,'Top Down inputs'!$A$98:$A$137,0),MATCH(F$1,'Top Down inputs'!$C$96:$Q$96,0))</f>
        <v>28.603715261756275</v>
      </c>
      <c r="G20" s="24">
        <f>INDEX('Top Down inputs'!$C$98:$Q$137,MATCH($A20,'Top Down inputs'!$A$98:$A$137,0),MATCH(G$1,'Top Down inputs'!$C$96:$Q$96,0))</f>
        <v>10.808388524616854</v>
      </c>
      <c r="H20" s="24">
        <f>INDEX('Top Down inputs'!$C$98:$Q$137,MATCH($A20,'Top Down inputs'!$A$98:$A$137,0),MATCH(H$1,'Top Down inputs'!$C$96:$Q$96,0))</f>
        <v>7.0179372416421266</v>
      </c>
      <c r="I20" s="24">
        <f>INDEX('Top Down inputs'!$C$98:$Q$137,MATCH($A20,'Top Down inputs'!$A$98:$A$137,0),MATCH(I$1,'Top Down inputs'!$C$96:$Q$96,0))</f>
        <v>5.212905283615024</v>
      </c>
      <c r="J20" s="24">
        <f>INDEX('Top Down inputs'!$C$98:$Q$137,MATCH($A20,'Top Down inputs'!$A$98:$A$137,0),MATCH(J$1,'Top Down inputs'!$C$96:$Q$96,0))</f>
        <v>2.7927143929028859</v>
      </c>
      <c r="K20" s="24">
        <f>INDEX('Top Down inputs'!$C$98:$Q$137,MATCH($A20,'Top Down inputs'!$A$98:$A$137,0),MATCH(K$1,'Top Down inputs'!$C$96:$Q$96,0))</f>
        <v>0.91318361468857723</v>
      </c>
      <c r="L20" s="24">
        <f>INDEX('Top Down inputs'!$C$98:$Q$137,MATCH($A20,'Top Down inputs'!$A$98:$A$137,0),MATCH(L$1,'Top Down inputs'!$C$96:$Q$96,0))</f>
        <v>0.6342983389376482</v>
      </c>
      <c r="M20" s="24">
        <f>INDEX('Top Down inputs'!$C$98:$Q$137,MATCH($A20,'Top Down inputs'!$A$98:$A$137,0),MATCH(M$1,'Top Down inputs'!$C$96:$Q$96,0))</f>
        <v>0.51308355735982103</v>
      </c>
      <c r="N20" s="24">
        <f>INDEX('Top Down inputs'!$C$98:$Q$137,MATCH($A20,'Top Down inputs'!$A$98:$A$137,0),MATCH(N$1,'Top Down inputs'!$C$96:$Q$96,0))</f>
        <v>0.42413799904989857</v>
      </c>
      <c r="O20" s="24">
        <f>INDEX('Top Down inputs'!$C$98:$Q$137,MATCH($A20,'Top Down inputs'!$A$98:$A$137,0),MATCH(O$1,'Top Down inputs'!$C$96:$Q$96,0))</f>
        <v>0.2983586154805456</v>
      </c>
      <c r="P20" s="24">
        <f>INDEX('Top Down inputs'!$C$98:$Q$137,MATCH($A20,'Top Down inputs'!$A$98:$A$137,0),MATCH(P$1,'Top Down inputs'!$C$96:$Q$96,0))</f>
        <v>0.30867133624578935</v>
      </c>
      <c r="Q20" s="24">
        <f>INDEX('Top Down inputs'!$C$98:$Q$137,MATCH($A20,'Top Down inputs'!$A$98:$A$137,0),MATCH(Q$1,'Top Down inputs'!$C$96:$Q$96,0))</f>
        <v>0</v>
      </c>
      <c r="R20" s="24">
        <f>INDEX('Top Down inputs'!$C$98:$Q$137,MATCH($A20,'Top Down inputs'!$A$98:$A$137,0),MATCH(R$1,'Top Down inputs'!$C$96:$Q$96,0))</f>
        <v>0</v>
      </c>
      <c r="S20" s="24">
        <f>INDEX('Top Down inputs'!$C$98:$Q$137,MATCH($A20,'Top Down inputs'!$A$98:$A$137,0),MATCH(S$1,'Top Down inputs'!$C$96:$Q$96,0))</f>
        <v>0</v>
      </c>
      <c r="W20" s="9" t="str">
        <v>WN346</v>
      </c>
      <c r="X20" t="s">
        <v>276</v>
      </c>
      <c r="Y20" s="12">
        <f t="shared" ref="Y20:AJ35" si="15">IF(AND($C20="Rentals",$D20="Legacy"),E20-SUMIFS(E$19:E$58,$C$19:$C$58,"Rentals",$D$19:$D$58,"FTTC")*E20/SUMIFS(E$19:E$58,$C$19:$C$58,"Rentals",$D$19:$D$58,"Legacy"),E20)</f>
        <v>15.363570811146541</v>
      </c>
      <c r="Z20" s="26">
        <f t="shared" si="14"/>
        <v>12.327909419758932</v>
      </c>
      <c r="AA20" s="26">
        <f t="shared" si="14"/>
        <v>4.1890291923289622</v>
      </c>
      <c r="AB20" s="26">
        <f t="shared" si="14"/>
        <v>3.2326300866024185</v>
      </c>
      <c r="AC20" s="26">
        <f t="shared" si="14"/>
        <v>2.6845696963947359</v>
      </c>
      <c r="AD20" s="26">
        <f t="shared" si="14"/>
        <v>1.9041404171243221</v>
      </c>
      <c r="AE20" s="26">
        <f t="shared" si="14"/>
        <v>0.88165329523280012</v>
      </c>
      <c r="AF20" s="26">
        <f t="shared" si="14"/>
        <v>0.6342983389376482</v>
      </c>
      <c r="AG20" s="26">
        <f t="shared" si="14"/>
        <v>0.51308355735982103</v>
      </c>
      <c r="AH20" s="26">
        <f t="shared" si="14"/>
        <v>0.42413799904989857</v>
      </c>
      <c r="AI20" s="26">
        <f t="shared" si="14"/>
        <v>0.2983586154805456</v>
      </c>
      <c r="AJ20" s="26">
        <f t="shared" si="14"/>
        <v>0.30867133624578935</v>
      </c>
      <c r="AK20" s="26">
        <f t="shared" ref="AK20:AM58" si="16">IF(Q20=0,Q20,IF(AND($C20="Rentals",$D20="Legacy"),Q20-SUMIFS(Q$19:Q$58,$C$19:$C$58,"Rentals",$D$19:$D$58,"FTTC")*Q20/SUMIFS(Q$19:Q$58,$C$19:$C$58,"Rentals",$D$19:$D$58,"Legacy"),Q20))</f>
        <v>0</v>
      </c>
      <c r="AL20" s="26">
        <f t="shared" si="16"/>
        <v>0</v>
      </c>
      <c r="AM20" s="26">
        <f t="shared" si="16"/>
        <v>0</v>
      </c>
      <c r="AN20" s="12"/>
      <c r="AO20" s="6">
        <v>2.0208342944041734E-2</v>
      </c>
      <c r="AQ20">
        <v>1361969</v>
      </c>
      <c r="AR20" s="95">
        <f>AQ20/AQ19</f>
        <v>0.19469925642347052</v>
      </c>
      <c r="AS20">
        <v>143610.32117560576</v>
      </c>
      <c r="AT20">
        <v>135325.84178367211</v>
      </c>
      <c r="AU20">
        <v>123281.29652894853</v>
      </c>
      <c r="AV20">
        <v>110855.42162739724</v>
      </c>
      <c r="AW20">
        <v>96061.486618585084</v>
      </c>
      <c r="AX20">
        <v>84657.567760316684</v>
      </c>
      <c r="AY20">
        <v>73961.479670894463</v>
      </c>
      <c r="AZ20">
        <v>62268.51218394663</v>
      </c>
      <c r="BA20">
        <v>49802.155693228036</v>
      </c>
      <c r="BB20">
        <v>37830.588889963859</v>
      </c>
      <c r="BC20">
        <v>29418.650415142962</v>
      </c>
      <c r="BD20">
        <v>19482.023235099306</v>
      </c>
      <c r="BE20">
        <v>9267.5263279673964</v>
      </c>
    </row>
    <row r="21" spans="1:57" x14ac:dyDescent="0.45">
      <c r="A21" s="9" t="str">
        <v>WX130</v>
      </c>
      <c r="B21" t="s">
        <v>277</v>
      </c>
      <c r="C21" s="9" t="s">
        <v>275</v>
      </c>
      <c r="D21" s="9" t="s">
        <v>261</v>
      </c>
      <c r="E21" s="24">
        <f>INDEX('Top Down inputs'!$C$98:$Q$137,MATCH($A21,'Top Down inputs'!$A$98:$A$137,0),MATCH(E$1,'Top Down inputs'!$C$96:$Q$96,0))</f>
        <v>69204.273614061225</v>
      </c>
      <c r="F21" s="24">
        <f>INDEX('Top Down inputs'!$C$98:$Q$137,MATCH($A21,'Top Down inputs'!$A$98:$A$137,0),MATCH(F$1,'Top Down inputs'!$C$96:$Q$96,0))</f>
        <v>64779.143658736721</v>
      </c>
      <c r="G21" s="24">
        <f>INDEX('Top Down inputs'!$C$98:$Q$137,MATCH($A21,'Top Down inputs'!$A$98:$A$137,0),MATCH(G$1,'Top Down inputs'!$C$96:$Q$96,0))</f>
        <v>51787.388910059613</v>
      </c>
      <c r="H21" s="24">
        <f>INDEX('Top Down inputs'!$C$98:$Q$137,MATCH($A21,'Top Down inputs'!$A$98:$A$137,0),MATCH(H$1,'Top Down inputs'!$C$96:$Q$96,0))</f>
        <v>49684.412529006462</v>
      </c>
      <c r="I21" s="24">
        <f>INDEX('Top Down inputs'!$C$98:$Q$137,MATCH($A21,'Top Down inputs'!$A$98:$A$137,0),MATCH(I$1,'Top Down inputs'!$C$96:$Q$96,0))</f>
        <v>36905.450657168847</v>
      </c>
      <c r="J21" s="24">
        <f>INDEX('Top Down inputs'!$C$98:$Q$137,MATCH($A21,'Top Down inputs'!$A$98:$A$137,0),MATCH(J$1,'Top Down inputs'!$C$96:$Q$96,0))</f>
        <v>19771.389967662846</v>
      </c>
      <c r="K21" s="24">
        <f>INDEX('Top Down inputs'!$C$98:$Q$137,MATCH($A21,'Top Down inputs'!$A$98:$A$137,0),MATCH(K$1,'Top Down inputs'!$C$96:$Q$96,0))</f>
        <v>6465.0038700594296</v>
      </c>
      <c r="L21" s="24">
        <f>INDEX('Top Down inputs'!$C$98:$Q$137,MATCH($A21,'Top Down inputs'!$A$98:$A$137,0),MATCH(L$1,'Top Down inputs'!$C$96:$Q$96,0))</f>
        <v>4490.5987690138727</v>
      </c>
      <c r="M21" s="24">
        <f>INDEX('Top Down inputs'!$C$98:$Q$137,MATCH($A21,'Top Down inputs'!$A$98:$A$137,0),MATCH(M$1,'Top Down inputs'!$C$96:$Q$96,0))</f>
        <v>3632.4427318226994</v>
      </c>
      <c r="N21" s="24">
        <f>INDEX('Top Down inputs'!$C$98:$Q$137,MATCH($A21,'Top Down inputs'!$A$98:$A$137,0),MATCH(N$1,'Top Down inputs'!$C$96:$Q$96,0))</f>
        <v>3002.7409178076182</v>
      </c>
      <c r="O21" s="24">
        <f>INDEX('Top Down inputs'!$C$98:$Q$137,MATCH($A21,'Top Down inputs'!$A$98:$A$137,0),MATCH(O$1,'Top Down inputs'!$C$96:$Q$96,0))</f>
        <v>2112.2691786417017</v>
      </c>
      <c r="P21" s="24">
        <f>INDEX('Top Down inputs'!$C$98:$Q$137,MATCH($A21,'Top Down inputs'!$A$98:$A$137,0),MATCH(P$1,'Top Down inputs'!$C$96:$Q$96,0))</f>
        <v>2185.2794457837372</v>
      </c>
      <c r="Q21" s="24">
        <f>INDEX('Top Down inputs'!$C$98:$Q$137,MATCH($A21,'Top Down inputs'!$A$98:$A$137,0),MATCH(Q$1,'Top Down inputs'!$C$96:$Q$96,0))</f>
        <v>0</v>
      </c>
      <c r="R21" s="24">
        <f>INDEX('Top Down inputs'!$C$98:$Q$137,MATCH($A21,'Top Down inputs'!$A$98:$A$137,0),MATCH(R$1,'Top Down inputs'!$C$96:$Q$96,0))</f>
        <v>0</v>
      </c>
      <c r="S21" s="24">
        <f>INDEX('Top Down inputs'!$C$98:$Q$137,MATCH($A21,'Top Down inputs'!$A$98:$A$137,0),MATCH(S$1,'Top Down inputs'!$C$96:$Q$96,0))</f>
        <v>0</v>
      </c>
      <c r="W21" s="9" t="str">
        <v>WX130</v>
      </c>
      <c r="X21" t="s">
        <v>277</v>
      </c>
      <c r="Y21" s="12">
        <f t="shared" si="15"/>
        <v>33185.225603388848</v>
      </c>
      <c r="Z21" s="26">
        <f t="shared" si="14"/>
        <v>27919.14994281144</v>
      </c>
      <c r="AA21" s="26">
        <f t="shared" si="14"/>
        <v>20071.343979228684</v>
      </c>
      <c r="AB21" s="26">
        <f t="shared" si="14"/>
        <v>22885.831156114902</v>
      </c>
      <c r="AC21" s="26">
        <f t="shared" si="14"/>
        <v>19005.765321966559</v>
      </c>
      <c r="AD21" s="26">
        <f t="shared" si="14"/>
        <v>13480.613282842893</v>
      </c>
      <c r="AE21" s="26">
        <f t="shared" si="14"/>
        <v>6241.7808138996606</v>
      </c>
      <c r="AF21" s="26">
        <f t="shared" si="14"/>
        <v>4490.5987690138727</v>
      </c>
      <c r="AG21" s="26">
        <f t="shared" si="14"/>
        <v>3632.4427318226994</v>
      </c>
      <c r="AH21" s="26">
        <f t="shared" si="14"/>
        <v>3002.7409178076182</v>
      </c>
      <c r="AI21" s="26">
        <f t="shared" si="14"/>
        <v>2112.2691786417017</v>
      </c>
      <c r="AJ21" s="26">
        <f t="shared" si="14"/>
        <v>2185.2794457837372</v>
      </c>
      <c r="AK21" s="26">
        <f t="shared" si="16"/>
        <v>0</v>
      </c>
      <c r="AL21" s="26">
        <f t="shared" si="16"/>
        <v>0</v>
      </c>
      <c r="AM21" s="26">
        <f t="shared" si="16"/>
        <v>0</v>
      </c>
      <c r="AN21" s="12"/>
      <c r="AO21" s="6">
        <v>3.8226080526555079E-3</v>
      </c>
      <c r="AS21">
        <v>27165.313439624326</v>
      </c>
      <c r="AT21">
        <v>25598.222178190579</v>
      </c>
      <c r="AU21">
        <v>23319.877248634886</v>
      </c>
      <c r="AV21">
        <v>20969.400042686404</v>
      </c>
      <c r="AW21">
        <v>18170.980832771853</v>
      </c>
      <c r="AX21">
        <v>16013.816725840476</v>
      </c>
      <c r="AY21">
        <v>13990.545813635708</v>
      </c>
      <c r="AZ21">
        <v>11778.705298121073</v>
      </c>
      <c r="BA21">
        <v>9420.5705989697235</v>
      </c>
      <c r="BB21">
        <v>7156.0302657132688</v>
      </c>
      <c r="BC21">
        <v>5564.8288573972131</v>
      </c>
      <c r="BD21">
        <v>3685.2174919403683</v>
      </c>
      <c r="BE21">
        <v>1753.0443177643222</v>
      </c>
    </row>
    <row r="22" spans="1:57" x14ac:dyDescent="0.45">
      <c r="A22" s="9" t="str">
        <v>WX347</v>
      </c>
      <c r="B22" t="s">
        <v>278</v>
      </c>
      <c r="C22" s="9" t="s">
        <v>275</v>
      </c>
      <c r="D22" s="9" t="s">
        <v>261</v>
      </c>
      <c r="E22" s="24">
        <f>INDEX('Top Down inputs'!$C$98:$Q$137,MATCH($A22,'Top Down inputs'!$A$98:$A$137,0),MATCH(E$1,'Top Down inputs'!$C$96:$Q$96,0))</f>
        <v>1081825.3529945335</v>
      </c>
      <c r="F22" s="24">
        <f>INDEX('Top Down inputs'!$C$98:$Q$137,MATCH($A22,'Top Down inputs'!$A$98:$A$137,0),MATCH(F$1,'Top Down inputs'!$C$96:$Q$96,0))</f>
        <v>965826.89472001919</v>
      </c>
      <c r="G22" s="24">
        <f>INDEX('Top Down inputs'!$C$98:$Q$137,MATCH($A22,'Top Down inputs'!$A$98:$A$137,0),MATCH(G$1,'Top Down inputs'!$C$96:$Q$96,0))</f>
        <v>828529.03460863256</v>
      </c>
      <c r="H22" s="24">
        <f>INDEX('Top Down inputs'!$C$98:$Q$137,MATCH($A22,'Top Down inputs'!$A$98:$A$137,0),MATCH(H$1,'Top Down inputs'!$C$96:$Q$96,0))</f>
        <v>663408.81179025723</v>
      </c>
      <c r="I22" s="24">
        <f>INDEX('Top Down inputs'!$C$98:$Q$137,MATCH($A22,'Top Down inputs'!$A$98:$A$137,0),MATCH(I$1,'Top Down inputs'!$C$96:$Q$96,0))</f>
        <v>492778.31663527485</v>
      </c>
      <c r="J22" s="24">
        <f>INDEX('Top Down inputs'!$C$98:$Q$137,MATCH($A22,'Top Down inputs'!$A$98:$A$137,0),MATCH(J$1,'Top Down inputs'!$C$96:$Q$96,0))</f>
        <v>263996.56669446209</v>
      </c>
      <c r="K22" s="24">
        <f>INDEX('Top Down inputs'!$C$98:$Q$137,MATCH($A22,'Top Down inputs'!$A$98:$A$137,0),MATCH(K$1,'Top Down inputs'!$C$96:$Q$96,0))</f>
        <v>86323.664049597006</v>
      </c>
      <c r="L22" s="24">
        <f>INDEX('Top Down inputs'!$C$98:$Q$137,MATCH($A22,'Top Down inputs'!$A$98:$A$137,0),MATCH(L$1,'Top Down inputs'!$C$96:$Q$96,0))</f>
        <v>59960.511595845943</v>
      </c>
      <c r="M22" s="24">
        <f>INDEX('Top Down inputs'!$C$98:$Q$137,MATCH($A22,'Top Down inputs'!$A$98:$A$137,0),MATCH(M$1,'Top Down inputs'!$C$96:$Q$96,0))</f>
        <v>48502.022947494472</v>
      </c>
      <c r="N22" s="24">
        <f>INDEX('Top Down inputs'!$C$98:$Q$137,MATCH($A22,'Top Down inputs'!$A$98:$A$137,0),MATCH(N$1,'Top Down inputs'!$C$96:$Q$96,0))</f>
        <v>40093.958708553815</v>
      </c>
      <c r="O22" s="24">
        <f>INDEX('Top Down inputs'!$C$98:$Q$137,MATCH($A22,'Top Down inputs'!$A$98:$A$137,0),MATCH(O$1,'Top Down inputs'!$C$96:$Q$96,0))</f>
        <v>28203.976149778893</v>
      </c>
      <c r="P22" s="24">
        <f>INDEX('Top Down inputs'!$C$98:$Q$137,MATCH($A22,'Top Down inputs'!$A$98:$A$137,0),MATCH(P$1,'Top Down inputs'!$C$96:$Q$96,0))</f>
        <v>29178.842352431679</v>
      </c>
      <c r="Q22" s="24">
        <f>INDEX('Top Down inputs'!$C$98:$Q$137,MATCH($A22,'Top Down inputs'!$A$98:$A$137,0),MATCH(Q$1,'Top Down inputs'!$C$96:$Q$96,0))</f>
        <v>0</v>
      </c>
      <c r="R22" s="24">
        <f>INDEX('Top Down inputs'!$C$98:$Q$137,MATCH($A22,'Top Down inputs'!$A$98:$A$137,0),MATCH(R$1,'Top Down inputs'!$C$96:$Q$96,0))</f>
        <v>0</v>
      </c>
      <c r="S22" s="24">
        <f>INDEX('Top Down inputs'!$C$98:$Q$137,MATCH($A22,'Top Down inputs'!$A$98:$A$137,0),MATCH(S$1,'Top Down inputs'!$C$96:$Q$96,0))</f>
        <v>0</v>
      </c>
      <c r="W22" s="9" t="str">
        <v>WX347</v>
      </c>
      <c r="X22" t="s">
        <v>278</v>
      </c>
      <c r="Y22" s="12">
        <f t="shared" si="15"/>
        <v>518763.02615067014</v>
      </c>
      <c r="Z22" s="26">
        <f t="shared" si="14"/>
        <v>416261.53680794162</v>
      </c>
      <c r="AA22" s="26">
        <f t="shared" si="14"/>
        <v>321114.68835181685</v>
      </c>
      <c r="AB22" s="26">
        <f t="shared" si="14"/>
        <v>305581.99808132544</v>
      </c>
      <c r="AC22" s="26">
        <f t="shared" si="14"/>
        <v>253773.59915545429</v>
      </c>
      <c r="AD22" s="26">
        <f t="shared" si="14"/>
        <v>179999.2630476132</v>
      </c>
      <c r="AE22" s="26">
        <f t="shared" si="14"/>
        <v>83343.088554924776</v>
      </c>
      <c r="AF22" s="26">
        <f t="shared" si="14"/>
        <v>59960.511595845943</v>
      </c>
      <c r="AG22" s="26">
        <f t="shared" si="14"/>
        <v>48502.022947494472</v>
      </c>
      <c r="AH22" s="26">
        <f t="shared" si="14"/>
        <v>40093.958708553815</v>
      </c>
      <c r="AI22" s="26">
        <f t="shared" si="14"/>
        <v>28203.976149778893</v>
      </c>
      <c r="AJ22" s="26">
        <f t="shared" si="14"/>
        <v>29178.842352431679</v>
      </c>
      <c r="AK22" s="26">
        <f t="shared" si="16"/>
        <v>0</v>
      </c>
      <c r="AL22" s="26">
        <f t="shared" si="16"/>
        <v>0</v>
      </c>
      <c r="AM22" s="26">
        <f t="shared" si="16"/>
        <v>0</v>
      </c>
      <c r="AN22" s="12"/>
      <c r="AO22" s="6">
        <v>6.7184855593129585E-3</v>
      </c>
      <c r="AS22">
        <v>47744.828542266972</v>
      </c>
      <c r="AT22">
        <v>44990.562380253796</v>
      </c>
      <c r="AU22">
        <v>40986.221025476319</v>
      </c>
      <c r="AV22">
        <v>36855.102441480005</v>
      </c>
      <c r="AW22">
        <v>31936.696266498497</v>
      </c>
      <c r="AX22">
        <v>28145.338193201209</v>
      </c>
      <c r="AY22">
        <v>24589.306233088893</v>
      </c>
      <c r="AZ22">
        <v>20701.850768575539</v>
      </c>
      <c r="BA22">
        <v>16557.273635652589</v>
      </c>
      <c r="BB22">
        <v>12577.194768582731</v>
      </c>
      <c r="BC22">
        <v>9780.5534345847645</v>
      </c>
      <c r="BD22">
        <v>6477.0125949295598</v>
      </c>
      <c r="BE22">
        <v>3081.090912669787</v>
      </c>
    </row>
    <row r="23" spans="1:57" x14ac:dyDescent="0.45">
      <c r="A23" s="9" t="str">
        <v>WX129</v>
      </c>
      <c r="B23" t="s">
        <v>279</v>
      </c>
      <c r="C23" s="9" t="s">
        <v>3</v>
      </c>
      <c r="D23" s="9" t="s">
        <v>261</v>
      </c>
      <c r="E23" s="24">
        <f>INDEX('Top Down inputs'!$C$98:$Q$137,MATCH($A23,'Top Down inputs'!$A$98:$A$137,0),MATCH(E$1,'Top Down inputs'!$C$96:$Q$96,0))</f>
        <v>86335.220553897132</v>
      </c>
      <c r="F23" s="24">
        <f>INDEX('Top Down inputs'!$C$98:$Q$137,MATCH($A23,'Top Down inputs'!$A$98:$A$137,0),MATCH(F$1,'Top Down inputs'!$C$96:$Q$96,0))</f>
        <v>83785.807574472332</v>
      </c>
      <c r="G23" s="24">
        <f>INDEX('Top Down inputs'!$C$98:$Q$137,MATCH($A23,'Top Down inputs'!$A$98:$A$137,0),MATCH(G$1,'Top Down inputs'!$C$96:$Q$96,0))</f>
        <v>57793.797104339123</v>
      </c>
      <c r="H23" s="24">
        <f>INDEX('Top Down inputs'!$C$98:$Q$137,MATCH($A23,'Top Down inputs'!$A$98:$A$137,0),MATCH(H$1,'Top Down inputs'!$C$96:$Q$96,0))</f>
        <v>41330.89043685358</v>
      </c>
      <c r="I23" s="24">
        <f>INDEX('Top Down inputs'!$C$98:$Q$137,MATCH($A23,'Top Down inputs'!$A$98:$A$137,0),MATCH(I$1,'Top Down inputs'!$C$96:$Q$96,0))</f>
        <v>30791.654624088937</v>
      </c>
      <c r="J23" s="24">
        <f>INDEX('Top Down inputs'!$C$98:$Q$137,MATCH($A23,'Top Down inputs'!$A$98:$A$137,0),MATCH(J$1,'Top Down inputs'!$C$96:$Q$96,0))</f>
        <v>16496.040570749501</v>
      </c>
      <c r="K23" s="24">
        <f>INDEX('Top Down inputs'!$C$98:$Q$137,MATCH($A23,'Top Down inputs'!$A$98:$A$137,0),MATCH(K$1,'Top Down inputs'!$C$96:$Q$96,0))</f>
        <v>5394.0044834976025</v>
      </c>
      <c r="L23" s="24">
        <f>INDEX('Top Down inputs'!$C$98:$Q$137,MATCH($A23,'Top Down inputs'!$A$98:$A$137,0),MATCH(L$1,'Top Down inputs'!$C$96:$Q$96,0))</f>
        <v>3746.6814220835076</v>
      </c>
      <c r="M23" s="24">
        <f>INDEX('Top Down inputs'!$C$98:$Q$137,MATCH($A23,'Top Down inputs'!$A$98:$A$137,0),MATCH(M$1,'Top Down inputs'!$C$96:$Q$96,0))</f>
        <v>3030.6884226690813</v>
      </c>
      <c r="N23" s="24">
        <f>INDEX('Top Down inputs'!$C$98:$Q$137,MATCH($A23,'Top Down inputs'!$A$98:$A$137,0),MATCH(N$1,'Top Down inputs'!$C$96:$Q$96,0))</f>
        <v>2505.303677921404</v>
      </c>
      <c r="O23" s="24">
        <f>INDEX('Top Down inputs'!$C$98:$Q$137,MATCH($A23,'Top Down inputs'!$A$98:$A$137,0),MATCH(O$1,'Top Down inputs'!$C$96:$Q$96,0))</f>
        <v>0</v>
      </c>
      <c r="P23" s="24">
        <f>INDEX('Top Down inputs'!$C$98:$Q$137,MATCH($A23,'Top Down inputs'!$A$98:$A$137,0),MATCH(P$1,'Top Down inputs'!$C$96:$Q$96,0))</f>
        <v>0</v>
      </c>
      <c r="Q23" s="24">
        <f>INDEX('Top Down inputs'!$C$98:$Q$137,MATCH($A23,'Top Down inputs'!$A$98:$A$137,0),MATCH(Q$1,'Top Down inputs'!$C$96:$Q$96,0))</f>
        <v>0</v>
      </c>
      <c r="R23" s="24">
        <f>INDEX('Top Down inputs'!$C$98:$Q$137,MATCH($A23,'Top Down inputs'!$A$98:$A$137,0),MATCH(R$1,'Top Down inputs'!$C$96:$Q$96,0))</f>
        <v>0</v>
      </c>
      <c r="S23" s="24">
        <f>INDEX('Top Down inputs'!$C$98:$Q$137,MATCH($A23,'Top Down inputs'!$A$98:$A$137,0),MATCH(S$1,'Top Down inputs'!$C$96:$Q$96,0))</f>
        <v>0</v>
      </c>
      <c r="W23" s="9" t="str">
        <v>WX129</v>
      </c>
      <c r="X23" t="s">
        <v>279</v>
      </c>
      <c r="Y23" s="12">
        <f>IF(AND($C23="Rentals",$D23="Legacy"),E23-SUMIFS(E$19:E$58,$C$19:$C$58,"Rentals",$D$19:$D$58,"FTTC")*E23/SUMIFS(E$19:E$58,$C$19:$C$58,"Rentals",$D$19:$D$58,"Legacy"),E23)</f>
        <v>86335.220553897132</v>
      </c>
      <c r="Z23" s="26">
        <f t="shared" si="14"/>
        <v>83785.807574472332</v>
      </c>
      <c r="AA23" s="26">
        <f t="shared" si="14"/>
        <v>57793.797104339123</v>
      </c>
      <c r="AB23" s="26">
        <f t="shared" si="14"/>
        <v>41330.89043685358</v>
      </c>
      <c r="AC23" s="26">
        <f t="shared" si="14"/>
        <v>30791.654624088937</v>
      </c>
      <c r="AD23" s="26">
        <f t="shared" si="14"/>
        <v>16496.040570749501</v>
      </c>
      <c r="AE23" s="26">
        <f t="shared" si="14"/>
        <v>5394.0044834976025</v>
      </c>
      <c r="AF23" s="26">
        <f t="shared" si="14"/>
        <v>3746.6814220835076</v>
      </c>
      <c r="AG23" s="26">
        <f t="shared" si="14"/>
        <v>3030.6884226690813</v>
      </c>
      <c r="AH23" s="26">
        <f t="shared" si="14"/>
        <v>2505.303677921404</v>
      </c>
      <c r="AI23" s="26">
        <f t="shared" si="14"/>
        <v>0</v>
      </c>
      <c r="AJ23" s="26">
        <f t="shared" si="14"/>
        <v>0</v>
      </c>
      <c r="AK23" s="26">
        <f t="shared" si="16"/>
        <v>0</v>
      </c>
      <c r="AL23" s="26">
        <f t="shared" si="16"/>
        <v>0</v>
      </c>
      <c r="AM23" s="26">
        <f t="shared" si="16"/>
        <v>0</v>
      </c>
      <c r="AN23" s="12"/>
      <c r="AO23" s="6">
        <v>1.4887267849031597E-3</v>
      </c>
      <c r="AS23">
        <v>10579.617156868662</v>
      </c>
      <c r="AT23">
        <v>9969.3085133593122</v>
      </c>
      <c r="AU23">
        <v>9081.9998813582861</v>
      </c>
      <c r="AV23">
        <v>8166.5991063902675</v>
      </c>
      <c r="AW23">
        <v>7076.7459025565086</v>
      </c>
      <c r="AX23">
        <v>6236.6315248374758</v>
      </c>
      <c r="AY23">
        <v>5448.6622748846257</v>
      </c>
      <c r="AZ23">
        <v>4587.2539970746175</v>
      </c>
      <c r="BA23">
        <v>3668.8709871823544</v>
      </c>
      <c r="BB23">
        <v>2786.9385988302624</v>
      </c>
      <c r="BC23">
        <v>2167.2401824336011</v>
      </c>
      <c r="BD23">
        <v>1435.2195969016582</v>
      </c>
      <c r="BE23">
        <v>682.72864887757487</v>
      </c>
    </row>
    <row r="24" spans="1:57" x14ac:dyDescent="0.45">
      <c r="A24" s="9" t="str">
        <v>WN123</v>
      </c>
      <c r="B24" t="s">
        <v>280</v>
      </c>
      <c r="C24" s="9" t="s">
        <v>3</v>
      </c>
      <c r="D24" s="9" t="s">
        <v>261</v>
      </c>
      <c r="E24" s="24">
        <f>INDEX('Top Down inputs'!$C$98:$Q$137,MATCH($A24,'Top Down inputs'!$A$98:$A$137,0),MATCH(E$1,'Top Down inputs'!$C$96:$Q$96,0))</f>
        <v>259.00942188487397</v>
      </c>
      <c r="F24" s="24">
        <f>INDEX('Top Down inputs'!$C$98:$Q$137,MATCH($A24,'Top Down inputs'!$A$98:$A$137,0),MATCH(F$1,'Top Down inputs'!$C$96:$Q$96,0))</f>
        <v>251.36107191008722</v>
      </c>
      <c r="G24" s="24">
        <f>INDEX('Top Down inputs'!$C$98:$Q$137,MATCH($A24,'Top Down inputs'!$A$98:$A$137,0),MATCH(G$1,'Top Down inputs'!$C$96:$Q$96,0))</f>
        <v>173.38390844998983</v>
      </c>
      <c r="H24" s="24">
        <f>INDEX('Top Down inputs'!$C$98:$Q$137,MATCH($A24,'Top Down inputs'!$A$98:$A$137,0),MATCH(H$1,'Top Down inputs'!$C$96:$Q$96,0))</f>
        <v>123.99447142610319</v>
      </c>
      <c r="I24" s="24">
        <f>INDEX('Top Down inputs'!$C$98:$Q$137,MATCH($A24,'Top Down inputs'!$A$98:$A$137,0),MATCH(I$1,'Top Down inputs'!$C$96:$Q$96,0))</f>
        <v>0</v>
      </c>
      <c r="J24" s="24">
        <f>INDEX('Top Down inputs'!$C$98:$Q$137,MATCH($A24,'Top Down inputs'!$A$98:$A$137,0),MATCH(J$1,'Top Down inputs'!$C$96:$Q$96,0))</f>
        <v>0</v>
      </c>
      <c r="K24" s="24">
        <f>INDEX('Top Down inputs'!$C$98:$Q$137,MATCH($A24,'Top Down inputs'!$A$98:$A$137,0),MATCH(K$1,'Top Down inputs'!$C$96:$Q$96,0))</f>
        <v>0</v>
      </c>
      <c r="L24" s="24">
        <f>INDEX('Top Down inputs'!$C$98:$Q$137,MATCH($A24,'Top Down inputs'!$A$98:$A$137,0),MATCH(L$1,'Top Down inputs'!$C$96:$Q$96,0))</f>
        <v>0</v>
      </c>
      <c r="M24" s="24">
        <f>INDEX('Top Down inputs'!$C$98:$Q$137,MATCH($A24,'Top Down inputs'!$A$98:$A$137,0),MATCH(M$1,'Top Down inputs'!$C$96:$Q$96,0))</f>
        <v>0</v>
      </c>
      <c r="N24" s="24">
        <f>INDEX('Top Down inputs'!$C$98:$Q$137,MATCH($A24,'Top Down inputs'!$A$98:$A$137,0),MATCH(N$1,'Top Down inputs'!$C$96:$Q$96,0))</f>
        <v>0</v>
      </c>
      <c r="O24" s="24">
        <f>INDEX('Top Down inputs'!$C$98:$Q$137,MATCH($A24,'Top Down inputs'!$A$98:$A$137,0),MATCH(O$1,'Top Down inputs'!$C$96:$Q$96,0))</f>
        <v>0</v>
      </c>
      <c r="P24" s="24">
        <f>INDEX('Top Down inputs'!$C$98:$Q$137,MATCH($A24,'Top Down inputs'!$A$98:$A$137,0),MATCH(P$1,'Top Down inputs'!$C$96:$Q$96,0))</f>
        <v>0</v>
      </c>
      <c r="Q24" s="24">
        <f>INDEX('Top Down inputs'!$C$98:$Q$137,MATCH($A24,'Top Down inputs'!$A$98:$A$137,0),MATCH(Q$1,'Top Down inputs'!$C$96:$Q$96,0))</f>
        <v>0</v>
      </c>
      <c r="R24" s="24">
        <f>INDEX('Top Down inputs'!$C$98:$Q$137,MATCH($A24,'Top Down inputs'!$A$98:$A$137,0),MATCH(R$1,'Top Down inputs'!$C$96:$Q$96,0))</f>
        <v>0</v>
      </c>
      <c r="S24" s="24">
        <f>INDEX('Top Down inputs'!$C$98:$Q$137,MATCH($A24,'Top Down inputs'!$A$98:$A$137,0),MATCH(S$1,'Top Down inputs'!$C$96:$Q$96,0))</f>
        <v>0</v>
      </c>
      <c r="W24" s="9" t="str">
        <v>WN123</v>
      </c>
      <c r="X24" t="s">
        <v>280</v>
      </c>
      <c r="Y24" s="12">
        <f t="shared" si="15"/>
        <v>259.00942188487397</v>
      </c>
      <c r="Z24" s="26">
        <f t="shared" si="14"/>
        <v>251.36107191008722</v>
      </c>
      <c r="AA24" s="26">
        <f t="shared" si="14"/>
        <v>173.38390844998983</v>
      </c>
      <c r="AB24" s="26">
        <f t="shared" si="14"/>
        <v>123.99447142610319</v>
      </c>
      <c r="AC24" s="26">
        <f t="shared" si="14"/>
        <v>0</v>
      </c>
      <c r="AD24" s="26">
        <f t="shared" si="14"/>
        <v>0</v>
      </c>
      <c r="AE24" s="26">
        <f t="shared" si="14"/>
        <v>0</v>
      </c>
      <c r="AF24" s="26">
        <f t="shared" si="14"/>
        <v>0</v>
      </c>
      <c r="AG24" s="26">
        <f t="shared" si="14"/>
        <v>0</v>
      </c>
      <c r="AH24" s="26">
        <f t="shared" si="14"/>
        <v>0</v>
      </c>
      <c r="AI24" s="26">
        <f t="shared" si="14"/>
        <v>0</v>
      </c>
      <c r="AJ24" s="26">
        <f t="shared" si="14"/>
        <v>0</v>
      </c>
      <c r="AK24" s="26">
        <f t="shared" si="16"/>
        <v>0</v>
      </c>
      <c r="AL24" s="26">
        <f t="shared" si="16"/>
        <v>0</v>
      </c>
      <c r="AM24" s="26">
        <f t="shared" si="16"/>
        <v>0</v>
      </c>
      <c r="AN24" s="12"/>
      <c r="AO24" s="6">
        <v>5.8212950542132172E-2</v>
      </c>
      <c r="AS24">
        <v>413689.56114237593</v>
      </c>
      <c r="AT24">
        <v>389824.96272154705</v>
      </c>
      <c r="AU24">
        <v>355128.97012298397</v>
      </c>
      <c r="AV24">
        <v>319334.50428826798</v>
      </c>
      <c r="AW24">
        <v>276718.51101379626</v>
      </c>
      <c r="AX24">
        <v>243867.9321058112</v>
      </c>
      <c r="AY24">
        <v>213056.35845684912</v>
      </c>
      <c r="AZ24">
        <v>179373.13465699038</v>
      </c>
      <c r="BA24">
        <v>143462.05595824149</v>
      </c>
      <c r="BB24">
        <v>108976.28796825772</v>
      </c>
      <c r="BC24">
        <v>84744.525880976493</v>
      </c>
      <c r="BD24">
        <v>56120.685312295122</v>
      </c>
      <c r="BE24">
        <v>26696.402237024489</v>
      </c>
    </row>
    <row r="25" spans="1:57" x14ac:dyDescent="0.45">
      <c r="A25" s="9" t="str">
        <v>WN300</v>
      </c>
      <c r="B25" t="s">
        <v>281</v>
      </c>
      <c r="C25" s="9" t="s">
        <v>275</v>
      </c>
      <c r="D25" s="9" t="s">
        <v>265</v>
      </c>
      <c r="E25" s="24">
        <f>INDEX('Top Down inputs'!$C$98:$Q$137,MATCH($A25,'Top Down inputs'!$A$98:$A$137,0),MATCH(E$1,'Top Down inputs'!$C$96:$Q$96,0))</f>
        <v>633694.28534892073</v>
      </c>
      <c r="F25" s="24">
        <f>INDEX('Top Down inputs'!$C$98:$Q$137,MATCH($A25,'Top Down inputs'!$A$98:$A$137,0),MATCH(F$1,'Top Down inputs'!$C$96:$Q$96,0))</f>
        <v>575167.22197028296</v>
      </c>
      <c r="G25" s="24">
        <f>INDEX('Top Down inputs'!$C$98:$Q$137,MATCH($A25,'Top Down inputs'!$A$98:$A$137,0),MATCH(G$1,'Top Down inputs'!$C$96:$Q$96,0))</f>
        <v>392061.43789407297</v>
      </c>
      <c r="H25" s="24">
        <f>INDEX('Top Down inputs'!$C$98:$Q$137,MATCH($A25,'Top Down inputs'!$A$98:$A$137,0),MATCH(H$1,'Top Down inputs'!$C$96:$Q$96,0))</f>
        <v>257790.97415180696</v>
      </c>
      <c r="I25" s="24">
        <f>INDEX('Top Down inputs'!$C$98:$Q$137,MATCH($A25,'Top Down inputs'!$A$98:$A$137,0),MATCH(I$1,'Top Down inputs'!$C$96:$Q$96,0))</f>
        <v>159981.80417045378</v>
      </c>
      <c r="J25" s="24">
        <f>INDEX('Top Down inputs'!$C$98:$Q$137,MATCH($A25,'Top Down inputs'!$A$98:$A$137,0),MATCH(J$1,'Top Down inputs'!$C$96:$Q$96,0))</f>
        <v>63101.115861931743</v>
      </c>
      <c r="K25" s="24">
        <f>INDEX('Top Down inputs'!$C$98:$Q$137,MATCH($A25,'Top Down inputs'!$A$98:$A$137,0),MATCH(K$1,'Top Down inputs'!$C$96:$Q$96,0))</f>
        <v>3648.5847411318782</v>
      </c>
      <c r="L25" s="24">
        <f>INDEX('Top Down inputs'!$C$98:$Q$137,MATCH($A25,'Top Down inputs'!$A$98:$A$137,0),MATCH(L$1,'Top Down inputs'!$C$96:$Q$96,0))</f>
        <v>0</v>
      </c>
      <c r="M25" s="24">
        <f>INDEX('Top Down inputs'!$C$98:$Q$137,MATCH($A25,'Top Down inputs'!$A$98:$A$137,0),MATCH(M$1,'Top Down inputs'!$C$96:$Q$96,0))</f>
        <v>0</v>
      </c>
      <c r="N25" s="24">
        <f>INDEX('Top Down inputs'!$C$98:$Q$137,MATCH($A25,'Top Down inputs'!$A$98:$A$137,0),MATCH(N$1,'Top Down inputs'!$C$96:$Q$96,0))</f>
        <v>0</v>
      </c>
      <c r="O25" s="24">
        <f>INDEX('Top Down inputs'!$C$98:$Q$137,MATCH($A25,'Top Down inputs'!$A$98:$A$137,0),MATCH(O$1,'Top Down inputs'!$C$96:$Q$96,0))</f>
        <v>0</v>
      </c>
      <c r="P25" s="24">
        <f>INDEX('Top Down inputs'!$C$98:$Q$137,MATCH($A25,'Top Down inputs'!$A$98:$A$137,0),MATCH(P$1,'Top Down inputs'!$C$96:$Q$96,0))</f>
        <v>0</v>
      </c>
      <c r="Q25" s="24">
        <f>INDEX('Top Down inputs'!$C$98:$Q$137,MATCH($A25,'Top Down inputs'!$A$98:$A$137,0),MATCH(Q$1,'Top Down inputs'!$C$96:$Q$96,0))</f>
        <v>0</v>
      </c>
      <c r="R25" s="24">
        <f>INDEX('Top Down inputs'!$C$98:$Q$137,MATCH($A25,'Top Down inputs'!$A$98:$A$137,0),MATCH(R$1,'Top Down inputs'!$C$96:$Q$96,0))</f>
        <v>0</v>
      </c>
      <c r="S25" s="24">
        <f>INDEX('Top Down inputs'!$C$98:$Q$137,MATCH($A25,'Top Down inputs'!$A$98:$A$137,0),MATCH(S$1,'Top Down inputs'!$C$96:$Q$96,0))</f>
        <v>0</v>
      </c>
      <c r="W25" s="9" t="str">
        <v>WN300</v>
      </c>
      <c r="X25" t="s">
        <v>281</v>
      </c>
      <c r="Y25" s="12">
        <f t="shared" si="15"/>
        <v>633694.28534892073</v>
      </c>
      <c r="Z25" s="26">
        <f t="shared" si="14"/>
        <v>575167.22197028296</v>
      </c>
      <c r="AA25" s="26">
        <f t="shared" si="14"/>
        <v>392061.43789407297</v>
      </c>
      <c r="AB25" s="26">
        <f t="shared" si="14"/>
        <v>257790.97415180696</v>
      </c>
      <c r="AC25" s="26">
        <f t="shared" si="14"/>
        <v>159981.80417045378</v>
      </c>
      <c r="AD25" s="26">
        <f t="shared" si="14"/>
        <v>63101.115861931743</v>
      </c>
      <c r="AE25" s="26">
        <f t="shared" si="14"/>
        <v>3648.5847411318782</v>
      </c>
      <c r="AF25" s="26">
        <f t="shared" si="14"/>
        <v>0</v>
      </c>
      <c r="AG25" s="26">
        <f t="shared" si="14"/>
        <v>0</v>
      </c>
      <c r="AH25" s="26">
        <f t="shared" si="14"/>
        <v>0</v>
      </c>
      <c r="AI25" s="26">
        <f t="shared" si="14"/>
        <v>0</v>
      </c>
      <c r="AJ25" s="26">
        <f t="shared" si="14"/>
        <v>0</v>
      </c>
      <c r="AK25" s="26">
        <f t="shared" si="16"/>
        <v>0</v>
      </c>
      <c r="AL25" s="26">
        <f t="shared" si="16"/>
        <v>0</v>
      </c>
      <c r="AM25" s="26">
        <f t="shared" si="16"/>
        <v>0</v>
      </c>
      <c r="AN25" s="12"/>
      <c r="AO25" s="6">
        <v>4.9175009704691816E-3</v>
      </c>
      <c r="AS25">
        <v>34946.155442133895</v>
      </c>
      <c r="AT25">
        <v>32930.209079660017</v>
      </c>
      <c r="AU25">
        <v>29999.287769438168</v>
      </c>
      <c r="AV25">
        <v>26975.573650150462</v>
      </c>
      <c r="AW25">
        <v>23375.615456431206</v>
      </c>
      <c r="AX25">
        <v>20600.584262237175</v>
      </c>
      <c r="AY25">
        <v>17997.796705355093</v>
      </c>
      <c r="AZ25">
        <v>15152.428377830543</v>
      </c>
      <c r="BA25">
        <v>12118.863463028945</v>
      </c>
      <c r="BB25">
        <v>9205.7007392913401</v>
      </c>
      <c r="BC25">
        <v>7158.7384659370491</v>
      </c>
      <c r="BD25">
        <v>4740.7582319138482</v>
      </c>
      <c r="BE25">
        <v>2255.1611400213897</v>
      </c>
    </row>
    <row r="26" spans="1:57" x14ac:dyDescent="0.45">
      <c r="A26" s="9" t="str">
        <v>WN301</v>
      </c>
      <c r="B26" t="s">
        <v>282</v>
      </c>
      <c r="C26" s="9" t="s">
        <v>275</v>
      </c>
      <c r="D26" s="9" t="s">
        <v>265</v>
      </c>
      <c r="E26" s="24">
        <f>INDEX('Top Down inputs'!$C$98:$Q$137,MATCH($A26,'Top Down inputs'!$A$98:$A$137,0),MATCH(E$1,'Top Down inputs'!$C$96:$Q$96,0))</f>
        <v>288917.88897414954</v>
      </c>
      <c r="F26" s="24">
        <f>INDEX('Top Down inputs'!$C$98:$Q$137,MATCH($A26,'Top Down inputs'!$A$98:$A$137,0),MATCH(F$1,'Top Down inputs'!$C$96:$Q$96,0))</f>
        <v>250090.11140994233</v>
      </c>
      <c r="G26" s="24">
        <f>INDEX('Top Down inputs'!$C$98:$Q$137,MATCH($A26,'Top Down inputs'!$A$98:$A$137,0),MATCH(G$1,'Top Down inputs'!$C$96:$Q$96,0))</f>
        <v>192878.15292062549</v>
      </c>
      <c r="H26" s="24">
        <f>INDEX('Top Down inputs'!$C$98:$Q$137,MATCH($A26,'Top Down inputs'!$A$98:$A$137,0),MATCH(H$1,'Top Down inputs'!$C$96:$Q$96,0))</f>
        <v>122202.61481215814</v>
      </c>
      <c r="I26" s="24">
        <f>INDEX('Top Down inputs'!$C$98:$Q$137,MATCH($A26,'Top Down inputs'!$A$98:$A$137,0),MATCH(I$1,'Top Down inputs'!$C$96:$Q$96,0))</f>
        <v>75672.134714452885</v>
      </c>
      <c r="J26" s="24">
        <f>INDEX('Top Down inputs'!$C$98:$Q$137,MATCH($A26,'Top Down inputs'!$A$98:$A$137,0),MATCH(J$1,'Top Down inputs'!$C$96:$Q$96,0))</f>
        <v>29576.139984274716</v>
      </c>
      <c r="K26" s="24">
        <f>INDEX('Top Down inputs'!$C$98:$Q$137,MATCH($A26,'Top Down inputs'!$A$98:$A$137,0),MATCH(K$1,'Top Down inputs'!$C$96:$Q$96,0))</f>
        <v>1703.9030397116865</v>
      </c>
      <c r="L26" s="24">
        <f>INDEX('Top Down inputs'!$C$98:$Q$137,MATCH($A26,'Top Down inputs'!$A$98:$A$137,0),MATCH(L$1,'Top Down inputs'!$C$96:$Q$96,0))</f>
        <v>0</v>
      </c>
      <c r="M26" s="24">
        <f>INDEX('Top Down inputs'!$C$98:$Q$137,MATCH($A26,'Top Down inputs'!$A$98:$A$137,0),MATCH(M$1,'Top Down inputs'!$C$96:$Q$96,0))</f>
        <v>0</v>
      </c>
      <c r="N26" s="24">
        <f>INDEX('Top Down inputs'!$C$98:$Q$137,MATCH($A26,'Top Down inputs'!$A$98:$A$137,0),MATCH(N$1,'Top Down inputs'!$C$96:$Q$96,0))</f>
        <v>0</v>
      </c>
      <c r="O26" s="24">
        <f>INDEX('Top Down inputs'!$C$98:$Q$137,MATCH($A26,'Top Down inputs'!$A$98:$A$137,0),MATCH(O$1,'Top Down inputs'!$C$96:$Q$96,0))</f>
        <v>0</v>
      </c>
      <c r="P26" s="24">
        <f>INDEX('Top Down inputs'!$C$98:$Q$137,MATCH($A26,'Top Down inputs'!$A$98:$A$137,0),MATCH(P$1,'Top Down inputs'!$C$96:$Q$96,0))</f>
        <v>0</v>
      </c>
      <c r="Q26" s="24">
        <f>INDEX('Top Down inputs'!$C$98:$Q$137,MATCH($A26,'Top Down inputs'!$A$98:$A$137,0),MATCH(Q$1,'Top Down inputs'!$C$96:$Q$96,0))</f>
        <v>0</v>
      </c>
      <c r="R26" s="24">
        <f>INDEX('Top Down inputs'!$C$98:$Q$137,MATCH($A26,'Top Down inputs'!$A$98:$A$137,0),MATCH(R$1,'Top Down inputs'!$C$96:$Q$96,0))</f>
        <v>0</v>
      </c>
      <c r="S26" s="24">
        <f>INDEX('Top Down inputs'!$C$98:$Q$137,MATCH($A26,'Top Down inputs'!$A$98:$A$137,0),MATCH(S$1,'Top Down inputs'!$C$96:$Q$96,0))</f>
        <v>0</v>
      </c>
      <c r="W26" s="9" t="str">
        <v>WN301</v>
      </c>
      <c r="X26" t="s">
        <v>282</v>
      </c>
      <c r="Y26" s="12">
        <f t="shared" si="15"/>
        <v>288917.88897414954</v>
      </c>
      <c r="Z26" s="26">
        <f t="shared" si="14"/>
        <v>250090.11140994233</v>
      </c>
      <c r="AA26" s="26">
        <f t="shared" si="14"/>
        <v>192878.15292062549</v>
      </c>
      <c r="AB26" s="26">
        <f t="shared" si="14"/>
        <v>122202.61481215814</v>
      </c>
      <c r="AC26" s="26">
        <f t="shared" si="14"/>
        <v>75672.134714452885</v>
      </c>
      <c r="AD26" s="26">
        <f t="shared" si="14"/>
        <v>29576.139984274716</v>
      </c>
      <c r="AE26" s="26">
        <f t="shared" si="14"/>
        <v>1703.9030397116865</v>
      </c>
      <c r="AF26" s="26">
        <f t="shared" si="14"/>
        <v>0</v>
      </c>
      <c r="AG26" s="26">
        <f t="shared" si="14"/>
        <v>0</v>
      </c>
      <c r="AH26" s="26">
        <f t="shared" si="14"/>
        <v>0</v>
      </c>
      <c r="AI26" s="26">
        <f t="shared" si="14"/>
        <v>0</v>
      </c>
      <c r="AJ26" s="26">
        <f t="shared" si="14"/>
        <v>0</v>
      </c>
      <c r="AK26" s="26">
        <f t="shared" si="16"/>
        <v>0</v>
      </c>
      <c r="AL26" s="26">
        <f t="shared" si="16"/>
        <v>0</v>
      </c>
      <c r="AM26" s="26">
        <f t="shared" si="16"/>
        <v>0</v>
      </c>
      <c r="AN26" s="12"/>
      <c r="AO26" s="6">
        <v>6.4861736921537827E-3</v>
      </c>
      <c r="AS26">
        <v>46093.907338682067</v>
      </c>
      <c r="AT26">
        <v>43434.878222146152</v>
      </c>
      <c r="AU26">
        <v>39568.999026535123</v>
      </c>
      <c r="AV26">
        <v>35580.726306123921</v>
      </c>
      <c r="AW26">
        <v>30832.388833660247</v>
      </c>
      <c r="AX26">
        <v>27172.128381292692</v>
      </c>
      <c r="AY26">
        <v>23739.056933194319</v>
      </c>
      <c r="AZ26">
        <v>19986.021946255318</v>
      </c>
      <c r="BA26">
        <v>15984.756046769478</v>
      </c>
      <c r="BB26">
        <v>12142.300390300721</v>
      </c>
      <c r="BC26">
        <v>9442.3613509404222</v>
      </c>
      <c r="BD26">
        <v>6253.0503825741525</v>
      </c>
      <c r="BE26">
        <v>2974.552917389392</v>
      </c>
    </row>
    <row r="27" spans="1:57" x14ac:dyDescent="0.45">
      <c r="A27" s="9" t="str">
        <v>WX310</v>
      </c>
      <c r="B27" t="s">
        <v>283</v>
      </c>
      <c r="C27" s="9" t="s">
        <v>275</v>
      </c>
      <c r="D27" s="9" t="s">
        <v>265</v>
      </c>
      <c r="E27" s="24">
        <f>INDEX('Top Down inputs'!$C$98:$Q$137,MATCH($A27,'Top Down inputs'!$A$98:$A$137,0),MATCH(E$1,'Top Down inputs'!$C$96:$Q$96,0))</f>
        <v>710001.39962209307</v>
      </c>
      <c r="F27" s="24">
        <f>INDEX('Top Down inputs'!$C$98:$Q$137,MATCH($A27,'Top Down inputs'!$A$98:$A$137,0),MATCH(F$1,'Top Down inputs'!$C$96:$Q$96,0))</f>
        <v>761310.28333642799</v>
      </c>
      <c r="G27" s="24">
        <f>INDEX('Top Down inputs'!$C$98:$Q$137,MATCH($A27,'Top Down inputs'!$A$98:$A$137,0),MATCH(G$1,'Top Down inputs'!$C$96:$Q$96,0))</f>
        <v>786338.37329970254</v>
      </c>
      <c r="H27" s="24">
        <f>INDEX('Top Down inputs'!$C$98:$Q$137,MATCH($A27,'Top Down inputs'!$A$98:$A$137,0),MATCH(H$1,'Top Down inputs'!$C$96:$Q$96,0))</f>
        <v>572240.21292980365</v>
      </c>
      <c r="I27" s="24">
        <f>INDEX('Top Down inputs'!$C$98:$Q$137,MATCH($A27,'Top Down inputs'!$A$98:$A$137,0),MATCH(I$1,'Top Down inputs'!$C$96:$Q$96,0))</f>
        <v>312652.31695828243</v>
      </c>
      <c r="J27" s="24">
        <f>INDEX('Top Down inputs'!$C$98:$Q$137,MATCH($A27,'Top Down inputs'!$A$98:$A$137,0),MATCH(J$1,'Top Down inputs'!$C$96:$Q$96,0))</f>
        <v>123318.4622412802</v>
      </c>
      <c r="K27" s="24">
        <f>INDEX('Top Down inputs'!$C$98:$Q$137,MATCH($A27,'Top Down inputs'!$A$98:$A$137,0),MATCH(K$1,'Top Down inputs'!$C$96:$Q$96,0))</f>
        <v>7130.4263559755136</v>
      </c>
      <c r="L27" s="24">
        <f>INDEX('Top Down inputs'!$C$98:$Q$137,MATCH($A27,'Top Down inputs'!$A$98:$A$137,0),MATCH(L$1,'Top Down inputs'!$C$96:$Q$96,0))</f>
        <v>0</v>
      </c>
      <c r="M27" s="24">
        <f>INDEX('Top Down inputs'!$C$98:$Q$137,MATCH($A27,'Top Down inputs'!$A$98:$A$137,0),MATCH(M$1,'Top Down inputs'!$C$96:$Q$96,0))</f>
        <v>0</v>
      </c>
      <c r="N27" s="24">
        <f>INDEX('Top Down inputs'!$C$98:$Q$137,MATCH($A27,'Top Down inputs'!$A$98:$A$137,0),MATCH(N$1,'Top Down inputs'!$C$96:$Q$96,0))</f>
        <v>0</v>
      </c>
      <c r="O27" s="24">
        <f>INDEX('Top Down inputs'!$C$98:$Q$137,MATCH($A27,'Top Down inputs'!$A$98:$A$137,0),MATCH(O$1,'Top Down inputs'!$C$96:$Q$96,0))</f>
        <v>0</v>
      </c>
      <c r="P27" s="24">
        <f>INDEX('Top Down inputs'!$C$98:$Q$137,MATCH($A27,'Top Down inputs'!$A$98:$A$137,0),MATCH(P$1,'Top Down inputs'!$C$96:$Q$96,0))</f>
        <v>0</v>
      </c>
      <c r="Q27" s="24">
        <f>INDEX('Top Down inputs'!$C$98:$Q$137,MATCH($A27,'Top Down inputs'!$A$98:$A$137,0),MATCH(Q$1,'Top Down inputs'!$C$96:$Q$96,0))</f>
        <v>0</v>
      </c>
      <c r="R27" s="24">
        <f>INDEX('Top Down inputs'!$C$98:$Q$137,MATCH($A27,'Top Down inputs'!$A$98:$A$137,0),MATCH(R$1,'Top Down inputs'!$C$96:$Q$96,0))</f>
        <v>0</v>
      </c>
      <c r="S27" s="24">
        <f>INDEX('Top Down inputs'!$C$98:$Q$137,MATCH($A27,'Top Down inputs'!$A$98:$A$137,0),MATCH(S$1,'Top Down inputs'!$C$96:$Q$96,0))</f>
        <v>0</v>
      </c>
      <c r="W27" s="9" t="str">
        <v>WX310</v>
      </c>
      <c r="X27" t="s">
        <v>283</v>
      </c>
      <c r="Y27" s="12">
        <f t="shared" si="15"/>
        <v>710001.39962209307</v>
      </c>
      <c r="Z27" s="26">
        <f t="shared" si="14"/>
        <v>761310.28333642799</v>
      </c>
      <c r="AA27" s="26">
        <f t="shared" si="14"/>
        <v>786338.37329970254</v>
      </c>
      <c r="AB27" s="26">
        <f t="shared" si="14"/>
        <v>572240.21292980365</v>
      </c>
      <c r="AC27" s="26">
        <f t="shared" si="14"/>
        <v>312652.31695828243</v>
      </c>
      <c r="AD27" s="26">
        <f t="shared" si="14"/>
        <v>123318.4622412802</v>
      </c>
      <c r="AE27" s="26">
        <f t="shared" si="14"/>
        <v>7130.4263559755136</v>
      </c>
      <c r="AF27" s="26">
        <f t="shared" si="14"/>
        <v>0</v>
      </c>
      <c r="AG27" s="26">
        <f t="shared" si="14"/>
        <v>0</v>
      </c>
      <c r="AH27" s="26">
        <f t="shared" si="14"/>
        <v>0</v>
      </c>
      <c r="AI27" s="26">
        <f t="shared" si="14"/>
        <v>0</v>
      </c>
      <c r="AJ27" s="26">
        <f t="shared" si="14"/>
        <v>0</v>
      </c>
      <c r="AK27" s="26">
        <f t="shared" si="16"/>
        <v>0</v>
      </c>
      <c r="AL27" s="26">
        <f t="shared" si="16"/>
        <v>0</v>
      </c>
      <c r="AM27" s="26">
        <f t="shared" si="16"/>
        <v>0</v>
      </c>
      <c r="AN27" s="12"/>
      <c r="AO27" s="6">
        <v>0.12718576536548987</v>
      </c>
      <c r="AS27">
        <v>903843.9551268887</v>
      </c>
      <c r="AT27">
        <v>851703.71507675759</v>
      </c>
      <c r="AU27">
        <v>775898.65223992732</v>
      </c>
      <c r="AV27">
        <v>697693.60524196969</v>
      </c>
      <c r="AW27">
        <v>604584.63771933282</v>
      </c>
      <c r="AX27">
        <v>532811.5016353348</v>
      </c>
      <c r="AY27">
        <v>465493.25818326749</v>
      </c>
      <c r="AZ27">
        <v>391900.92934466124</v>
      </c>
      <c r="BA27">
        <v>313441.10233254242</v>
      </c>
      <c r="BB27">
        <v>238095.3458440731</v>
      </c>
      <c r="BC27">
        <v>185152.9133007382</v>
      </c>
      <c r="BD27">
        <v>122614.50841791717</v>
      </c>
      <c r="BE27">
        <v>58327.267719637071</v>
      </c>
    </row>
    <row r="28" spans="1:57" x14ac:dyDescent="0.45">
      <c r="A28" s="9" t="str">
        <v>WX311</v>
      </c>
      <c r="B28" t="s">
        <v>284</v>
      </c>
      <c r="C28" s="9" t="s">
        <v>275</v>
      </c>
      <c r="D28" s="9" t="s">
        <v>265</v>
      </c>
      <c r="E28" s="24">
        <f>INDEX('Top Down inputs'!$C$98:$Q$137,MATCH($A28,'Top Down inputs'!$A$98:$A$137,0),MATCH(E$1,'Top Down inputs'!$C$96:$Q$96,0))</f>
        <v>557108.21962528361</v>
      </c>
      <c r="F28" s="24">
        <f>INDEX('Top Down inputs'!$C$98:$Q$137,MATCH($A28,'Top Down inputs'!$A$98:$A$137,0),MATCH(F$1,'Top Down inputs'!$C$96:$Q$96,0))</f>
        <v>482238.24841094512</v>
      </c>
      <c r="G28" s="24">
        <f>INDEX('Top Down inputs'!$C$98:$Q$137,MATCH($A28,'Top Down inputs'!$A$98:$A$137,0),MATCH(G$1,'Top Down inputs'!$C$96:$Q$96,0))</f>
        <v>382378.56678716827</v>
      </c>
      <c r="H28" s="24">
        <f>INDEX('Top Down inputs'!$C$98:$Q$137,MATCH($A28,'Top Down inputs'!$A$98:$A$137,0),MATCH(H$1,'Top Down inputs'!$C$96:$Q$96,0))</f>
        <v>293750.77698514832</v>
      </c>
      <c r="I28" s="24">
        <f>INDEX('Top Down inputs'!$C$98:$Q$137,MATCH($A28,'Top Down inputs'!$A$98:$A$137,0),MATCH(I$1,'Top Down inputs'!$C$96:$Q$96,0))</f>
        <v>181900.76008892694</v>
      </c>
      <c r="J28" s="24">
        <f>INDEX('Top Down inputs'!$C$98:$Q$137,MATCH($A28,'Top Down inputs'!$A$98:$A$137,0),MATCH(J$1,'Top Down inputs'!$C$96:$Q$96,0))</f>
        <v>71095.15760242645</v>
      </c>
      <c r="K28" s="24">
        <f>INDEX('Top Down inputs'!$C$98:$Q$137,MATCH($A28,'Top Down inputs'!$A$98:$A$137,0),MATCH(K$1,'Top Down inputs'!$C$96:$Q$96,0))</f>
        <v>4095.8439881595141</v>
      </c>
      <c r="L28" s="24">
        <f>INDEX('Top Down inputs'!$C$98:$Q$137,MATCH($A28,'Top Down inputs'!$A$98:$A$137,0),MATCH(L$1,'Top Down inputs'!$C$96:$Q$96,0))</f>
        <v>0</v>
      </c>
      <c r="M28" s="24">
        <f>INDEX('Top Down inputs'!$C$98:$Q$137,MATCH($A28,'Top Down inputs'!$A$98:$A$137,0),MATCH(M$1,'Top Down inputs'!$C$96:$Q$96,0))</f>
        <v>0</v>
      </c>
      <c r="N28" s="24">
        <f>INDEX('Top Down inputs'!$C$98:$Q$137,MATCH($A28,'Top Down inputs'!$A$98:$A$137,0),MATCH(N$1,'Top Down inputs'!$C$96:$Q$96,0))</f>
        <v>0</v>
      </c>
      <c r="O28" s="24">
        <f>INDEX('Top Down inputs'!$C$98:$Q$137,MATCH($A28,'Top Down inputs'!$A$98:$A$137,0),MATCH(O$1,'Top Down inputs'!$C$96:$Q$96,0))</f>
        <v>0</v>
      </c>
      <c r="P28" s="24">
        <f>INDEX('Top Down inputs'!$C$98:$Q$137,MATCH($A28,'Top Down inputs'!$A$98:$A$137,0),MATCH(P$1,'Top Down inputs'!$C$96:$Q$96,0))</f>
        <v>0</v>
      </c>
      <c r="Q28" s="24">
        <f>INDEX('Top Down inputs'!$C$98:$Q$137,MATCH($A28,'Top Down inputs'!$A$98:$A$137,0),MATCH(Q$1,'Top Down inputs'!$C$96:$Q$96,0))</f>
        <v>0</v>
      </c>
      <c r="R28" s="24">
        <f>INDEX('Top Down inputs'!$C$98:$Q$137,MATCH($A28,'Top Down inputs'!$A$98:$A$137,0),MATCH(R$1,'Top Down inputs'!$C$96:$Q$96,0))</f>
        <v>0</v>
      </c>
      <c r="S28" s="24">
        <f>INDEX('Top Down inputs'!$C$98:$Q$137,MATCH($A28,'Top Down inputs'!$A$98:$A$137,0),MATCH(S$1,'Top Down inputs'!$C$96:$Q$96,0))</f>
        <v>0</v>
      </c>
      <c r="W28" s="9" t="str">
        <v>WX311</v>
      </c>
      <c r="X28" t="s">
        <v>284</v>
      </c>
      <c r="Y28" s="12">
        <f t="shared" si="15"/>
        <v>557108.21962528361</v>
      </c>
      <c r="Z28" s="26">
        <f t="shared" si="14"/>
        <v>482238.24841094512</v>
      </c>
      <c r="AA28" s="26">
        <f t="shared" si="14"/>
        <v>382378.56678716827</v>
      </c>
      <c r="AB28" s="26">
        <f t="shared" si="14"/>
        <v>293750.77698514832</v>
      </c>
      <c r="AC28" s="26">
        <f t="shared" si="14"/>
        <v>181900.76008892694</v>
      </c>
      <c r="AD28" s="26">
        <f t="shared" si="14"/>
        <v>71095.15760242645</v>
      </c>
      <c r="AE28" s="26">
        <f t="shared" si="14"/>
        <v>4095.8439881595141</v>
      </c>
      <c r="AF28" s="26">
        <f t="shared" si="14"/>
        <v>0</v>
      </c>
      <c r="AG28" s="26">
        <f t="shared" si="14"/>
        <v>0</v>
      </c>
      <c r="AH28" s="26">
        <f t="shared" si="14"/>
        <v>0</v>
      </c>
      <c r="AI28" s="26">
        <f t="shared" si="14"/>
        <v>0</v>
      </c>
      <c r="AJ28" s="26">
        <f t="shared" si="14"/>
        <v>0</v>
      </c>
      <c r="AK28" s="26">
        <f t="shared" si="16"/>
        <v>0</v>
      </c>
      <c r="AL28" s="26">
        <f t="shared" si="16"/>
        <v>0</v>
      </c>
      <c r="AM28" s="26">
        <f t="shared" si="16"/>
        <v>0</v>
      </c>
      <c r="AN28" s="12"/>
      <c r="AO28" s="6">
        <v>0.1721003251175359</v>
      </c>
      <c r="AS28">
        <v>1223028.6784519672</v>
      </c>
      <c r="AT28">
        <v>1152475.5608247905</v>
      </c>
      <c r="AU28">
        <v>1049900.5916662246</v>
      </c>
      <c r="AV28">
        <v>944078.10457025387</v>
      </c>
      <c r="AW28">
        <v>818088.50553017296</v>
      </c>
      <c r="AX28">
        <v>720969.30339882488</v>
      </c>
      <c r="AY28">
        <v>629878.20093818929</v>
      </c>
      <c r="AZ28">
        <v>530297.37376869447</v>
      </c>
      <c r="BA28">
        <v>424130.13328664668</v>
      </c>
      <c r="BB28">
        <v>322176.67056517547</v>
      </c>
      <c r="BC28">
        <v>250538.0730614535</v>
      </c>
      <c r="BD28">
        <v>165914.76807337851</v>
      </c>
      <c r="BE28">
        <v>78925.040934579389</v>
      </c>
    </row>
    <row r="29" spans="1:57" x14ac:dyDescent="0.45">
      <c r="A29" s="9" t="str">
        <v>WN302</v>
      </c>
      <c r="B29" t="s">
        <v>285</v>
      </c>
      <c r="C29" s="9" t="s">
        <v>3</v>
      </c>
      <c r="D29" s="9" t="s">
        <v>265</v>
      </c>
      <c r="E29" s="24">
        <f>INDEX('Top Down inputs'!$C$98:$Q$137,MATCH($A29,'Top Down inputs'!$A$98:$A$137,0),MATCH(E$1,'Top Down inputs'!$C$96:$Q$96,0))</f>
        <v>1709.6283127186966</v>
      </c>
      <c r="F29" s="24">
        <f>INDEX('Top Down inputs'!$C$98:$Q$137,MATCH($A29,'Top Down inputs'!$A$98:$A$137,0),MATCH(F$1,'Top Down inputs'!$C$96:$Q$96,0))</f>
        <v>1463.9122278663885</v>
      </c>
      <c r="G29" s="24">
        <f>INDEX('Top Down inputs'!$C$98:$Q$137,MATCH($A29,'Top Down inputs'!$A$98:$A$137,0),MATCH(G$1,'Top Down inputs'!$C$96:$Q$96,0))</f>
        <v>1096.0752932374148</v>
      </c>
      <c r="H29" s="24">
        <f>INDEX('Top Down inputs'!$C$98:$Q$137,MATCH($A29,'Top Down inputs'!$A$98:$A$137,0),MATCH(H$1,'Top Down inputs'!$C$96:$Q$96,0))</f>
        <v>1810.7542041480074</v>
      </c>
      <c r="I29" s="24">
        <f>INDEX('Top Down inputs'!$C$98:$Q$137,MATCH($A29,'Top Down inputs'!$A$98:$A$137,0),MATCH(I$1,'Top Down inputs'!$C$96:$Q$96,0))</f>
        <v>35.539586313176514</v>
      </c>
      <c r="J29" s="24">
        <f>INDEX('Top Down inputs'!$C$98:$Q$137,MATCH($A29,'Top Down inputs'!$A$98:$A$137,0),MATCH(J$1,'Top Down inputs'!$C$96:$Q$96,0))</f>
        <v>14.017766365751779</v>
      </c>
      <c r="K29" s="24">
        <f>INDEX('Top Down inputs'!$C$98:$Q$137,MATCH($A29,'Top Down inputs'!$A$98:$A$137,0),MATCH(K$1,'Top Down inputs'!$C$96:$Q$96,0))</f>
        <v>0.81052462810231951</v>
      </c>
      <c r="L29" s="24">
        <f>INDEX('Top Down inputs'!$C$98:$Q$137,MATCH($A29,'Top Down inputs'!$A$98:$A$137,0),MATCH(L$1,'Top Down inputs'!$C$96:$Q$96,0))</f>
        <v>0</v>
      </c>
      <c r="M29" s="24">
        <f>INDEX('Top Down inputs'!$C$98:$Q$137,MATCH($A29,'Top Down inputs'!$A$98:$A$137,0),MATCH(M$1,'Top Down inputs'!$C$96:$Q$96,0))</f>
        <v>0</v>
      </c>
      <c r="N29" s="24">
        <f>INDEX('Top Down inputs'!$C$98:$Q$137,MATCH($A29,'Top Down inputs'!$A$98:$A$137,0),MATCH(N$1,'Top Down inputs'!$C$96:$Q$96,0))</f>
        <v>0</v>
      </c>
      <c r="O29" s="24">
        <f>INDEX('Top Down inputs'!$C$98:$Q$137,MATCH($A29,'Top Down inputs'!$A$98:$A$137,0),MATCH(O$1,'Top Down inputs'!$C$96:$Q$96,0))</f>
        <v>0</v>
      </c>
      <c r="P29" s="24">
        <f>INDEX('Top Down inputs'!$C$98:$Q$137,MATCH($A29,'Top Down inputs'!$A$98:$A$137,0),MATCH(P$1,'Top Down inputs'!$C$96:$Q$96,0))</f>
        <v>0</v>
      </c>
      <c r="Q29" s="24">
        <f>INDEX('Top Down inputs'!$C$98:$Q$137,MATCH($A29,'Top Down inputs'!$A$98:$A$137,0),MATCH(Q$1,'Top Down inputs'!$C$96:$Q$96,0))</f>
        <v>0</v>
      </c>
      <c r="R29" s="24">
        <f>INDEX('Top Down inputs'!$C$98:$Q$137,MATCH($A29,'Top Down inputs'!$A$98:$A$137,0),MATCH(R$1,'Top Down inputs'!$C$96:$Q$96,0))</f>
        <v>0</v>
      </c>
      <c r="S29" s="24">
        <f>INDEX('Top Down inputs'!$C$98:$Q$137,MATCH($A29,'Top Down inputs'!$A$98:$A$137,0),MATCH(S$1,'Top Down inputs'!$C$96:$Q$96,0))</f>
        <v>0</v>
      </c>
      <c r="W29" s="9" t="str">
        <v>WN302</v>
      </c>
      <c r="X29" t="s">
        <v>285</v>
      </c>
      <c r="Y29" s="12">
        <f t="shared" si="15"/>
        <v>1709.6283127186966</v>
      </c>
      <c r="Z29" s="26">
        <f t="shared" si="14"/>
        <v>1463.9122278663885</v>
      </c>
      <c r="AA29" s="26">
        <f t="shared" si="14"/>
        <v>1096.0752932374148</v>
      </c>
      <c r="AB29" s="26">
        <f t="shared" si="14"/>
        <v>1810.7542041480074</v>
      </c>
      <c r="AC29" s="26">
        <f t="shared" si="14"/>
        <v>35.539586313176514</v>
      </c>
      <c r="AD29" s="26">
        <f t="shared" si="14"/>
        <v>14.017766365751779</v>
      </c>
      <c r="AE29" s="26">
        <f t="shared" si="14"/>
        <v>0.81052462810231951</v>
      </c>
      <c r="AF29" s="26">
        <f t="shared" si="14"/>
        <v>0</v>
      </c>
      <c r="AG29" s="26">
        <f t="shared" si="14"/>
        <v>0</v>
      </c>
      <c r="AH29" s="26">
        <f t="shared" si="14"/>
        <v>0</v>
      </c>
      <c r="AI29" s="26">
        <f t="shared" si="14"/>
        <v>0</v>
      </c>
      <c r="AJ29" s="26">
        <f t="shared" si="14"/>
        <v>0</v>
      </c>
      <c r="AK29" s="26">
        <f t="shared" si="16"/>
        <v>0</v>
      </c>
      <c r="AL29" s="26">
        <f t="shared" si="16"/>
        <v>0</v>
      </c>
      <c r="AM29" s="26">
        <f t="shared" si="16"/>
        <v>0</v>
      </c>
      <c r="AN29" s="12"/>
      <c r="AO29" s="6">
        <v>0.27806951476908287</v>
      </c>
      <c r="AS29">
        <v>1976097.3195927946</v>
      </c>
      <c r="AT29">
        <v>1862101.7697840624</v>
      </c>
      <c r="AU29">
        <v>1696367.2083769513</v>
      </c>
      <c r="AV29">
        <v>1525385.49978147</v>
      </c>
      <c r="AW29">
        <v>1321818.9658594669</v>
      </c>
      <c r="AX29">
        <v>1164899.5097632583</v>
      </c>
      <c r="AY29">
        <v>1017719.9001738465</v>
      </c>
      <c r="AZ29">
        <v>856823.09610090731</v>
      </c>
      <c r="BA29">
        <v>685284.35539804341</v>
      </c>
      <c r="BB29">
        <v>520553.98729080393</v>
      </c>
      <c r="BC29">
        <v>404804.58337193925</v>
      </c>
      <c r="BD29">
        <v>268075.25796177791</v>
      </c>
      <c r="BE29">
        <v>127522.40776314648</v>
      </c>
    </row>
    <row r="30" spans="1:57" x14ac:dyDescent="0.45">
      <c r="A30" s="9" t="str">
        <v>WX312</v>
      </c>
      <c r="B30" t="s">
        <v>286</v>
      </c>
      <c r="C30" s="9" t="s">
        <v>3</v>
      </c>
      <c r="D30" s="9" t="s">
        <v>265</v>
      </c>
      <c r="E30" s="24">
        <f>INDEX('Top Down inputs'!$C$98:$Q$137,MATCH($A30,'Top Down inputs'!$A$98:$A$137,0),MATCH(E$1,'Top Down inputs'!$C$96:$Q$96,0))</f>
        <v>2732.824592394767</v>
      </c>
      <c r="F30" s="24">
        <f>INDEX('Top Down inputs'!$C$98:$Q$137,MATCH($A30,'Top Down inputs'!$A$98:$A$137,0),MATCH(F$1,'Top Down inputs'!$C$96:$Q$96,0))</f>
        <v>2547.1680828271465</v>
      </c>
      <c r="G30" s="24">
        <f>INDEX('Top Down inputs'!$C$98:$Q$137,MATCH($A30,'Top Down inputs'!$A$98:$A$137,0),MATCH(G$1,'Top Down inputs'!$C$96:$Q$96,0))</f>
        <v>2078.0620773471342</v>
      </c>
      <c r="H30" s="24">
        <f>INDEX('Top Down inputs'!$C$98:$Q$137,MATCH($A30,'Top Down inputs'!$A$98:$A$137,0),MATCH(H$1,'Top Down inputs'!$C$96:$Q$96,0))</f>
        <v>3555.9288729273039</v>
      </c>
      <c r="I30" s="24">
        <f>INDEX('Top Down inputs'!$C$98:$Q$137,MATCH($A30,'Top Down inputs'!$A$98:$A$137,0),MATCH(I$1,'Top Down inputs'!$C$96:$Q$96,0))</f>
        <v>3140.8877859960912</v>
      </c>
      <c r="J30" s="24">
        <f>INDEX('Top Down inputs'!$C$98:$Q$137,MATCH($A30,'Top Down inputs'!$A$98:$A$137,0),MATCH(J$1,'Top Down inputs'!$C$96:$Q$96,0))</f>
        <v>1238.8504125275329</v>
      </c>
      <c r="K30" s="24">
        <f>INDEX('Top Down inputs'!$C$98:$Q$137,MATCH($A30,'Top Down inputs'!$A$98:$A$137,0),MATCH(K$1,'Top Down inputs'!$C$96:$Q$96,0))</f>
        <v>71.631866567668567</v>
      </c>
      <c r="L30" s="24">
        <f>INDEX('Top Down inputs'!$C$98:$Q$137,MATCH($A30,'Top Down inputs'!$A$98:$A$137,0),MATCH(L$1,'Top Down inputs'!$C$96:$Q$96,0))</f>
        <v>0</v>
      </c>
      <c r="M30" s="24">
        <f>INDEX('Top Down inputs'!$C$98:$Q$137,MATCH($A30,'Top Down inputs'!$A$98:$A$137,0),MATCH(M$1,'Top Down inputs'!$C$96:$Q$96,0))</f>
        <v>0</v>
      </c>
      <c r="N30" s="24">
        <f>INDEX('Top Down inputs'!$C$98:$Q$137,MATCH($A30,'Top Down inputs'!$A$98:$A$137,0),MATCH(N$1,'Top Down inputs'!$C$96:$Q$96,0))</f>
        <v>0</v>
      </c>
      <c r="O30" s="24">
        <f>INDEX('Top Down inputs'!$C$98:$Q$137,MATCH($A30,'Top Down inputs'!$A$98:$A$137,0),MATCH(O$1,'Top Down inputs'!$C$96:$Q$96,0))</f>
        <v>0</v>
      </c>
      <c r="P30" s="24">
        <f>INDEX('Top Down inputs'!$C$98:$Q$137,MATCH($A30,'Top Down inputs'!$A$98:$A$137,0),MATCH(P$1,'Top Down inputs'!$C$96:$Q$96,0))</f>
        <v>0</v>
      </c>
      <c r="Q30" s="24">
        <f>INDEX('Top Down inputs'!$C$98:$Q$137,MATCH($A30,'Top Down inputs'!$A$98:$A$137,0),MATCH(Q$1,'Top Down inputs'!$C$96:$Q$96,0))</f>
        <v>0</v>
      </c>
      <c r="R30" s="24">
        <f>INDEX('Top Down inputs'!$C$98:$Q$137,MATCH($A30,'Top Down inputs'!$A$98:$A$137,0),MATCH(R$1,'Top Down inputs'!$C$96:$Q$96,0))</f>
        <v>0</v>
      </c>
      <c r="S30" s="24">
        <f>INDEX('Top Down inputs'!$C$98:$Q$137,MATCH($A30,'Top Down inputs'!$A$98:$A$137,0),MATCH(S$1,'Top Down inputs'!$C$96:$Q$96,0))</f>
        <v>0</v>
      </c>
      <c r="T30" s="8"/>
      <c r="W30" s="9" t="str">
        <v>WX312</v>
      </c>
      <c r="X30" t="s">
        <v>286</v>
      </c>
      <c r="Y30" s="12">
        <f t="shared" si="15"/>
        <v>2732.824592394767</v>
      </c>
      <c r="Z30" s="26">
        <f t="shared" si="14"/>
        <v>2547.1680828271465</v>
      </c>
      <c r="AA30" s="26">
        <f t="shared" si="14"/>
        <v>2078.0620773471342</v>
      </c>
      <c r="AB30" s="26">
        <f t="shared" si="14"/>
        <v>3555.9288729273039</v>
      </c>
      <c r="AC30" s="26">
        <f t="shared" si="14"/>
        <v>3140.8877859960912</v>
      </c>
      <c r="AD30" s="26">
        <f t="shared" si="14"/>
        <v>1238.8504125275329</v>
      </c>
      <c r="AE30" s="26">
        <f t="shared" si="14"/>
        <v>71.631866567668567</v>
      </c>
      <c r="AF30" s="26">
        <f t="shared" si="14"/>
        <v>0</v>
      </c>
      <c r="AG30" s="26">
        <f t="shared" si="14"/>
        <v>0</v>
      </c>
      <c r="AH30" s="26">
        <f t="shared" si="14"/>
        <v>0</v>
      </c>
      <c r="AI30" s="26">
        <f t="shared" si="14"/>
        <v>0</v>
      </c>
      <c r="AJ30" s="26">
        <f t="shared" si="14"/>
        <v>0</v>
      </c>
      <c r="AK30" s="26">
        <f t="shared" si="16"/>
        <v>0</v>
      </c>
      <c r="AL30" s="26">
        <f t="shared" si="16"/>
        <v>0</v>
      </c>
      <c r="AM30" s="26">
        <f t="shared" si="16"/>
        <v>0</v>
      </c>
      <c r="AN30" s="12"/>
      <c r="AO30" s="6">
        <v>0.25745886160036285</v>
      </c>
      <c r="AS30">
        <v>1829627.986140019</v>
      </c>
      <c r="AT30">
        <v>1724081.8441775097</v>
      </c>
      <c r="AU30">
        <v>1570631.6123419753</v>
      </c>
      <c r="AV30">
        <v>1412323.1545233121</v>
      </c>
      <c r="AW30">
        <v>1223845.0751228665</v>
      </c>
      <c r="AX30">
        <v>1078556.5685311691</v>
      </c>
      <c r="AY30">
        <v>942285.98609374138</v>
      </c>
      <c r="AZ30">
        <v>793314.93457032822</v>
      </c>
      <c r="BA30">
        <v>634490.7321460013</v>
      </c>
      <c r="BB30">
        <v>481970.26229471905</v>
      </c>
      <c r="BC30">
        <v>374800.26277636527</v>
      </c>
      <c r="BD30">
        <v>248205.38416581848</v>
      </c>
      <c r="BE30">
        <v>118070.38235925086</v>
      </c>
    </row>
    <row r="31" spans="1:57" x14ac:dyDescent="0.45">
      <c r="A31" s="9" t="str">
        <v>WX338</v>
      </c>
      <c r="B31" t="s">
        <v>287</v>
      </c>
      <c r="C31" s="9" t="s">
        <v>3</v>
      </c>
      <c r="D31" s="9" t="s">
        <v>265</v>
      </c>
      <c r="E31" s="24">
        <f>INDEX('Top Down inputs'!$C$98:$Q$137,MATCH($A31,'Top Down inputs'!$A$98:$A$137,0),MATCH(E$1,'Top Down inputs'!$C$96:$Q$96,0))</f>
        <v>2589.5833198113132</v>
      </c>
      <c r="F31" s="24">
        <f>INDEX('Top Down inputs'!$C$98:$Q$137,MATCH($A31,'Top Down inputs'!$A$98:$A$137,0),MATCH(F$1,'Top Down inputs'!$C$96:$Q$96,0))</f>
        <v>2100.8761763279663</v>
      </c>
      <c r="G31" s="24">
        <f>INDEX('Top Down inputs'!$C$98:$Q$137,MATCH($A31,'Top Down inputs'!$A$98:$A$137,0),MATCH(G$1,'Top Down inputs'!$C$96:$Q$96,0))</f>
        <v>1921.9718847002396</v>
      </c>
      <c r="H31" s="24">
        <f>INDEX('Top Down inputs'!$C$98:$Q$137,MATCH($A31,'Top Down inputs'!$A$98:$A$137,0),MATCH(H$1,'Top Down inputs'!$C$96:$Q$96,0))</f>
        <v>931.96487385813691</v>
      </c>
      <c r="I31" s="24">
        <f>INDEX('Top Down inputs'!$C$98:$Q$137,MATCH($A31,'Top Down inputs'!$A$98:$A$137,0),MATCH(I$1,'Top Down inputs'!$C$96:$Q$96,0))</f>
        <v>970.81409851991668</v>
      </c>
      <c r="J31" s="24">
        <f>INDEX('Top Down inputs'!$C$98:$Q$137,MATCH($A31,'Top Down inputs'!$A$98:$A$137,0),MATCH(J$1,'Top Down inputs'!$C$96:$Q$96,0))</f>
        <v>379.43866371525178</v>
      </c>
      <c r="K31" s="24">
        <f>INDEX('Top Down inputs'!$C$98:$Q$137,MATCH($A31,'Top Down inputs'!$A$98:$A$137,0),MATCH(K$1,'Top Down inputs'!$C$96:$Q$96,0))</f>
        <v>21.85973872291342</v>
      </c>
      <c r="L31" s="24">
        <f>INDEX('Top Down inputs'!$C$98:$Q$137,MATCH($A31,'Top Down inputs'!$A$98:$A$137,0),MATCH(L$1,'Top Down inputs'!$C$96:$Q$96,0))</f>
        <v>0</v>
      </c>
      <c r="M31" s="24">
        <f>INDEX('Top Down inputs'!$C$98:$Q$137,MATCH($A31,'Top Down inputs'!$A$98:$A$137,0),MATCH(M$1,'Top Down inputs'!$C$96:$Q$96,0))</f>
        <v>0</v>
      </c>
      <c r="N31" s="24">
        <f>INDEX('Top Down inputs'!$C$98:$Q$137,MATCH($A31,'Top Down inputs'!$A$98:$A$137,0),MATCH(N$1,'Top Down inputs'!$C$96:$Q$96,0))</f>
        <v>0</v>
      </c>
      <c r="O31" s="24">
        <f>INDEX('Top Down inputs'!$C$98:$Q$137,MATCH($A31,'Top Down inputs'!$A$98:$A$137,0),MATCH(O$1,'Top Down inputs'!$C$96:$Q$96,0))</f>
        <v>0</v>
      </c>
      <c r="P31" s="24">
        <f>INDEX('Top Down inputs'!$C$98:$Q$137,MATCH($A31,'Top Down inputs'!$A$98:$A$137,0),MATCH(P$1,'Top Down inputs'!$C$96:$Q$96,0))</f>
        <v>0</v>
      </c>
      <c r="Q31" s="24">
        <f>INDEX('Top Down inputs'!$C$98:$Q$137,MATCH($A31,'Top Down inputs'!$A$98:$A$137,0),MATCH(Q$1,'Top Down inputs'!$C$96:$Q$96,0))</f>
        <v>0</v>
      </c>
      <c r="R31" s="24">
        <f>INDEX('Top Down inputs'!$C$98:$Q$137,MATCH($A31,'Top Down inputs'!$A$98:$A$137,0),MATCH(R$1,'Top Down inputs'!$C$96:$Q$96,0))</f>
        <v>0</v>
      </c>
      <c r="S31" s="24">
        <f>INDEX('Top Down inputs'!$C$98:$Q$137,MATCH($A31,'Top Down inputs'!$A$98:$A$137,0),MATCH(S$1,'Top Down inputs'!$C$96:$Q$96,0))</f>
        <v>0</v>
      </c>
      <c r="T31" s="8"/>
      <c r="W31" s="9" t="str">
        <v>WX338</v>
      </c>
      <c r="X31" t="s">
        <v>287</v>
      </c>
      <c r="Y31" s="12">
        <f t="shared" si="15"/>
        <v>2589.5833198113132</v>
      </c>
      <c r="Z31" s="26">
        <f t="shared" si="14"/>
        <v>2100.8761763279663</v>
      </c>
      <c r="AA31" s="26">
        <f t="shared" si="14"/>
        <v>1921.9718847002396</v>
      </c>
      <c r="AB31" s="26">
        <f t="shared" si="14"/>
        <v>931.96487385813691</v>
      </c>
      <c r="AC31" s="26">
        <f t="shared" si="14"/>
        <v>970.81409851991668</v>
      </c>
      <c r="AD31" s="26">
        <f t="shared" si="14"/>
        <v>379.43866371525178</v>
      </c>
      <c r="AE31" s="26">
        <f t="shared" si="14"/>
        <v>21.85973872291342</v>
      </c>
      <c r="AF31" s="26">
        <f t="shared" si="14"/>
        <v>0</v>
      </c>
      <c r="AG31" s="26">
        <f t="shared" si="14"/>
        <v>0</v>
      </c>
      <c r="AH31" s="26">
        <f t="shared" si="14"/>
        <v>0</v>
      </c>
      <c r="AI31" s="26">
        <f t="shared" si="14"/>
        <v>0</v>
      </c>
      <c r="AJ31" s="26">
        <f t="shared" si="14"/>
        <v>0</v>
      </c>
      <c r="AK31" s="26">
        <f t="shared" si="16"/>
        <v>0</v>
      </c>
      <c r="AL31" s="26">
        <f t="shared" si="16"/>
        <v>0</v>
      </c>
      <c r="AM31" s="26">
        <f t="shared" si="16"/>
        <v>0</v>
      </c>
      <c r="AN31" s="12"/>
      <c r="AO31" s="6"/>
    </row>
    <row r="32" spans="1:57" x14ac:dyDescent="0.45">
      <c r="A32" s="9" t="str">
        <v>WN336</v>
      </c>
      <c r="B32" t="s">
        <v>288</v>
      </c>
      <c r="C32" s="9" t="s">
        <v>3</v>
      </c>
      <c r="D32" s="9" t="s">
        <v>265</v>
      </c>
      <c r="E32" s="24">
        <f>INDEX('Top Down inputs'!$C$98:$Q$137,MATCH($A32,'Top Down inputs'!$A$98:$A$137,0),MATCH(E$1,'Top Down inputs'!$C$96:$Q$96,0))</f>
        <v>864.80950071930272</v>
      </c>
      <c r="F32" s="24">
        <f>INDEX('Top Down inputs'!$C$98:$Q$137,MATCH($A32,'Top Down inputs'!$A$98:$A$137,0),MATCH(F$1,'Top Down inputs'!$C$96:$Q$96,0))</f>
        <v>1151.514728156184</v>
      </c>
      <c r="G32" s="24">
        <f>INDEX('Top Down inputs'!$C$98:$Q$137,MATCH($A32,'Top Down inputs'!$A$98:$A$137,0),MATCH(G$1,'Top Down inputs'!$C$96:$Q$96,0))</f>
        <v>943.58904469836091</v>
      </c>
      <c r="H32" s="24">
        <f>INDEX('Top Down inputs'!$C$98:$Q$137,MATCH($A32,'Top Down inputs'!$A$98:$A$137,0),MATCH(H$1,'Top Down inputs'!$C$96:$Q$96,0))</f>
        <v>520.40249164349473</v>
      </c>
      <c r="I32" s="24">
        <f>INDEX('Top Down inputs'!$C$98:$Q$137,MATCH($A32,'Top Down inputs'!$A$98:$A$137,0),MATCH(I$1,'Top Down inputs'!$C$96:$Q$96,0))</f>
        <v>14.74307005183573</v>
      </c>
      <c r="J32" s="24">
        <f>INDEX('Top Down inputs'!$C$98:$Q$137,MATCH($A32,'Top Down inputs'!$A$98:$A$137,0),MATCH(J$1,'Top Down inputs'!$C$96:$Q$96,0))</f>
        <v>5.7622677792355246</v>
      </c>
      <c r="K32" s="24">
        <f>INDEX('Top Down inputs'!$C$98:$Q$137,MATCH($A32,'Top Down inputs'!$A$98:$A$137,0),MATCH(K$1,'Top Down inputs'!$C$96:$Q$96,0))</f>
        <v>0.33196845801691555</v>
      </c>
      <c r="L32" s="24">
        <f>INDEX('Top Down inputs'!$C$98:$Q$137,MATCH($A32,'Top Down inputs'!$A$98:$A$137,0),MATCH(L$1,'Top Down inputs'!$C$96:$Q$96,0))</f>
        <v>0</v>
      </c>
      <c r="M32" s="24">
        <f>INDEX('Top Down inputs'!$C$98:$Q$137,MATCH($A32,'Top Down inputs'!$A$98:$A$137,0),MATCH(M$1,'Top Down inputs'!$C$96:$Q$96,0))</f>
        <v>0</v>
      </c>
      <c r="N32" s="24">
        <f>INDEX('Top Down inputs'!$C$98:$Q$137,MATCH($A32,'Top Down inputs'!$A$98:$A$137,0),MATCH(N$1,'Top Down inputs'!$C$96:$Q$96,0))</f>
        <v>0</v>
      </c>
      <c r="O32" s="24">
        <f>INDEX('Top Down inputs'!$C$98:$Q$137,MATCH($A32,'Top Down inputs'!$A$98:$A$137,0),MATCH(O$1,'Top Down inputs'!$C$96:$Q$96,0))</f>
        <v>0</v>
      </c>
      <c r="P32" s="24">
        <f>INDEX('Top Down inputs'!$C$98:$Q$137,MATCH($A32,'Top Down inputs'!$A$98:$A$137,0),MATCH(P$1,'Top Down inputs'!$C$96:$Q$96,0))</f>
        <v>0</v>
      </c>
      <c r="Q32" s="24">
        <f>INDEX('Top Down inputs'!$C$98:$Q$137,MATCH($A32,'Top Down inputs'!$A$98:$A$137,0),MATCH(Q$1,'Top Down inputs'!$C$96:$Q$96,0))</f>
        <v>0</v>
      </c>
      <c r="R32" s="24">
        <f>INDEX('Top Down inputs'!$C$98:$Q$137,MATCH($A32,'Top Down inputs'!$A$98:$A$137,0),MATCH(R$1,'Top Down inputs'!$C$96:$Q$96,0))</f>
        <v>0</v>
      </c>
      <c r="S32" s="24">
        <f>INDEX('Top Down inputs'!$C$98:$Q$137,MATCH($A32,'Top Down inputs'!$A$98:$A$137,0),MATCH(S$1,'Top Down inputs'!$C$96:$Q$96,0))</f>
        <v>0</v>
      </c>
      <c r="T32" s="8"/>
      <c r="W32" s="9" t="str">
        <v>WN336</v>
      </c>
      <c r="X32" t="s">
        <v>288</v>
      </c>
      <c r="Y32" s="12">
        <f t="shared" si="15"/>
        <v>864.80950071930272</v>
      </c>
      <c r="Z32" s="26">
        <f t="shared" si="14"/>
        <v>1151.514728156184</v>
      </c>
      <c r="AA32" s="26">
        <f t="shared" si="14"/>
        <v>943.58904469836091</v>
      </c>
      <c r="AB32" s="26">
        <f t="shared" si="14"/>
        <v>520.40249164349473</v>
      </c>
      <c r="AC32" s="26">
        <f t="shared" si="14"/>
        <v>14.74307005183573</v>
      </c>
      <c r="AD32" s="26">
        <f t="shared" si="14"/>
        <v>5.7622677792355246</v>
      </c>
      <c r="AE32" s="26">
        <f t="shared" si="14"/>
        <v>0.33196845801691555</v>
      </c>
      <c r="AF32" s="26">
        <f t="shared" si="14"/>
        <v>0</v>
      </c>
      <c r="AG32" s="26">
        <f t="shared" si="14"/>
        <v>0</v>
      </c>
      <c r="AH32" s="26">
        <f t="shared" si="14"/>
        <v>0</v>
      </c>
      <c r="AI32" s="26">
        <f t="shared" si="14"/>
        <v>0</v>
      </c>
      <c r="AJ32" s="26">
        <f t="shared" si="14"/>
        <v>0</v>
      </c>
      <c r="AK32" s="26">
        <f t="shared" si="16"/>
        <v>0</v>
      </c>
      <c r="AL32" s="26">
        <f t="shared" si="16"/>
        <v>0</v>
      </c>
      <c r="AM32" s="26">
        <f t="shared" si="16"/>
        <v>0</v>
      </c>
      <c r="AN32" s="12"/>
      <c r="AO32" s="6"/>
    </row>
    <row r="33" spans="1:41" x14ac:dyDescent="0.45">
      <c r="A33" s="9" t="str">
        <v>WN303</v>
      </c>
      <c r="B33" t="s">
        <v>289</v>
      </c>
      <c r="C33" s="9" t="s">
        <v>3</v>
      </c>
      <c r="D33" s="9" t="s">
        <v>265</v>
      </c>
      <c r="E33" s="24">
        <f>INDEX('Top Down inputs'!$C$98:$Q$137,MATCH($A33,'Top Down inputs'!$A$98:$A$137,0),MATCH(E$1,'Top Down inputs'!$C$96:$Q$96,0))</f>
        <v>13221.407859712153</v>
      </c>
      <c r="F33" s="24">
        <f>INDEX('Top Down inputs'!$C$98:$Q$137,MATCH($A33,'Top Down inputs'!$A$98:$A$137,0),MATCH(F$1,'Top Down inputs'!$C$96:$Q$96,0))</f>
        <v>12830.98980567155</v>
      </c>
      <c r="G33" s="24">
        <f>INDEX('Top Down inputs'!$C$98:$Q$137,MATCH($A33,'Top Down inputs'!$A$98:$A$137,0),MATCH(G$1,'Top Down inputs'!$C$96:$Q$96,0))</f>
        <v>5373.876673899922</v>
      </c>
      <c r="H33" s="24">
        <f>INDEX('Top Down inputs'!$C$98:$Q$137,MATCH($A33,'Top Down inputs'!$A$98:$A$137,0),MATCH(H$1,'Top Down inputs'!$C$96:$Q$96,0))</f>
        <v>1733.3669164418163</v>
      </c>
      <c r="I33" s="24">
        <f>INDEX('Top Down inputs'!$C$98:$Q$137,MATCH($A33,'Top Down inputs'!$A$98:$A$137,0),MATCH(I$1,'Top Down inputs'!$C$96:$Q$96,0))</f>
        <v>353.84304592777238</v>
      </c>
      <c r="J33" s="24">
        <f>INDEX('Top Down inputs'!$C$98:$Q$137,MATCH($A33,'Top Down inputs'!$A$98:$A$137,0),MATCH(J$1,'Top Down inputs'!$C$96:$Q$96,0))</f>
        <v>138.29808684944018</v>
      </c>
      <c r="K33" s="24">
        <f>INDEX('Top Down inputs'!$C$98:$Q$137,MATCH($A33,'Top Down inputs'!$A$98:$A$137,0),MATCH(K$1,'Top Down inputs'!$C$96:$Q$96,0))</f>
        <v>7.9674538561949726</v>
      </c>
      <c r="L33" s="24">
        <f>INDEX('Top Down inputs'!$C$98:$Q$137,MATCH($A33,'Top Down inputs'!$A$98:$A$137,0),MATCH(L$1,'Top Down inputs'!$C$96:$Q$96,0))</f>
        <v>0</v>
      </c>
      <c r="M33" s="24">
        <f>INDEX('Top Down inputs'!$C$98:$Q$137,MATCH($A33,'Top Down inputs'!$A$98:$A$137,0),MATCH(M$1,'Top Down inputs'!$C$96:$Q$96,0))</f>
        <v>0</v>
      </c>
      <c r="N33" s="24">
        <f>INDEX('Top Down inputs'!$C$98:$Q$137,MATCH($A33,'Top Down inputs'!$A$98:$A$137,0),MATCH(N$1,'Top Down inputs'!$C$96:$Q$96,0))</f>
        <v>0</v>
      </c>
      <c r="O33" s="24">
        <f>INDEX('Top Down inputs'!$C$98:$Q$137,MATCH($A33,'Top Down inputs'!$A$98:$A$137,0),MATCH(O$1,'Top Down inputs'!$C$96:$Q$96,0))</f>
        <v>0</v>
      </c>
      <c r="P33" s="24">
        <f>INDEX('Top Down inputs'!$C$98:$Q$137,MATCH($A33,'Top Down inputs'!$A$98:$A$137,0),MATCH(P$1,'Top Down inputs'!$C$96:$Q$96,0))</f>
        <v>0</v>
      </c>
      <c r="Q33" s="24">
        <f>INDEX('Top Down inputs'!$C$98:$Q$137,MATCH($A33,'Top Down inputs'!$A$98:$A$137,0),MATCH(Q$1,'Top Down inputs'!$C$96:$Q$96,0))</f>
        <v>0</v>
      </c>
      <c r="R33" s="24">
        <f>INDEX('Top Down inputs'!$C$98:$Q$137,MATCH($A33,'Top Down inputs'!$A$98:$A$137,0),MATCH(R$1,'Top Down inputs'!$C$96:$Q$96,0))</f>
        <v>0</v>
      </c>
      <c r="S33" s="24">
        <f>INDEX('Top Down inputs'!$C$98:$Q$137,MATCH($A33,'Top Down inputs'!$A$98:$A$137,0),MATCH(S$1,'Top Down inputs'!$C$96:$Q$96,0))</f>
        <v>0</v>
      </c>
      <c r="T33" s="8"/>
      <c r="W33" s="9" t="str">
        <v>WN303</v>
      </c>
      <c r="X33" t="s">
        <v>289</v>
      </c>
      <c r="Y33" s="12">
        <f t="shared" si="15"/>
        <v>13221.407859712153</v>
      </c>
      <c r="Z33" s="26">
        <f t="shared" si="14"/>
        <v>12830.98980567155</v>
      </c>
      <c r="AA33" s="26">
        <f t="shared" si="14"/>
        <v>5373.876673899922</v>
      </c>
      <c r="AB33" s="26">
        <f t="shared" si="14"/>
        <v>1733.3669164418163</v>
      </c>
      <c r="AC33" s="26">
        <f t="shared" si="14"/>
        <v>353.84304592777238</v>
      </c>
      <c r="AD33" s="26">
        <f t="shared" si="14"/>
        <v>138.29808684944018</v>
      </c>
      <c r="AE33" s="26">
        <f t="shared" si="14"/>
        <v>7.9674538561949726</v>
      </c>
      <c r="AF33" s="26">
        <f t="shared" si="14"/>
        <v>0</v>
      </c>
      <c r="AG33" s="26">
        <f t="shared" si="14"/>
        <v>0</v>
      </c>
      <c r="AH33" s="26">
        <f t="shared" si="14"/>
        <v>0</v>
      </c>
      <c r="AI33" s="26">
        <f t="shared" si="14"/>
        <v>0</v>
      </c>
      <c r="AJ33" s="26">
        <f t="shared" si="14"/>
        <v>0</v>
      </c>
      <c r="AK33" s="26">
        <f t="shared" si="16"/>
        <v>0</v>
      </c>
      <c r="AL33" s="26">
        <f t="shared" si="16"/>
        <v>0</v>
      </c>
      <c r="AM33" s="26">
        <f t="shared" si="16"/>
        <v>0</v>
      </c>
      <c r="AN33" s="12"/>
      <c r="AO33" s="6"/>
    </row>
    <row r="34" spans="1:41" x14ac:dyDescent="0.45">
      <c r="A34" s="9" t="str">
        <v>WN337</v>
      </c>
      <c r="B34" t="s">
        <v>290</v>
      </c>
      <c r="C34" s="9" t="s">
        <v>3</v>
      </c>
      <c r="D34" s="9" t="s">
        <v>265</v>
      </c>
      <c r="E34" s="24">
        <f>INDEX('Top Down inputs'!$C$98:$Q$137,MATCH($A34,'Top Down inputs'!$A$98:$A$137,0),MATCH(E$1,'Top Down inputs'!$C$96:$Q$96,0))</f>
        <v>28497.782901086506</v>
      </c>
      <c r="F34" s="24">
        <f>INDEX('Top Down inputs'!$C$98:$Q$137,MATCH($A34,'Top Down inputs'!$A$98:$A$137,0),MATCH(F$1,'Top Down inputs'!$C$96:$Q$96,0))</f>
        <v>27656.265185063476</v>
      </c>
      <c r="G34" s="24">
        <f>INDEX('Top Down inputs'!$C$98:$Q$137,MATCH($A34,'Top Down inputs'!$A$98:$A$137,0),MATCH(G$1,'Top Down inputs'!$C$96:$Q$96,0))</f>
        <v>12178.929419038519</v>
      </c>
      <c r="H34" s="24">
        <f>INDEX('Top Down inputs'!$C$98:$Q$137,MATCH($A34,'Top Down inputs'!$A$98:$A$137,0),MATCH(H$1,'Top Down inputs'!$C$96:$Q$96,0))</f>
        <v>3900.7969676820394</v>
      </c>
      <c r="I34" s="24">
        <f>INDEX('Top Down inputs'!$C$98:$Q$137,MATCH($A34,'Top Down inputs'!$A$98:$A$137,0),MATCH(I$1,'Top Down inputs'!$C$96:$Q$96,0))</f>
        <v>160.14264572768491</v>
      </c>
      <c r="J34" s="24">
        <f>INDEX('Top Down inputs'!$C$98:$Q$137,MATCH($A34,'Top Down inputs'!$A$98:$A$137,0),MATCH(J$1,'Top Down inputs'!$C$96:$Q$96,0))</f>
        <v>63.164556087467908</v>
      </c>
      <c r="K34" s="24">
        <f>INDEX('Top Down inputs'!$C$98:$Q$137,MATCH($A34,'Top Down inputs'!$A$98:$A$137,0),MATCH(K$1,'Top Down inputs'!$C$96:$Q$96,0))</f>
        <v>3.6522529336147449</v>
      </c>
      <c r="L34" s="24">
        <f>INDEX('Top Down inputs'!$C$98:$Q$137,MATCH($A34,'Top Down inputs'!$A$98:$A$137,0),MATCH(L$1,'Top Down inputs'!$C$96:$Q$96,0))</f>
        <v>0</v>
      </c>
      <c r="M34" s="24">
        <f>INDEX('Top Down inputs'!$C$98:$Q$137,MATCH($A34,'Top Down inputs'!$A$98:$A$137,0),MATCH(M$1,'Top Down inputs'!$C$96:$Q$96,0))</f>
        <v>0</v>
      </c>
      <c r="N34" s="24">
        <f>INDEX('Top Down inputs'!$C$98:$Q$137,MATCH($A34,'Top Down inputs'!$A$98:$A$137,0),MATCH(N$1,'Top Down inputs'!$C$96:$Q$96,0))</f>
        <v>0</v>
      </c>
      <c r="O34" s="24">
        <f>INDEX('Top Down inputs'!$C$98:$Q$137,MATCH($A34,'Top Down inputs'!$A$98:$A$137,0),MATCH(O$1,'Top Down inputs'!$C$96:$Q$96,0))</f>
        <v>0</v>
      </c>
      <c r="P34" s="24">
        <f>INDEX('Top Down inputs'!$C$98:$Q$137,MATCH($A34,'Top Down inputs'!$A$98:$A$137,0),MATCH(P$1,'Top Down inputs'!$C$96:$Q$96,0))</f>
        <v>0</v>
      </c>
      <c r="Q34" s="24">
        <f>INDEX('Top Down inputs'!$C$98:$Q$137,MATCH($A34,'Top Down inputs'!$A$98:$A$137,0),MATCH(Q$1,'Top Down inputs'!$C$96:$Q$96,0))</f>
        <v>0</v>
      </c>
      <c r="R34" s="24">
        <f>INDEX('Top Down inputs'!$C$98:$Q$137,MATCH($A34,'Top Down inputs'!$A$98:$A$137,0),MATCH(R$1,'Top Down inputs'!$C$96:$Q$96,0))</f>
        <v>0</v>
      </c>
      <c r="S34" s="24">
        <f>INDEX('Top Down inputs'!$C$98:$Q$137,MATCH($A34,'Top Down inputs'!$A$98:$A$137,0),MATCH(S$1,'Top Down inputs'!$C$96:$Q$96,0))</f>
        <v>0</v>
      </c>
      <c r="T34" s="8"/>
      <c r="W34" s="9" t="str">
        <v>WN337</v>
      </c>
      <c r="X34" t="s">
        <v>290</v>
      </c>
      <c r="Y34" s="12">
        <f t="shared" si="15"/>
        <v>28497.782901086506</v>
      </c>
      <c r="Z34" s="26">
        <f t="shared" si="14"/>
        <v>27656.265185063476</v>
      </c>
      <c r="AA34" s="26">
        <f t="shared" si="14"/>
        <v>12178.929419038519</v>
      </c>
      <c r="AB34" s="26">
        <f t="shared" si="14"/>
        <v>3900.7969676820394</v>
      </c>
      <c r="AC34" s="26">
        <f t="shared" si="14"/>
        <v>160.14264572768491</v>
      </c>
      <c r="AD34" s="26">
        <f t="shared" si="14"/>
        <v>63.164556087467908</v>
      </c>
      <c r="AE34" s="26">
        <f t="shared" si="14"/>
        <v>3.6522529336147449</v>
      </c>
      <c r="AF34" s="26">
        <f t="shared" si="14"/>
        <v>0</v>
      </c>
      <c r="AG34" s="26">
        <f t="shared" si="14"/>
        <v>0</v>
      </c>
      <c r="AH34" s="26">
        <f t="shared" si="14"/>
        <v>0</v>
      </c>
      <c r="AI34" s="26">
        <f t="shared" si="14"/>
        <v>0</v>
      </c>
      <c r="AJ34" s="26">
        <f t="shared" si="14"/>
        <v>0</v>
      </c>
      <c r="AK34" s="26">
        <f t="shared" si="16"/>
        <v>0</v>
      </c>
      <c r="AL34" s="26">
        <f t="shared" si="16"/>
        <v>0</v>
      </c>
      <c r="AM34" s="26">
        <f t="shared" si="16"/>
        <v>0</v>
      </c>
      <c r="AN34" s="12"/>
      <c r="AO34" s="6"/>
    </row>
    <row r="35" spans="1:41" x14ac:dyDescent="0.45">
      <c r="A35" s="9" t="str">
        <v>WX313</v>
      </c>
      <c r="B35" t="s">
        <v>291</v>
      </c>
      <c r="C35" s="9" t="s">
        <v>3</v>
      </c>
      <c r="D35" s="9" t="s">
        <v>265</v>
      </c>
      <c r="E35" s="24">
        <f>INDEX('Top Down inputs'!$C$98:$Q$137,MATCH($A35,'Top Down inputs'!$A$98:$A$137,0),MATCH(E$1,'Top Down inputs'!$C$96:$Q$96,0))</f>
        <v>31781.634655907452</v>
      </c>
      <c r="F35" s="24">
        <f>INDEX('Top Down inputs'!$C$98:$Q$137,MATCH($A35,'Top Down inputs'!$A$98:$A$137,0),MATCH(F$1,'Top Down inputs'!$C$96:$Q$96,0))</f>
        <v>30843.14731112184</v>
      </c>
      <c r="G35" s="24">
        <f>INDEX('Top Down inputs'!$C$98:$Q$137,MATCH($A35,'Top Down inputs'!$A$98:$A$137,0),MATCH(G$1,'Top Down inputs'!$C$96:$Q$96,0))</f>
        <v>12917.730619007523</v>
      </c>
      <c r="H35" s="24">
        <f>INDEX('Top Down inputs'!$C$98:$Q$137,MATCH($A35,'Top Down inputs'!$A$98:$A$137,0),MATCH(H$1,'Top Down inputs'!$C$96:$Q$96,0))</f>
        <v>4166.6692872289941</v>
      </c>
      <c r="I35" s="24">
        <f>INDEX('Top Down inputs'!$C$98:$Q$137,MATCH($A35,'Top Down inputs'!$A$98:$A$137,0),MATCH(I$1,'Top Down inputs'!$C$96:$Q$96,0))</f>
        <v>3299.6658265072037</v>
      </c>
      <c r="J35" s="24">
        <f>INDEX('Top Down inputs'!$C$98:$Q$137,MATCH($A35,'Top Down inputs'!$A$98:$A$137,0),MATCH(J$1,'Top Down inputs'!$C$96:$Q$96,0))</f>
        <v>1289.6607021113316</v>
      </c>
      <c r="K35" s="24">
        <f>INDEX('Top Down inputs'!$C$98:$Q$137,MATCH($A35,'Top Down inputs'!$A$98:$A$137,0),MATCH(K$1,'Top Down inputs'!$C$96:$Q$96,0))</f>
        <v>74.298295575168609</v>
      </c>
      <c r="L35" s="24">
        <f>INDEX('Top Down inputs'!$C$98:$Q$137,MATCH($A35,'Top Down inputs'!$A$98:$A$137,0),MATCH(L$1,'Top Down inputs'!$C$96:$Q$96,0))</f>
        <v>0</v>
      </c>
      <c r="M35" s="24">
        <f>INDEX('Top Down inputs'!$C$98:$Q$137,MATCH($A35,'Top Down inputs'!$A$98:$A$137,0),MATCH(M$1,'Top Down inputs'!$C$96:$Q$96,0))</f>
        <v>0</v>
      </c>
      <c r="N35" s="24">
        <f>INDEX('Top Down inputs'!$C$98:$Q$137,MATCH($A35,'Top Down inputs'!$A$98:$A$137,0),MATCH(N$1,'Top Down inputs'!$C$96:$Q$96,0))</f>
        <v>0</v>
      </c>
      <c r="O35" s="24">
        <f>INDEX('Top Down inputs'!$C$98:$Q$137,MATCH($A35,'Top Down inputs'!$A$98:$A$137,0),MATCH(O$1,'Top Down inputs'!$C$96:$Q$96,0))</f>
        <v>0</v>
      </c>
      <c r="P35" s="24">
        <f>INDEX('Top Down inputs'!$C$98:$Q$137,MATCH($A35,'Top Down inputs'!$A$98:$A$137,0),MATCH(P$1,'Top Down inputs'!$C$96:$Q$96,0))</f>
        <v>0</v>
      </c>
      <c r="Q35" s="24">
        <f>INDEX('Top Down inputs'!$C$98:$Q$137,MATCH($A35,'Top Down inputs'!$A$98:$A$137,0),MATCH(Q$1,'Top Down inputs'!$C$96:$Q$96,0))</f>
        <v>0</v>
      </c>
      <c r="R35" s="24">
        <f>INDEX('Top Down inputs'!$C$98:$Q$137,MATCH($A35,'Top Down inputs'!$A$98:$A$137,0),MATCH(R$1,'Top Down inputs'!$C$96:$Q$96,0))</f>
        <v>0</v>
      </c>
      <c r="S35" s="24">
        <f>INDEX('Top Down inputs'!$C$98:$Q$137,MATCH($A35,'Top Down inputs'!$A$98:$A$137,0),MATCH(S$1,'Top Down inputs'!$C$96:$Q$96,0))</f>
        <v>0</v>
      </c>
      <c r="T35" s="8"/>
      <c r="W35" s="9" t="str">
        <v>WX313</v>
      </c>
      <c r="X35" t="s">
        <v>291</v>
      </c>
      <c r="Y35" s="12">
        <f t="shared" si="15"/>
        <v>31781.634655907452</v>
      </c>
      <c r="Z35" s="26">
        <f t="shared" si="15"/>
        <v>30843.14731112184</v>
      </c>
      <c r="AA35" s="26">
        <f t="shared" si="15"/>
        <v>12917.730619007523</v>
      </c>
      <c r="AB35" s="26">
        <f t="shared" si="15"/>
        <v>4166.6692872289941</v>
      </c>
      <c r="AC35" s="26">
        <f t="shared" si="15"/>
        <v>3299.6658265072037</v>
      </c>
      <c r="AD35" s="26">
        <f t="shared" si="15"/>
        <v>1289.6607021113316</v>
      </c>
      <c r="AE35" s="26">
        <f t="shared" si="15"/>
        <v>74.298295575168609</v>
      </c>
      <c r="AF35" s="26">
        <f t="shared" si="15"/>
        <v>0</v>
      </c>
      <c r="AG35" s="26">
        <f t="shared" si="15"/>
        <v>0</v>
      </c>
      <c r="AH35" s="26">
        <f t="shared" si="15"/>
        <v>0</v>
      </c>
      <c r="AI35" s="26">
        <f t="shared" si="15"/>
        <v>0</v>
      </c>
      <c r="AJ35" s="26">
        <f t="shared" si="15"/>
        <v>0</v>
      </c>
      <c r="AK35" s="26">
        <f t="shared" si="16"/>
        <v>0</v>
      </c>
      <c r="AL35" s="26">
        <f t="shared" si="16"/>
        <v>0</v>
      </c>
      <c r="AM35" s="26">
        <f t="shared" si="16"/>
        <v>0</v>
      </c>
      <c r="AN35" s="12"/>
      <c r="AO35" s="6"/>
    </row>
    <row r="36" spans="1:41" x14ac:dyDescent="0.45">
      <c r="A36" s="9" t="str">
        <v>WX339</v>
      </c>
      <c r="B36" t="s">
        <v>292</v>
      </c>
      <c r="C36" s="9" t="s">
        <v>3</v>
      </c>
      <c r="D36" s="9" t="s">
        <v>265</v>
      </c>
      <c r="E36" s="24">
        <f>INDEX('Top Down inputs'!$C$98:$Q$137,MATCH($A36,'Top Down inputs'!$A$98:$A$137,0),MATCH(E$1,'Top Down inputs'!$C$96:$Q$96,0))</f>
        <v>55693.195225537675</v>
      </c>
      <c r="F36" s="24">
        <f>INDEX('Top Down inputs'!$C$98:$Q$137,MATCH($A36,'Top Down inputs'!$A$98:$A$137,0),MATCH(F$1,'Top Down inputs'!$C$96:$Q$96,0))</f>
        <v>54048.617799746688</v>
      </c>
      <c r="G36" s="24">
        <f>INDEX('Top Down inputs'!$C$98:$Q$137,MATCH($A36,'Top Down inputs'!$A$98:$A$137,0),MATCH(G$1,'Top Down inputs'!$C$96:$Q$96,0))</f>
        <v>23801.27240518406</v>
      </c>
      <c r="H36" s="24">
        <f>INDEX('Top Down inputs'!$C$98:$Q$137,MATCH($A36,'Top Down inputs'!$A$98:$A$137,0),MATCH(H$1,'Top Down inputs'!$C$96:$Q$96,0))</f>
        <v>7623.3245165194376</v>
      </c>
      <c r="I36" s="24">
        <f>INDEX('Top Down inputs'!$C$98:$Q$137,MATCH($A36,'Top Down inputs'!$A$98:$A$137,0),MATCH(I$1,'Top Down inputs'!$C$96:$Q$96,0))</f>
        <v>7054.3090685240268</v>
      </c>
      <c r="J36" s="24">
        <f>INDEX('Top Down inputs'!$C$98:$Q$137,MATCH($A36,'Top Down inputs'!$A$98:$A$137,0),MATCH(J$1,'Top Down inputs'!$C$96:$Q$96,0))</f>
        <v>2782.4087630899471</v>
      </c>
      <c r="K36" s="24">
        <f>INDEX('Top Down inputs'!$C$98:$Q$137,MATCH($A36,'Top Down inputs'!$A$98:$A$137,0),MATCH(K$1,'Top Down inputs'!$C$96:$Q$96,0))</f>
        <v>160.8823238374159</v>
      </c>
      <c r="L36" s="24">
        <f>INDEX('Top Down inputs'!$C$98:$Q$137,MATCH($A36,'Top Down inputs'!$A$98:$A$137,0),MATCH(L$1,'Top Down inputs'!$C$96:$Q$96,0))</f>
        <v>0</v>
      </c>
      <c r="M36" s="24">
        <f>INDEX('Top Down inputs'!$C$98:$Q$137,MATCH($A36,'Top Down inputs'!$A$98:$A$137,0),MATCH(M$1,'Top Down inputs'!$C$96:$Q$96,0))</f>
        <v>0</v>
      </c>
      <c r="N36" s="24">
        <f>INDEX('Top Down inputs'!$C$98:$Q$137,MATCH($A36,'Top Down inputs'!$A$98:$A$137,0),MATCH(N$1,'Top Down inputs'!$C$96:$Q$96,0))</f>
        <v>0</v>
      </c>
      <c r="O36" s="24">
        <f>INDEX('Top Down inputs'!$C$98:$Q$137,MATCH($A36,'Top Down inputs'!$A$98:$A$137,0),MATCH(O$1,'Top Down inputs'!$C$96:$Q$96,0))</f>
        <v>0</v>
      </c>
      <c r="P36" s="24">
        <f>INDEX('Top Down inputs'!$C$98:$Q$137,MATCH($A36,'Top Down inputs'!$A$98:$A$137,0),MATCH(P$1,'Top Down inputs'!$C$96:$Q$96,0))</f>
        <v>0</v>
      </c>
      <c r="Q36" s="24">
        <f>INDEX('Top Down inputs'!$C$98:$Q$137,MATCH($A36,'Top Down inputs'!$A$98:$A$137,0),MATCH(Q$1,'Top Down inputs'!$C$96:$Q$96,0))</f>
        <v>0</v>
      </c>
      <c r="R36" s="24">
        <f>INDEX('Top Down inputs'!$C$98:$Q$137,MATCH($A36,'Top Down inputs'!$A$98:$A$137,0),MATCH(R$1,'Top Down inputs'!$C$96:$Q$96,0))</f>
        <v>0</v>
      </c>
      <c r="S36" s="24">
        <f>INDEX('Top Down inputs'!$C$98:$Q$137,MATCH($A36,'Top Down inputs'!$A$98:$A$137,0),MATCH(S$1,'Top Down inputs'!$C$96:$Q$96,0))</f>
        <v>0</v>
      </c>
      <c r="T36" s="8"/>
      <c r="W36" s="9" t="str">
        <v>WX339</v>
      </c>
      <c r="X36" t="s">
        <v>292</v>
      </c>
      <c r="Y36" s="12">
        <f t="shared" ref="Y36:AJ52" si="17">IF(AND($C36="Rentals",$D36="Legacy"),E36-SUMIFS(E$19:E$58,$C$19:$C$58,"Rentals",$D$19:$D$58,"FTTC")*E36/SUMIFS(E$19:E$58,$C$19:$C$58,"Rentals",$D$19:$D$58,"Legacy"),E36)</f>
        <v>55693.195225537675</v>
      </c>
      <c r="Z36" s="26">
        <f t="shared" si="17"/>
        <v>54048.617799746688</v>
      </c>
      <c r="AA36" s="26">
        <f t="shared" si="17"/>
        <v>23801.27240518406</v>
      </c>
      <c r="AB36" s="26">
        <f t="shared" si="17"/>
        <v>7623.3245165194376</v>
      </c>
      <c r="AC36" s="26">
        <f t="shared" si="17"/>
        <v>7054.3090685240268</v>
      </c>
      <c r="AD36" s="26">
        <f t="shared" si="17"/>
        <v>2782.4087630899471</v>
      </c>
      <c r="AE36" s="26">
        <f t="shared" si="17"/>
        <v>160.8823238374159</v>
      </c>
      <c r="AF36" s="26">
        <f t="shared" si="17"/>
        <v>0</v>
      </c>
      <c r="AG36" s="26">
        <f t="shared" si="17"/>
        <v>0</v>
      </c>
      <c r="AH36" s="26">
        <f t="shared" si="17"/>
        <v>0</v>
      </c>
      <c r="AI36" s="26">
        <f t="shared" si="17"/>
        <v>0</v>
      </c>
      <c r="AJ36" s="26">
        <f t="shared" si="17"/>
        <v>0</v>
      </c>
      <c r="AK36" s="26">
        <f t="shared" si="16"/>
        <v>0</v>
      </c>
      <c r="AL36" s="26">
        <f t="shared" si="16"/>
        <v>0</v>
      </c>
      <c r="AM36" s="26">
        <f t="shared" si="16"/>
        <v>0</v>
      </c>
      <c r="AN36" s="12"/>
      <c r="AO36" s="6"/>
    </row>
    <row r="37" spans="1:41" x14ac:dyDescent="0.45">
      <c r="A37" s="9" t="str">
        <v>WN332</v>
      </c>
      <c r="B37" t="s">
        <v>293</v>
      </c>
      <c r="C37" s="9" t="s">
        <v>275</v>
      </c>
      <c r="D37" s="9" t="s">
        <v>294</v>
      </c>
      <c r="E37" s="24">
        <f>INDEX('Top Down inputs'!$C$98:$Q$137,MATCH($A37,'Top Down inputs'!$A$98:$A$137,0),MATCH(E$1,'Top Down inputs'!$C$96:$Q$96,0))</f>
        <v>15562.932631604381</v>
      </c>
      <c r="F37" s="24">
        <f>INDEX('Top Down inputs'!$C$98:$Q$137,MATCH($A37,'Top Down inputs'!$A$98:$A$137,0),MATCH(F$1,'Top Down inputs'!$C$96:$Q$96,0))</f>
        <v>18611.965410178149</v>
      </c>
      <c r="G37" s="24">
        <f>INDEX('Top Down inputs'!$C$98:$Q$137,MATCH($A37,'Top Down inputs'!$A$98:$A$137,0),MATCH(G$1,'Top Down inputs'!$C$96:$Q$96,0))</f>
        <v>18412.270804268246</v>
      </c>
      <c r="H37" s="24">
        <f>INDEX('Top Down inputs'!$C$98:$Q$137,MATCH($A37,'Top Down inputs'!$A$98:$A$137,0),MATCH(H$1,'Top Down inputs'!$C$96:$Q$96,0))</f>
        <v>10239.74208171486</v>
      </c>
      <c r="I37" s="24">
        <f>INDEX('Top Down inputs'!$C$98:$Q$137,MATCH($A37,'Top Down inputs'!$A$98:$A$137,0),MATCH(I$1,'Top Down inputs'!$C$96:$Q$96,0))</f>
        <v>13626.0699352844</v>
      </c>
      <c r="J37" s="24">
        <f>INDEX('Top Down inputs'!$C$98:$Q$137,MATCH($A37,'Top Down inputs'!$A$98:$A$137,0),MATCH(J$1,'Top Down inputs'!$C$96:$Q$96,0))</f>
        <v>15028.040877415719</v>
      </c>
      <c r="K37" s="24">
        <f>INDEX('Top Down inputs'!$C$98:$Q$137,MATCH($A37,'Top Down inputs'!$A$98:$A$137,0),MATCH(K$1,'Top Down inputs'!$C$96:$Q$96,0))</f>
        <v>15641.18208047675</v>
      </c>
      <c r="L37" s="24">
        <f>INDEX('Top Down inputs'!$C$98:$Q$137,MATCH($A37,'Top Down inputs'!$A$98:$A$137,0),MATCH(L$1,'Top Down inputs'!$C$96:$Q$96,0))</f>
        <v>16414.124437352355</v>
      </c>
      <c r="M37" s="24">
        <f>INDEX('Top Down inputs'!$C$98:$Q$137,MATCH($A37,'Top Down inputs'!$A$98:$A$137,0),MATCH(M$1,'Top Down inputs'!$C$96:$Q$96,0))</f>
        <v>17081.527268838545</v>
      </c>
      <c r="N37" s="24">
        <f>INDEX('Top Down inputs'!$C$98:$Q$137,MATCH($A37,'Top Down inputs'!$A$98:$A$137,0),MATCH(N$1,'Top Down inputs'!$C$96:$Q$96,0))</f>
        <v>17478.941312008741</v>
      </c>
      <c r="O37" s="24">
        <f>INDEX('Top Down inputs'!$C$98:$Q$137,MATCH($A37,'Top Down inputs'!$A$98:$A$137,0),MATCH(O$1,'Top Down inputs'!$C$96:$Q$96,0))</f>
        <v>17883.288949862166</v>
      </c>
      <c r="P37" s="24">
        <f>INDEX('Top Down inputs'!$C$98:$Q$137,MATCH($A37,'Top Down inputs'!$A$98:$A$137,0),MATCH(P$1,'Top Down inputs'!$C$96:$Q$96,0))</f>
        <v>18294.682382444458</v>
      </c>
      <c r="Q37" s="24">
        <f>INDEX('Top Down inputs'!$C$98:$Q$137,MATCH($A37,'Top Down inputs'!$A$98:$A$137,0),MATCH(Q$1,'Top Down inputs'!$C$96:$Q$96,0))</f>
        <v>0</v>
      </c>
      <c r="R37" s="24">
        <f>INDEX('Top Down inputs'!$C$98:$Q$137,MATCH($A37,'Top Down inputs'!$A$98:$A$137,0),MATCH(R$1,'Top Down inputs'!$C$96:$Q$96,0))</f>
        <v>0</v>
      </c>
      <c r="S37" s="24">
        <f>INDEX('Top Down inputs'!$C$98:$Q$137,MATCH($A37,'Top Down inputs'!$A$98:$A$137,0),MATCH(S$1,'Top Down inputs'!$C$96:$Q$96,0))</f>
        <v>0</v>
      </c>
      <c r="T37" s="8"/>
      <c r="W37" s="9" t="str">
        <v>WN332</v>
      </c>
      <c r="X37" t="s">
        <v>293</v>
      </c>
      <c r="Y37" s="12">
        <f t="shared" si="17"/>
        <v>15562.932631604381</v>
      </c>
      <c r="Z37" s="26">
        <f t="shared" si="17"/>
        <v>18611.965410178149</v>
      </c>
      <c r="AA37" s="26">
        <f t="shared" si="17"/>
        <v>18412.270804268246</v>
      </c>
      <c r="AB37" s="26">
        <f t="shared" si="17"/>
        <v>10239.74208171486</v>
      </c>
      <c r="AC37" s="26">
        <f t="shared" si="17"/>
        <v>13626.0699352844</v>
      </c>
      <c r="AD37" s="26">
        <f t="shared" si="17"/>
        <v>15028.040877415719</v>
      </c>
      <c r="AE37" s="26">
        <f t="shared" si="17"/>
        <v>15641.18208047675</v>
      </c>
      <c r="AF37" s="26">
        <f t="shared" si="17"/>
        <v>16414.124437352355</v>
      </c>
      <c r="AG37" s="26">
        <f t="shared" si="17"/>
        <v>17081.527268838545</v>
      </c>
      <c r="AH37" s="26">
        <f t="shared" si="17"/>
        <v>17478.941312008741</v>
      </c>
      <c r="AI37" s="26">
        <f t="shared" si="17"/>
        <v>17883.288949862166</v>
      </c>
      <c r="AJ37" s="26">
        <f t="shared" si="17"/>
        <v>18294.682382444458</v>
      </c>
      <c r="AK37" s="26">
        <f t="shared" si="16"/>
        <v>0</v>
      </c>
      <c r="AL37" s="26">
        <f t="shared" si="16"/>
        <v>0</v>
      </c>
      <c r="AM37" s="26">
        <f t="shared" si="16"/>
        <v>0</v>
      </c>
      <c r="AN37" s="12"/>
      <c r="AO37" s="6"/>
    </row>
    <row r="38" spans="1:41" x14ac:dyDescent="0.45">
      <c r="A38" s="9" t="str">
        <v>WX334</v>
      </c>
      <c r="B38" t="s">
        <v>295</v>
      </c>
      <c r="C38" s="9" t="s">
        <v>275</v>
      </c>
      <c r="D38" s="9" t="s">
        <v>294</v>
      </c>
      <c r="E38" s="24">
        <f>INDEX('Top Down inputs'!$C$98:$Q$137,MATCH($A38,'Top Down inputs'!$A$98:$A$137,0),MATCH(E$1,'Top Down inputs'!$C$96:$Q$96,0))</f>
        <v>15283.037781397848</v>
      </c>
      <c r="F38" s="24">
        <f>INDEX('Top Down inputs'!$C$98:$Q$137,MATCH($A38,'Top Down inputs'!$A$98:$A$137,0),MATCH(F$1,'Top Down inputs'!$C$96:$Q$96,0))</f>
        <v>15964.12771985299</v>
      </c>
      <c r="G38" s="24">
        <f>INDEX('Top Down inputs'!$C$98:$Q$137,MATCH($A38,'Top Down inputs'!$A$98:$A$137,0),MATCH(G$1,'Top Down inputs'!$C$96:$Q$96,0))</f>
        <v>15642.524404647553</v>
      </c>
      <c r="H38" s="24">
        <f>INDEX('Top Down inputs'!$C$98:$Q$137,MATCH($A38,'Top Down inputs'!$A$98:$A$137,0),MATCH(H$1,'Top Down inputs'!$C$96:$Q$96,0))</f>
        <v>19615.293069738414</v>
      </c>
      <c r="I38" s="24">
        <f>INDEX('Top Down inputs'!$C$98:$Q$137,MATCH($A38,'Top Down inputs'!$A$98:$A$137,0),MATCH(I$1,'Top Down inputs'!$C$96:$Q$96,0))</f>
        <v>21144.372397112689</v>
      </c>
      <c r="J38" s="24">
        <f>INDEX('Top Down inputs'!$C$98:$Q$137,MATCH($A38,'Top Down inputs'!$A$98:$A$137,0),MATCH(J$1,'Top Down inputs'!$C$96:$Q$96,0))</f>
        <v>23319.892986038594</v>
      </c>
      <c r="K38" s="24">
        <f>INDEX('Top Down inputs'!$C$98:$Q$137,MATCH($A38,'Top Down inputs'!$A$98:$A$137,0),MATCH(K$1,'Top Down inputs'!$C$96:$Q$96,0))</f>
        <v>24271.340174487621</v>
      </c>
      <c r="L38" s="24">
        <f>INDEX('Top Down inputs'!$C$98:$Q$137,MATCH($A38,'Top Down inputs'!$A$98:$A$137,0),MATCH(L$1,'Top Down inputs'!$C$96:$Q$96,0))</f>
        <v>25470.760191623958</v>
      </c>
      <c r="M38" s="24">
        <f>INDEX('Top Down inputs'!$C$98:$Q$137,MATCH($A38,'Top Down inputs'!$A$98:$A$137,0),MATCH(M$1,'Top Down inputs'!$C$96:$Q$96,0))</f>
        <v>26506.408333373856</v>
      </c>
      <c r="N38" s="24">
        <f>INDEX('Top Down inputs'!$C$98:$Q$137,MATCH($A38,'Top Down inputs'!$A$98:$A$137,0),MATCH(N$1,'Top Down inputs'!$C$96:$Q$96,0))</f>
        <v>27123.099027355496</v>
      </c>
      <c r="O38" s="24">
        <f>INDEX('Top Down inputs'!$C$98:$Q$137,MATCH($A38,'Top Down inputs'!$A$98:$A$137,0),MATCH(O$1,'Top Down inputs'!$C$96:$Q$96,0))</f>
        <v>27750.548987121696</v>
      </c>
      <c r="P38" s="24">
        <f>INDEX('Top Down inputs'!$C$98:$Q$137,MATCH($A38,'Top Down inputs'!$A$98:$A$137,0),MATCH(P$1,'Top Down inputs'!$C$96:$Q$96,0))</f>
        <v>28388.932320068016</v>
      </c>
      <c r="Q38" s="24">
        <f>INDEX('Top Down inputs'!$C$98:$Q$137,MATCH($A38,'Top Down inputs'!$A$98:$A$137,0),MATCH(Q$1,'Top Down inputs'!$C$96:$Q$96,0))</f>
        <v>0</v>
      </c>
      <c r="R38" s="24">
        <f>INDEX('Top Down inputs'!$C$98:$Q$137,MATCH($A38,'Top Down inputs'!$A$98:$A$137,0),MATCH(R$1,'Top Down inputs'!$C$96:$Q$96,0))</f>
        <v>0</v>
      </c>
      <c r="S38" s="24">
        <f>INDEX('Top Down inputs'!$C$98:$Q$137,MATCH($A38,'Top Down inputs'!$A$98:$A$137,0),MATCH(S$1,'Top Down inputs'!$C$96:$Q$96,0))</f>
        <v>0</v>
      </c>
      <c r="T38" s="8"/>
      <c r="W38" s="9" t="str">
        <v>WX334</v>
      </c>
      <c r="X38" t="s">
        <v>295</v>
      </c>
      <c r="Y38" s="12">
        <f t="shared" si="17"/>
        <v>15283.037781397848</v>
      </c>
      <c r="Z38" s="26">
        <f t="shared" si="17"/>
        <v>15964.12771985299</v>
      </c>
      <c r="AA38" s="26">
        <f t="shared" si="17"/>
        <v>15642.524404647553</v>
      </c>
      <c r="AB38" s="26">
        <f t="shared" si="17"/>
        <v>19615.293069738414</v>
      </c>
      <c r="AC38" s="26">
        <f t="shared" si="17"/>
        <v>21144.372397112689</v>
      </c>
      <c r="AD38" s="26">
        <f t="shared" si="17"/>
        <v>23319.892986038594</v>
      </c>
      <c r="AE38" s="26">
        <f t="shared" si="17"/>
        <v>24271.340174487621</v>
      </c>
      <c r="AF38" s="26">
        <f t="shared" si="17"/>
        <v>25470.760191623958</v>
      </c>
      <c r="AG38" s="26">
        <f t="shared" si="17"/>
        <v>26506.408333373856</v>
      </c>
      <c r="AH38" s="26">
        <f t="shared" si="17"/>
        <v>27123.099027355496</v>
      </c>
      <c r="AI38" s="26">
        <f t="shared" si="17"/>
        <v>27750.548987121696</v>
      </c>
      <c r="AJ38" s="26">
        <f t="shared" si="17"/>
        <v>28388.932320068016</v>
      </c>
      <c r="AK38" s="26">
        <f t="shared" si="16"/>
        <v>0</v>
      </c>
      <c r="AL38" s="26">
        <f t="shared" si="16"/>
        <v>0</v>
      </c>
      <c r="AM38" s="26">
        <f t="shared" si="16"/>
        <v>0</v>
      </c>
      <c r="AN38" s="12"/>
      <c r="AO38" s="6"/>
    </row>
    <row r="39" spans="1:41" x14ac:dyDescent="0.45">
      <c r="A39" s="9" t="str">
        <v>WN333</v>
      </c>
      <c r="B39" t="s">
        <v>296</v>
      </c>
      <c r="C39" s="9" t="s">
        <v>3</v>
      </c>
      <c r="D39" s="9" t="s">
        <v>294</v>
      </c>
      <c r="E39" s="24">
        <f>INDEX('Top Down inputs'!$C$98:$Q$137,MATCH($A39,'Top Down inputs'!$A$98:$A$137,0),MATCH(E$1,'Top Down inputs'!$C$96:$Q$96,0))</f>
        <v>3373.7309046304217</v>
      </c>
      <c r="F39" s="24">
        <f>INDEX('Top Down inputs'!$C$98:$Q$137,MATCH($A39,'Top Down inputs'!$A$98:$A$137,0),MATCH(F$1,'Top Down inputs'!$C$96:$Q$96,0))</f>
        <v>2324.2692916445149</v>
      </c>
      <c r="G39" s="24">
        <f>INDEX('Top Down inputs'!$C$98:$Q$137,MATCH($A39,'Top Down inputs'!$A$98:$A$137,0),MATCH(G$1,'Top Down inputs'!$C$96:$Q$96,0))</f>
        <v>1124.443420859146</v>
      </c>
      <c r="H39" s="24">
        <f>INDEX('Top Down inputs'!$C$98:$Q$137,MATCH($A39,'Top Down inputs'!$A$98:$A$137,0),MATCH(H$1,'Top Down inputs'!$C$96:$Q$96,0))</f>
        <v>233.54308122872888</v>
      </c>
      <c r="I39" s="24">
        <f>INDEX('Top Down inputs'!$C$98:$Q$137,MATCH($A39,'Top Down inputs'!$A$98:$A$137,0),MATCH(I$1,'Top Down inputs'!$C$96:$Q$96,0))</f>
        <v>74.174587522866375</v>
      </c>
      <c r="J39" s="24">
        <f>INDEX('Top Down inputs'!$C$98:$Q$137,MATCH($A39,'Top Down inputs'!$A$98:$A$137,0),MATCH(J$1,'Top Down inputs'!$C$96:$Q$96,0))</f>
        <v>81.806327037306517</v>
      </c>
      <c r="K39" s="24">
        <f>INDEX('Top Down inputs'!$C$98:$Q$137,MATCH($A39,'Top Down inputs'!$A$98:$A$137,0),MATCH(K$1,'Top Down inputs'!$C$96:$Q$96,0))</f>
        <v>85.144009586003705</v>
      </c>
      <c r="L39" s="24">
        <f>INDEX('Top Down inputs'!$C$98:$Q$137,MATCH($A39,'Top Down inputs'!$A$98:$A$137,0),MATCH(L$1,'Top Down inputs'!$C$96:$Q$96,0))</f>
        <v>89.351582332400554</v>
      </c>
      <c r="M39" s="24">
        <f>INDEX('Top Down inputs'!$C$98:$Q$137,MATCH($A39,'Top Down inputs'!$A$98:$A$137,0),MATCH(M$1,'Top Down inputs'!$C$96:$Q$96,0))</f>
        <v>92.984642339592426</v>
      </c>
      <c r="N39" s="24">
        <f>INDEX('Top Down inputs'!$C$98:$Q$137,MATCH($A39,'Top Down inputs'!$A$98:$A$137,0),MATCH(N$1,'Top Down inputs'!$C$96:$Q$96,0))</f>
        <v>95.147997060942501</v>
      </c>
      <c r="O39" s="24">
        <f>INDEX('Top Down inputs'!$C$98:$Q$137,MATCH($A39,'Top Down inputs'!$A$98:$A$137,0),MATCH(O$1,'Top Down inputs'!$C$96:$Q$96,0))</f>
        <v>97.349095352384452</v>
      </c>
      <c r="P39" s="24">
        <f>INDEX('Top Down inputs'!$C$98:$Q$137,MATCH($A39,'Top Down inputs'!$A$98:$A$137,0),MATCH(P$1,'Top Down inputs'!$C$96:$Q$96,0))</f>
        <v>99.588547983725348</v>
      </c>
      <c r="Q39" s="24">
        <f>INDEX('Top Down inputs'!$C$98:$Q$137,MATCH($A39,'Top Down inputs'!$A$98:$A$137,0),MATCH(Q$1,'Top Down inputs'!$C$96:$Q$96,0))</f>
        <v>0</v>
      </c>
      <c r="R39" s="24">
        <f>INDEX('Top Down inputs'!$C$98:$Q$137,MATCH($A39,'Top Down inputs'!$A$98:$A$137,0),MATCH(R$1,'Top Down inputs'!$C$96:$Q$96,0))</f>
        <v>0</v>
      </c>
      <c r="S39" s="24">
        <f>INDEX('Top Down inputs'!$C$98:$Q$137,MATCH($A39,'Top Down inputs'!$A$98:$A$137,0),MATCH(S$1,'Top Down inputs'!$C$96:$Q$96,0))</f>
        <v>0</v>
      </c>
      <c r="T39" s="8"/>
      <c r="W39" s="9" t="str">
        <v>WN333</v>
      </c>
      <c r="X39" t="s">
        <v>296</v>
      </c>
      <c r="Y39" s="12">
        <f t="shared" si="17"/>
        <v>3373.7309046304217</v>
      </c>
      <c r="Z39" s="26">
        <f t="shared" si="17"/>
        <v>2324.2692916445149</v>
      </c>
      <c r="AA39" s="26">
        <f t="shared" si="17"/>
        <v>1124.443420859146</v>
      </c>
      <c r="AB39" s="26">
        <f t="shared" si="17"/>
        <v>233.54308122872888</v>
      </c>
      <c r="AC39" s="26">
        <f t="shared" si="17"/>
        <v>74.174587522866375</v>
      </c>
      <c r="AD39" s="26">
        <f t="shared" si="17"/>
        <v>81.806327037306517</v>
      </c>
      <c r="AE39" s="26">
        <f t="shared" si="17"/>
        <v>85.144009586003705</v>
      </c>
      <c r="AF39" s="26">
        <f t="shared" si="17"/>
        <v>89.351582332400554</v>
      </c>
      <c r="AG39" s="26">
        <f t="shared" si="17"/>
        <v>92.984642339592426</v>
      </c>
      <c r="AH39" s="26">
        <f t="shared" si="17"/>
        <v>95.147997060942501</v>
      </c>
      <c r="AI39" s="26">
        <f t="shared" si="17"/>
        <v>97.349095352384452</v>
      </c>
      <c r="AJ39" s="26">
        <f t="shared" si="17"/>
        <v>99.588547983725348</v>
      </c>
      <c r="AK39" s="26">
        <f t="shared" si="16"/>
        <v>0</v>
      </c>
      <c r="AL39" s="26">
        <f t="shared" si="16"/>
        <v>0</v>
      </c>
      <c r="AM39" s="26">
        <f t="shared" si="16"/>
        <v>0</v>
      </c>
      <c r="AN39" s="12"/>
      <c r="AO39" s="6"/>
    </row>
    <row r="40" spans="1:41" x14ac:dyDescent="0.45">
      <c r="A40" s="9" t="str">
        <v>WX335</v>
      </c>
      <c r="B40" t="s">
        <v>297</v>
      </c>
      <c r="C40" s="9" t="s">
        <v>3</v>
      </c>
      <c r="D40" s="9" t="s">
        <v>294</v>
      </c>
      <c r="E40" s="24">
        <f>INDEX('Top Down inputs'!$C$98:$Q$137,MATCH($A40,'Top Down inputs'!$A$98:$A$137,0),MATCH(E$1,'Top Down inputs'!$C$96:$Q$96,0))</f>
        <v>4290.5731204407612</v>
      </c>
      <c r="F40" s="24">
        <f>INDEX('Top Down inputs'!$C$98:$Q$137,MATCH($A40,'Top Down inputs'!$A$98:$A$137,0),MATCH(F$1,'Top Down inputs'!$C$96:$Q$96,0))</f>
        <v>3838.7577650932267</v>
      </c>
      <c r="G40" s="24">
        <f>INDEX('Top Down inputs'!$C$98:$Q$137,MATCH($A40,'Top Down inputs'!$A$98:$A$137,0),MATCH(G$1,'Top Down inputs'!$C$96:$Q$96,0))</f>
        <v>2166.84945308442</v>
      </c>
      <c r="H40" s="24">
        <f>INDEX('Top Down inputs'!$C$98:$Q$137,MATCH($A40,'Top Down inputs'!$A$98:$A$137,0),MATCH(H$1,'Top Down inputs'!$C$96:$Q$96,0))</f>
        <v>475.51234188593219</v>
      </c>
      <c r="I40" s="24">
        <f>INDEX('Top Down inputs'!$C$98:$Q$137,MATCH($A40,'Top Down inputs'!$A$98:$A$137,0),MATCH(I$1,'Top Down inputs'!$C$96:$Q$96,0))</f>
        <v>744.22799708611637</v>
      </c>
      <c r="J40" s="24">
        <f>INDEX('Top Down inputs'!$C$98:$Q$137,MATCH($A40,'Top Down inputs'!$A$98:$A$137,0),MATCH(J$1,'Top Down inputs'!$C$96:$Q$96,0))</f>
        <v>820.80077494435272</v>
      </c>
      <c r="K40" s="24">
        <f>INDEX('Top Down inputs'!$C$98:$Q$137,MATCH($A40,'Top Down inputs'!$A$98:$A$137,0),MATCH(K$1,'Top Down inputs'!$C$96:$Q$96,0))</f>
        <v>854.28929009599312</v>
      </c>
      <c r="L40" s="24">
        <f>INDEX('Top Down inputs'!$C$98:$Q$137,MATCH($A40,'Top Down inputs'!$A$98:$A$137,0),MATCH(L$1,'Top Down inputs'!$C$96:$Q$96,0))</f>
        <v>896.50581656713427</v>
      </c>
      <c r="M40" s="24">
        <f>INDEX('Top Down inputs'!$C$98:$Q$137,MATCH($A40,'Top Down inputs'!$A$98:$A$137,0),MATCH(M$1,'Top Down inputs'!$C$96:$Q$96,0))</f>
        <v>932.95799058984176</v>
      </c>
      <c r="N40" s="24">
        <f>INDEX('Top Down inputs'!$C$98:$Q$137,MATCH($A40,'Top Down inputs'!$A$98:$A$137,0),MATCH(N$1,'Top Down inputs'!$C$96:$Q$96,0))</f>
        <v>954.6639306567256</v>
      </c>
      <c r="O40" s="24">
        <f>INDEX('Top Down inputs'!$C$98:$Q$137,MATCH($A40,'Top Down inputs'!$A$98:$A$137,0),MATCH(O$1,'Top Down inputs'!$C$96:$Q$96,0))</f>
        <v>976.74856944658768</v>
      </c>
      <c r="P40" s="24">
        <f>INDEX('Top Down inputs'!$C$98:$Q$137,MATCH($A40,'Top Down inputs'!$A$98:$A$137,0),MATCH(P$1,'Top Down inputs'!$C$96:$Q$96,0))</f>
        <v>999.21803509583413</v>
      </c>
      <c r="Q40" s="24">
        <f>INDEX('Top Down inputs'!$C$98:$Q$137,MATCH($A40,'Top Down inputs'!$A$98:$A$137,0),MATCH(Q$1,'Top Down inputs'!$C$96:$Q$96,0))</f>
        <v>0</v>
      </c>
      <c r="R40" s="24">
        <f>INDEX('Top Down inputs'!$C$98:$Q$137,MATCH($A40,'Top Down inputs'!$A$98:$A$137,0),MATCH(R$1,'Top Down inputs'!$C$96:$Q$96,0))</f>
        <v>0</v>
      </c>
      <c r="S40" s="24">
        <f>INDEX('Top Down inputs'!$C$98:$Q$137,MATCH($A40,'Top Down inputs'!$A$98:$A$137,0),MATCH(S$1,'Top Down inputs'!$C$96:$Q$96,0))</f>
        <v>0</v>
      </c>
      <c r="T40" s="8"/>
      <c r="W40" s="9" t="str">
        <v>WX335</v>
      </c>
      <c r="X40" t="s">
        <v>297</v>
      </c>
      <c r="Y40" s="12">
        <f t="shared" si="17"/>
        <v>4290.5731204407612</v>
      </c>
      <c r="Z40" s="26">
        <f t="shared" si="17"/>
        <v>3838.7577650932267</v>
      </c>
      <c r="AA40" s="26">
        <f t="shared" si="17"/>
        <v>2166.84945308442</v>
      </c>
      <c r="AB40" s="26">
        <f t="shared" si="17"/>
        <v>475.51234188593219</v>
      </c>
      <c r="AC40" s="26">
        <f t="shared" si="17"/>
        <v>744.22799708611637</v>
      </c>
      <c r="AD40" s="26">
        <f t="shared" si="17"/>
        <v>820.80077494435272</v>
      </c>
      <c r="AE40" s="26">
        <f t="shared" si="17"/>
        <v>854.28929009599312</v>
      </c>
      <c r="AF40" s="26">
        <f t="shared" si="17"/>
        <v>896.50581656713427</v>
      </c>
      <c r="AG40" s="26">
        <f t="shared" si="17"/>
        <v>932.95799058984176</v>
      </c>
      <c r="AH40" s="26">
        <f t="shared" si="17"/>
        <v>954.6639306567256</v>
      </c>
      <c r="AI40" s="26">
        <f t="shared" si="17"/>
        <v>976.74856944658768</v>
      </c>
      <c r="AJ40" s="26">
        <f t="shared" si="17"/>
        <v>999.21803509583413</v>
      </c>
      <c r="AK40" s="26">
        <f t="shared" si="16"/>
        <v>0</v>
      </c>
      <c r="AL40" s="26">
        <f t="shared" si="16"/>
        <v>0</v>
      </c>
      <c r="AM40" s="26">
        <f t="shared" si="16"/>
        <v>0</v>
      </c>
      <c r="AN40" s="12"/>
      <c r="AO40" s="6"/>
    </row>
    <row r="41" spans="1:41" x14ac:dyDescent="0.45">
      <c r="A41" s="9" t="str">
        <v>WN348</v>
      </c>
      <c r="B41" t="s">
        <v>298</v>
      </c>
      <c r="C41" s="9" t="s">
        <v>275</v>
      </c>
      <c r="D41" s="9" t="s">
        <v>299</v>
      </c>
      <c r="E41" s="24">
        <f>INDEX('Top Down inputs'!$C$98:$Q$137,MATCH($A41,'Top Down inputs'!$A$98:$A$137,0),MATCH(E$1,'Top Down inputs'!$C$96:$Q$96,0))</f>
        <v>37225.493682006112</v>
      </c>
      <c r="F41" s="24">
        <f>INDEX('Top Down inputs'!$C$98:$Q$137,MATCH($A41,'Top Down inputs'!$A$98:$A$137,0),MATCH(F$1,'Top Down inputs'!$C$96:$Q$96,0))</f>
        <v>85864.312477539293</v>
      </c>
      <c r="G41" s="24">
        <f>INDEX('Top Down inputs'!$C$98:$Q$137,MATCH($A41,'Top Down inputs'!$A$98:$A$137,0),MATCH(G$1,'Top Down inputs'!$C$96:$Q$96,0))</f>
        <v>127560.83190379567</v>
      </c>
      <c r="H41" s="24">
        <f>INDEX('Top Down inputs'!$C$98:$Q$137,MATCH($A41,'Top Down inputs'!$A$98:$A$137,0),MATCH(H$1,'Top Down inputs'!$C$96:$Q$96,0))</f>
        <v>180086.39967006436</v>
      </c>
      <c r="I41" s="24">
        <f>INDEX('Top Down inputs'!$C$98:$Q$137,MATCH($A41,'Top Down inputs'!$A$98:$A$137,0),MATCH(I$1,'Top Down inputs'!$C$96:$Q$96,0))</f>
        <v>261481.18346980814</v>
      </c>
      <c r="J41" s="24">
        <f>INDEX('Top Down inputs'!$C$98:$Q$137,MATCH($A41,'Top Down inputs'!$A$98:$A$137,0),MATCH(J$1,'Top Down inputs'!$C$96:$Q$96,0))</f>
        <v>287797.72504500643</v>
      </c>
      <c r="K41" s="24">
        <f>INDEX('Top Down inputs'!$C$98:$Q$137,MATCH($A41,'Top Down inputs'!$A$98:$A$137,0),MATCH(K$1,'Top Down inputs'!$C$96:$Q$96,0))</f>
        <v>393702.03956636426</v>
      </c>
      <c r="L41" s="24">
        <f>INDEX('Top Down inputs'!$C$98:$Q$137,MATCH($A41,'Top Down inputs'!$A$98:$A$137,0),MATCH(L$1,'Top Down inputs'!$C$96:$Q$96,0))</f>
        <v>357603.95422998437</v>
      </c>
      <c r="M41" s="24">
        <f>INDEX('Top Down inputs'!$C$98:$Q$137,MATCH($A41,'Top Down inputs'!$A$98:$A$137,0),MATCH(M$1,'Top Down inputs'!$C$96:$Q$96,0))</f>
        <v>240628.26650127026</v>
      </c>
      <c r="N41" s="24">
        <f>INDEX('Top Down inputs'!$C$98:$Q$137,MATCH($A41,'Top Down inputs'!$A$98:$A$137,0),MATCH(N$1,'Top Down inputs'!$C$96:$Q$96,0))</f>
        <v>119412.79085481199</v>
      </c>
      <c r="O41" s="24">
        <f>INDEX('Top Down inputs'!$C$98:$Q$137,MATCH($A41,'Top Down inputs'!$A$98:$A$137,0),MATCH(O$1,'Top Down inputs'!$C$96:$Q$96,0))</f>
        <v>0</v>
      </c>
      <c r="P41" s="24">
        <f>INDEX('Top Down inputs'!$C$98:$Q$137,MATCH($A41,'Top Down inputs'!$A$98:$A$137,0),MATCH(P$1,'Top Down inputs'!$C$96:$Q$96,0))</f>
        <v>0</v>
      </c>
      <c r="Q41" s="24">
        <f>INDEX('Top Down inputs'!$C$98:$Q$137,MATCH($A41,'Top Down inputs'!$A$98:$A$137,0),MATCH(Q$1,'Top Down inputs'!$C$96:$Q$96,0))</f>
        <v>0</v>
      </c>
      <c r="R41" s="24">
        <f>INDEX('Top Down inputs'!$C$98:$Q$137,MATCH($A41,'Top Down inputs'!$A$98:$A$137,0),MATCH(R$1,'Top Down inputs'!$C$96:$Q$96,0))</f>
        <v>0</v>
      </c>
      <c r="S41" s="24">
        <f>INDEX('Top Down inputs'!$C$98:$Q$137,MATCH($A41,'Top Down inputs'!$A$98:$A$137,0),MATCH(S$1,'Top Down inputs'!$C$96:$Q$96,0))</f>
        <v>0</v>
      </c>
      <c r="T41" s="8"/>
      <c r="W41" s="9" t="str">
        <v>WN348</v>
      </c>
      <c r="X41" t="s">
        <v>298</v>
      </c>
      <c r="Y41" s="12">
        <f t="shared" si="17"/>
        <v>37225.493682006112</v>
      </c>
      <c r="Z41" s="26">
        <f t="shared" si="17"/>
        <v>85864.312477539293</v>
      </c>
      <c r="AA41" s="26">
        <f t="shared" si="17"/>
        <v>127560.83190379567</v>
      </c>
      <c r="AB41" s="26">
        <f t="shared" si="17"/>
        <v>180086.39967006436</v>
      </c>
      <c r="AC41" s="26">
        <f t="shared" si="17"/>
        <v>261481.18346980814</v>
      </c>
      <c r="AD41" s="26">
        <f t="shared" si="17"/>
        <v>287797.72504500643</v>
      </c>
      <c r="AE41" s="26">
        <f t="shared" si="17"/>
        <v>393702.03956636426</v>
      </c>
      <c r="AF41" s="26">
        <f t="shared" si="17"/>
        <v>357603.95422998437</v>
      </c>
      <c r="AG41" s="26">
        <f t="shared" si="17"/>
        <v>240628.26650127026</v>
      </c>
      <c r="AH41" s="26">
        <f t="shared" si="17"/>
        <v>119412.79085481199</v>
      </c>
      <c r="AI41" s="26">
        <f t="shared" si="17"/>
        <v>0</v>
      </c>
      <c r="AJ41" s="26">
        <f t="shared" si="17"/>
        <v>0</v>
      </c>
      <c r="AK41" s="26">
        <f t="shared" si="16"/>
        <v>0</v>
      </c>
      <c r="AL41" s="26">
        <f t="shared" si="16"/>
        <v>0</v>
      </c>
      <c r="AM41" s="26">
        <f t="shared" si="16"/>
        <v>0</v>
      </c>
      <c r="AN41" s="12"/>
      <c r="AO41" s="6"/>
    </row>
    <row r="42" spans="1:41" x14ac:dyDescent="0.45">
      <c r="A42" s="9" t="str">
        <v>WN350</v>
      </c>
      <c r="B42" t="s">
        <v>300</v>
      </c>
      <c r="C42" s="9" t="s">
        <v>275</v>
      </c>
      <c r="D42" s="9" t="s">
        <v>299</v>
      </c>
      <c r="E42" s="24">
        <f>INDEX('Top Down inputs'!$C$98:$Q$137,MATCH($A42,'Top Down inputs'!$A$98:$A$137,0),MATCH(E$1,'Top Down inputs'!$C$96:$Q$96,0))</f>
        <v>106612.5482746474</v>
      </c>
      <c r="F42" s="24">
        <f>INDEX('Top Down inputs'!$C$98:$Q$137,MATCH($A42,'Top Down inputs'!$A$98:$A$137,0),MATCH(F$1,'Top Down inputs'!$C$96:$Q$96,0))</f>
        <v>232336.12379478154</v>
      </c>
      <c r="G42" s="24">
        <f>INDEX('Top Down inputs'!$C$98:$Q$137,MATCH($A42,'Top Down inputs'!$A$98:$A$137,0),MATCH(G$1,'Top Down inputs'!$C$96:$Q$96,0))</f>
        <v>357385.40526988974</v>
      </c>
      <c r="H42" s="24">
        <f>INDEX('Top Down inputs'!$C$98:$Q$137,MATCH($A42,'Top Down inputs'!$A$98:$A$137,0),MATCH(H$1,'Top Down inputs'!$C$96:$Q$96,0))</f>
        <v>514802.00762610673</v>
      </c>
      <c r="I42" s="24">
        <f>INDEX('Top Down inputs'!$C$98:$Q$137,MATCH($A42,'Top Down inputs'!$A$98:$A$137,0),MATCH(I$1,'Top Down inputs'!$C$96:$Q$96,0))</f>
        <v>563846.04200365604</v>
      </c>
      <c r="J42" s="24">
        <f>INDEX('Top Down inputs'!$C$98:$Q$137,MATCH($A42,'Top Down inputs'!$A$98:$A$137,0),MATCH(J$1,'Top Down inputs'!$C$96:$Q$96,0))</f>
        <v>613037.40720303985</v>
      </c>
      <c r="K42" s="24">
        <f>INDEX('Top Down inputs'!$C$98:$Q$137,MATCH($A42,'Top Down inputs'!$A$98:$A$137,0),MATCH(K$1,'Top Down inputs'!$C$96:$Q$96,0))</f>
        <v>597523.26701290708</v>
      </c>
      <c r="L42" s="24">
        <f>INDEX('Top Down inputs'!$C$98:$Q$137,MATCH($A42,'Top Down inputs'!$A$98:$A$137,0),MATCH(L$1,'Top Down inputs'!$C$96:$Q$96,0))</f>
        <v>486639.08542237978</v>
      </c>
      <c r="M42" s="24">
        <f>INDEX('Top Down inputs'!$C$98:$Q$137,MATCH($A42,'Top Down inputs'!$A$98:$A$137,0),MATCH(M$1,'Top Down inputs'!$C$96:$Q$96,0))</f>
        <v>423320.98126628372</v>
      </c>
      <c r="N42" s="24">
        <f>INDEX('Top Down inputs'!$C$98:$Q$137,MATCH($A42,'Top Down inputs'!$A$98:$A$137,0),MATCH(N$1,'Top Down inputs'!$C$96:$Q$96,0))</f>
        <v>364917.96429244441</v>
      </c>
      <c r="O42" s="24">
        <f>INDEX('Top Down inputs'!$C$98:$Q$137,MATCH($A42,'Top Down inputs'!$A$98:$A$137,0),MATCH(O$1,'Top Down inputs'!$C$96:$Q$96,0))</f>
        <v>288947.34951620648</v>
      </c>
      <c r="P42" s="24">
        <f>INDEX('Top Down inputs'!$C$98:$Q$137,MATCH($A42,'Top Down inputs'!$A$98:$A$137,0),MATCH(P$1,'Top Down inputs'!$C$96:$Q$96,0))</f>
        <v>73291.200304760365</v>
      </c>
      <c r="Q42" s="24">
        <f>INDEX('Top Down inputs'!$C$98:$Q$137,MATCH($A42,'Top Down inputs'!$A$98:$A$137,0),MATCH(Q$1,'Top Down inputs'!$C$96:$Q$96,0))</f>
        <v>0</v>
      </c>
      <c r="R42" s="24">
        <f>INDEX('Top Down inputs'!$C$98:$Q$137,MATCH($A42,'Top Down inputs'!$A$98:$A$137,0),MATCH(R$1,'Top Down inputs'!$C$96:$Q$96,0))</f>
        <v>0</v>
      </c>
      <c r="S42" s="24">
        <f>INDEX('Top Down inputs'!$C$98:$Q$137,MATCH($A42,'Top Down inputs'!$A$98:$A$137,0),MATCH(S$1,'Top Down inputs'!$C$96:$Q$96,0))</f>
        <v>0</v>
      </c>
      <c r="T42" s="8"/>
      <c r="W42" s="9" t="str">
        <v>WN350</v>
      </c>
      <c r="X42" t="s">
        <v>300</v>
      </c>
      <c r="Y42" s="12">
        <f t="shared" si="17"/>
        <v>106612.5482746474</v>
      </c>
      <c r="Z42" s="26">
        <f t="shared" si="17"/>
        <v>232336.12379478154</v>
      </c>
      <c r="AA42" s="26">
        <f t="shared" si="17"/>
        <v>357385.40526988974</v>
      </c>
      <c r="AB42" s="26">
        <f t="shared" si="17"/>
        <v>514802.00762610673</v>
      </c>
      <c r="AC42" s="26">
        <f t="shared" si="17"/>
        <v>563846.04200365604</v>
      </c>
      <c r="AD42" s="26">
        <f t="shared" si="17"/>
        <v>613037.40720303985</v>
      </c>
      <c r="AE42" s="26">
        <f t="shared" si="17"/>
        <v>597523.26701290708</v>
      </c>
      <c r="AF42" s="26">
        <f t="shared" si="17"/>
        <v>486639.08542237978</v>
      </c>
      <c r="AG42" s="26">
        <f t="shared" si="17"/>
        <v>423320.98126628372</v>
      </c>
      <c r="AH42" s="26">
        <f t="shared" si="17"/>
        <v>364917.96429244441</v>
      </c>
      <c r="AI42" s="26">
        <f t="shared" si="17"/>
        <v>288947.34951620648</v>
      </c>
      <c r="AJ42" s="26">
        <f t="shared" si="17"/>
        <v>73291.200304760365</v>
      </c>
      <c r="AK42" s="26">
        <f t="shared" si="16"/>
        <v>0</v>
      </c>
      <c r="AL42" s="26">
        <f t="shared" si="16"/>
        <v>0</v>
      </c>
      <c r="AM42" s="26">
        <f t="shared" si="16"/>
        <v>0</v>
      </c>
      <c r="AN42" s="12"/>
      <c r="AO42" s="6"/>
    </row>
    <row r="43" spans="1:41" x14ac:dyDescent="0.45">
      <c r="A43" s="9" t="str">
        <v>WX349</v>
      </c>
      <c r="B43" t="s">
        <v>301</v>
      </c>
      <c r="C43" s="9" t="s">
        <v>275</v>
      </c>
      <c r="D43" s="9" t="s">
        <v>299</v>
      </c>
      <c r="E43" s="24">
        <f>INDEX('Top Down inputs'!$C$98:$Q$137,MATCH($A43,'Top Down inputs'!$A$98:$A$137,0),MATCH(E$1,'Top Down inputs'!$C$96:$Q$96,0))</f>
        <v>25235.162935987762</v>
      </c>
      <c r="F43" s="24">
        <f>INDEX('Top Down inputs'!$C$98:$Q$137,MATCH($A43,'Top Down inputs'!$A$98:$A$137,0),MATCH(F$1,'Top Down inputs'!$C$96:$Q$96,0))</f>
        <v>58207.419202197132</v>
      </c>
      <c r="G43" s="24">
        <f>INDEX('Top Down inputs'!$C$98:$Q$137,MATCH($A43,'Top Down inputs'!$A$98:$A$137,0),MATCH(G$1,'Top Down inputs'!$C$96:$Q$96,0))</f>
        <v>100865.34434480222</v>
      </c>
      <c r="H43" s="24">
        <f>INDEX('Top Down inputs'!$C$98:$Q$137,MATCH($A43,'Top Down inputs'!$A$98:$A$137,0),MATCH(H$1,'Top Down inputs'!$C$96:$Q$96,0))</f>
        <v>114266.12456527917</v>
      </c>
      <c r="I43" s="24">
        <f>INDEX('Top Down inputs'!$C$98:$Q$137,MATCH($A43,'Top Down inputs'!$A$98:$A$137,0),MATCH(I$1,'Top Down inputs'!$C$96:$Q$96,0))</f>
        <v>165911.70479204782</v>
      </c>
      <c r="J43" s="24">
        <f>INDEX('Top Down inputs'!$C$98:$Q$137,MATCH($A43,'Top Down inputs'!$A$98:$A$137,0),MATCH(J$1,'Top Down inputs'!$C$96:$Q$96,0))</f>
        <v>182609.74102942817</v>
      </c>
      <c r="K43" s="24">
        <f>INDEX('Top Down inputs'!$C$98:$Q$137,MATCH($A43,'Top Down inputs'!$A$98:$A$137,0),MATCH(K$1,'Top Down inputs'!$C$96:$Q$96,0))</f>
        <v>249806.79564693756</v>
      </c>
      <c r="L43" s="24">
        <f>INDEX('Top Down inputs'!$C$98:$Q$137,MATCH($A43,'Top Down inputs'!$A$98:$A$137,0),MATCH(L$1,'Top Down inputs'!$C$96:$Q$96,0))</f>
        <v>226902.29904640446</v>
      </c>
      <c r="M43" s="24">
        <f>INDEX('Top Down inputs'!$C$98:$Q$137,MATCH($A43,'Top Down inputs'!$A$98:$A$137,0),MATCH(M$1,'Top Down inputs'!$C$96:$Q$96,0))</f>
        <v>152680.37794004654</v>
      </c>
      <c r="N43" s="24">
        <f>INDEX('Top Down inputs'!$C$98:$Q$137,MATCH($A43,'Top Down inputs'!$A$98:$A$137,0),MATCH(N$1,'Top Down inputs'!$C$96:$Q$96,0))</f>
        <v>75768.280691546213</v>
      </c>
      <c r="O43" s="24">
        <f>INDEX('Top Down inputs'!$C$98:$Q$137,MATCH($A43,'Top Down inputs'!$A$98:$A$137,0),MATCH(O$1,'Top Down inputs'!$C$96:$Q$96,0))</f>
        <v>0</v>
      </c>
      <c r="P43" s="24">
        <f>INDEX('Top Down inputs'!$C$98:$Q$137,MATCH($A43,'Top Down inputs'!$A$98:$A$137,0),MATCH(P$1,'Top Down inputs'!$C$96:$Q$96,0))</f>
        <v>0</v>
      </c>
      <c r="Q43" s="24">
        <f>INDEX('Top Down inputs'!$C$98:$Q$137,MATCH($A43,'Top Down inputs'!$A$98:$A$137,0),MATCH(Q$1,'Top Down inputs'!$C$96:$Q$96,0))</f>
        <v>0</v>
      </c>
      <c r="R43" s="24">
        <f>INDEX('Top Down inputs'!$C$98:$Q$137,MATCH($A43,'Top Down inputs'!$A$98:$A$137,0),MATCH(R$1,'Top Down inputs'!$C$96:$Q$96,0))</f>
        <v>0</v>
      </c>
      <c r="S43" s="24">
        <f>INDEX('Top Down inputs'!$C$98:$Q$137,MATCH($A43,'Top Down inputs'!$A$98:$A$137,0),MATCH(S$1,'Top Down inputs'!$C$96:$Q$96,0))</f>
        <v>0</v>
      </c>
      <c r="T43" s="8"/>
      <c r="W43" s="9" t="str">
        <v>WX349</v>
      </c>
      <c r="X43" t="s">
        <v>301</v>
      </c>
      <c r="Y43" s="12">
        <f t="shared" si="17"/>
        <v>25235.162935987762</v>
      </c>
      <c r="Z43" s="26">
        <f t="shared" si="17"/>
        <v>58207.419202197132</v>
      </c>
      <c r="AA43" s="26">
        <f t="shared" si="17"/>
        <v>100865.34434480222</v>
      </c>
      <c r="AB43" s="26">
        <f t="shared" si="17"/>
        <v>114266.12456527917</v>
      </c>
      <c r="AC43" s="26">
        <f t="shared" si="17"/>
        <v>165911.70479204782</v>
      </c>
      <c r="AD43" s="26">
        <f t="shared" si="17"/>
        <v>182609.74102942817</v>
      </c>
      <c r="AE43" s="26">
        <f t="shared" si="17"/>
        <v>249806.79564693756</v>
      </c>
      <c r="AF43" s="26">
        <f t="shared" si="17"/>
        <v>226902.29904640446</v>
      </c>
      <c r="AG43" s="26">
        <f t="shared" si="17"/>
        <v>152680.37794004654</v>
      </c>
      <c r="AH43" s="26">
        <f t="shared" si="17"/>
        <v>75768.280691546213</v>
      </c>
      <c r="AI43" s="26">
        <f t="shared" si="17"/>
        <v>0</v>
      </c>
      <c r="AJ43" s="26">
        <f t="shared" si="17"/>
        <v>0</v>
      </c>
      <c r="AK43" s="26">
        <f t="shared" si="16"/>
        <v>0</v>
      </c>
      <c r="AL43" s="26">
        <f t="shared" si="16"/>
        <v>0</v>
      </c>
      <c r="AM43" s="26">
        <f t="shared" si="16"/>
        <v>0</v>
      </c>
      <c r="AN43" s="12"/>
      <c r="AO43" s="6"/>
    </row>
    <row r="44" spans="1:41" x14ac:dyDescent="0.45">
      <c r="A44" s="9" t="str">
        <v>WX351</v>
      </c>
      <c r="B44" t="s">
        <v>302</v>
      </c>
      <c r="C44" s="9" t="s">
        <v>275</v>
      </c>
      <c r="D44" s="9" t="s">
        <v>299</v>
      </c>
      <c r="E44" s="24">
        <f>INDEX('Top Down inputs'!$C$98:$Q$137,MATCH($A44,'Top Down inputs'!$A$98:$A$137,0),MATCH(E$1,'Top Down inputs'!$C$96:$Q$96,0))</f>
        <v>74201.758838606373</v>
      </c>
      <c r="F44" s="24">
        <f>INDEX('Top Down inputs'!$C$98:$Q$137,MATCH($A44,'Top Down inputs'!$A$98:$A$137,0),MATCH(F$1,'Top Down inputs'!$C$96:$Q$96,0))</f>
        <v>161704.68961031872</v>
      </c>
      <c r="G44" s="24">
        <f>INDEX('Top Down inputs'!$C$98:$Q$137,MATCH($A44,'Top Down inputs'!$A$98:$A$137,0),MATCH(G$1,'Top Down inputs'!$C$96:$Q$96,0))</f>
        <v>255460.95813080907</v>
      </c>
      <c r="H44" s="24">
        <f>INDEX('Top Down inputs'!$C$98:$Q$137,MATCH($A44,'Top Down inputs'!$A$98:$A$137,0),MATCH(H$1,'Top Down inputs'!$C$96:$Q$96,0))</f>
        <v>318664.18741405988</v>
      </c>
      <c r="I44" s="24">
        <f>INDEX('Top Down inputs'!$C$98:$Q$137,MATCH($A44,'Top Down inputs'!$A$98:$A$137,0),MATCH(I$1,'Top Down inputs'!$C$96:$Q$96,0))</f>
        <v>349022.65354221669</v>
      </c>
      <c r="J44" s="24">
        <f>INDEX('Top Down inputs'!$C$98:$Q$137,MATCH($A44,'Top Down inputs'!$A$98:$A$137,0),MATCH(J$1,'Top Down inputs'!$C$96:$Q$96,0))</f>
        <v>379472.27903261228</v>
      </c>
      <c r="K44" s="24">
        <f>INDEX('Top Down inputs'!$C$98:$Q$137,MATCH($A44,'Top Down inputs'!$A$98:$A$137,0),MATCH(K$1,'Top Down inputs'!$C$96:$Q$96,0))</f>
        <v>369868.97250350303</v>
      </c>
      <c r="L44" s="24">
        <f>INDEX('Top Down inputs'!$C$98:$Q$137,MATCH($A44,'Top Down inputs'!$A$98:$A$137,0),MATCH(L$1,'Top Down inputs'!$C$96:$Q$96,0))</f>
        <v>301231.27992157673</v>
      </c>
      <c r="M44" s="24">
        <f>INDEX('Top Down inputs'!$C$98:$Q$137,MATCH($A44,'Top Down inputs'!$A$98:$A$137,0),MATCH(M$1,'Top Down inputs'!$C$96:$Q$96,0))</f>
        <v>262037.15407245033</v>
      </c>
      <c r="N44" s="24">
        <f>INDEX('Top Down inputs'!$C$98:$Q$137,MATCH($A44,'Top Down inputs'!$A$98:$A$137,0),MATCH(N$1,'Top Down inputs'!$C$96:$Q$96,0))</f>
        <v>225885.48421830893</v>
      </c>
      <c r="O44" s="24">
        <f>INDEX('Top Down inputs'!$C$98:$Q$137,MATCH($A44,'Top Down inputs'!$A$98:$A$137,0),MATCH(O$1,'Top Down inputs'!$C$96:$Q$96,0))</f>
        <v>178859.41045850739</v>
      </c>
      <c r="P44" s="24">
        <f>INDEX('Top Down inputs'!$C$98:$Q$137,MATCH($A44,'Top Down inputs'!$A$98:$A$137,0),MATCH(P$1,'Top Down inputs'!$C$96:$Q$96,0))</f>
        <v>45367.506918662948</v>
      </c>
      <c r="Q44" s="24">
        <f>INDEX('Top Down inputs'!$C$98:$Q$137,MATCH($A44,'Top Down inputs'!$A$98:$A$137,0),MATCH(Q$1,'Top Down inputs'!$C$96:$Q$96,0))</f>
        <v>0</v>
      </c>
      <c r="R44" s="24">
        <f>INDEX('Top Down inputs'!$C$98:$Q$137,MATCH($A44,'Top Down inputs'!$A$98:$A$137,0),MATCH(R$1,'Top Down inputs'!$C$96:$Q$96,0))</f>
        <v>0</v>
      </c>
      <c r="S44" s="24">
        <f>INDEX('Top Down inputs'!$C$98:$Q$137,MATCH($A44,'Top Down inputs'!$A$98:$A$137,0),MATCH(S$1,'Top Down inputs'!$C$96:$Q$96,0))</f>
        <v>0</v>
      </c>
      <c r="T44" s="8"/>
      <c r="W44" s="9" t="str">
        <v>WX351</v>
      </c>
      <c r="X44" t="s">
        <v>302</v>
      </c>
      <c r="Y44" s="12">
        <f t="shared" si="17"/>
        <v>74201.758838606373</v>
      </c>
      <c r="Z44" s="26">
        <f t="shared" si="17"/>
        <v>161704.68961031872</v>
      </c>
      <c r="AA44" s="26">
        <f t="shared" si="17"/>
        <v>255460.95813080907</v>
      </c>
      <c r="AB44" s="26">
        <f t="shared" si="17"/>
        <v>318664.18741405988</v>
      </c>
      <c r="AC44" s="26">
        <f t="shared" si="17"/>
        <v>349022.65354221669</v>
      </c>
      <c r="AD44" s="26">
        <f t="shared" si="17"/>
        <v>379472.27903261228</v>
      </c>
      <c r="AE44" s="26">
        <f t="shared" si="17"/>
        <v>369868.97250350303</v>
      </c>
      <c r="AF44" s="26">
        <f t="shared" si="17"/>
        <v>301231.27992157673</v>
      </c>
      <c r="AG44" s="26">
        <f t="shared" si="17"/>
        <v>262037.15407245033</v>
      </c>
      <c r="AH44" s="26">
        <f t="shared" si="17"/>
        <v>225885.48421830893</v>
      </c>
      <c r="AI44" s="26">
        <f t="shared" si="17"/>
        <v>178859.41045850739</v>
      </c>
      <c r="AJ44" s="26">
        <f t="shared" si="17"/>
        <v>45367.506918662948</v>
      </c>
      <c r="AK44" s="26">
        <f t="shared" si="16"/>
        <v>0</v>
      </c>
      <c r="AL44" s="26">
        <f t="shared" si="16"/>
        <v>0</v>
      </c>
      <c r="AM44" s="26">
        <f t="shared" si="16"/>
        <v>0</v>
      </c>
      <c r="AN44" s="12"/>
      <c r="AO44" s="6"/>
    </row>
    <row r="45" spans="1:41" x14ac:dyDescent="0.45">
      <c r="A45" s="9" t="str">
        <v>WX355</v>
      </c>
      <c r="B45" t="s">
        <v>303</v>
      </c>
      <c r="C45" s="9" t="s">
        <v>3</v>
      </c>
      <c r="D45" s="9" t="s">
        <v>299</v>
      </c>
      <c r="E45" s="24">
        <f>INDEX('Top Down inputs'!$C$98:$Q$137,MATCH($A45,'Top Down inputs'!$A$98:$A$137,0),MATCH(E$1,'Top Down inputs'!$C$96:$Q$96,0))</f>
        <v>62510.061393806565</v>
      </c>
      <c r="F45" s="24">
        <f>INDEX('Top Down inputs'!$C$98:$Q$137,MATCH($A45,'Top Down inputs'!$A$98:$A$137,0),MATCH(F$1,'Top Down inputs'!$C$96:$Q$96,0))</f>
        <v>62157.205159489211</v>
      </c>
      <c r="G45" s="24">
        <f>INDEX('Top Down inputs'!$C$98:$Q$137,MATCH($A45,'Top Down inputs'!$A$98:$A$137,0),MATCH(G$1,'Top Down inputs'!$C$96:$Q$96,0))</f>
        <v>74843.346557496669</v>
      </c>
      <c r="H45" s="24">
        <f>INDEX('Top Down inputs'!$C$98:$Q$137,MATCH($A45,'Top Down inputs'!$A$98:$A$137,0),MATCH(H$1,'Top Down inputs'!$C$96:$Q$96,0))</f>
        <v>58224.679769659495</v>
      </c>
      <c r="I45" s="24">
        <f>INDEX('Top Down inputs'!$C$98:$Q$137,MATCH($A45,'Top Down inputs'!$A$98:$A$137,0),MATCH(I$1,'Top Down inputs'!$C$96:$Q$96,0))</f>
        <v>66516.268804033898</v>
      </c>
      <c r="J45" s="24">
        <f>INDEX('Top Down inputs'!$C$98:$Q$137,MATCH($A45,'Top Down inputs'!$A$98:$A$137,0),MATCH(J$1,'Top Down inputs'!$C$96:$Q$96,0))</f>
        <v>64976.311255830093</v>
      </c>
      <c r="K45" s="24">
        <f>INDEX('Top Down inputs'!$C$98:$Q$137,MATCH($A45,'Top Down inputs'!$A$98:$A$137,0),MATCH(K$1,'Top Down inputs'!$C$96:$Q$96,0))</f>
        <v>44574.843464293459</v>
      </c>
      <c r="L45" s="24">
        <f>INDEX('Top Down inputs'!$C$98:$Q$137,MATCH($A45,'Top Down inputs'!$A$98:$A$137,0),MATCH(L$1,'Top Down inputs'!$C$96:$Q$96,0))</f>
        <v>42683.36141114022</v>
      </c>
      <c r="M45" s="24">
        <f>INDEX('Top Down inputs'!$C$98:$Q$137,MATCH($A45,'Top Down inputs'!$A$98:$A$137,0),MATCH(M$1,'Top Down inputs'!$C$96:$Q$96,0))</f>
        <v>33895.711844852995</v>
      </c>
      <c r="N45" s="24">
        <f>INDEX('Top Down inputs'!$C$98:$Q$137,MATCH($A45,'Top Down inputs'!$A$98:$A$137,0),MATCH(N$1,'Top Down inputs'!$C$96:$Q$96,0))</f>
        <v>0</v>
      </c>
      <c r="O45" s="24">
        <f>INDEX('Top Down inputs'!$C$98:$Q$137,MATCH($A45,'Top Down inputs'!$A$98:$A$137,0),MATCH(O$1,'Top Down inputs'!$C$96:$Q$96,0))</f>
        <v>0</v>
      </c>
      <c r="P45" s="24">
        <f>INDEX('Top Down inputs'!$C$98:$Q$137,MATCH($A45,'Top Down inputs'!$A$98:$A$137,0),MATCH(P$1,'Top Down inputs'!$C$96:$Q$96,0))</f>
        <v>0</v>
      </c>
      <c r="Q45" s="24">
        <f>INDEX('Top Down inputs'!$C$98:$Q$137,MATCH($A45,'Top Down inputs'!$A$98:$A$137,0),MATCH(Q$1,'Top Down inputs'!$C$96:$Q$96,0))</f>
        <v>0</v>
      </c>
      <c r="R45" s="24">
        <f>INDEX('Top Down inputs'!$C$98:$Q$137,MATCH($A45,'Top Down inputs'!$A$98:$A$137,0),MATCH(R$1,'Top Down inputs'!$C$96:$Q$96,0))</f>
        <v>0</v>
      </c>
      <c r="S45" s="24">
        <f>INDEX('Top Down inputs'!$C$98:$Q$137,MATCH($A45,'Top Down inputs'!$A$98:$A$137,0),MATCH(S$1,'Top Down inputs'!$C$96:$Q$96,0))</f>
        <v>0</v>
      </c>
      <c r="T45" s="8"/>
      <c r="W45" s="9" t="str">
        <v>WX355</v>
      </c>
      <c r="X45" t="s">
        <v>303</v>
      </c>
      <c r="Y45" s="12">
        <f t="shared" si="17"/>
        <v>62510.061393806565</v>
      </c>
      <c r="Z45" s="26">
        <f t="shared" si="17"/>
        <v>62157.205159489211</v>
      </c>
      <c r="AA45" s="26">
        <f t="shared" si="17"/>
        <v>74843.346557496669</v>
      </c>
      <c r="AB45" s="26">
        <f t="shared" si="17"/>
        <v>58224.679769659495</v>
      </c>
      <c r="AC45" s="26">
        <f t="shared" si="17"/>
        <v>66516.268804033898</v>
      </c>
      <c r="AD45" s="26">
        <f t="shared" si="17"/>
        <v>64976.311255830093</v>
      </c>
      <c r="AE45" s="26">
        <f t="shared" si="17"/>
        <v>44574.843464293459</v>
      </c>
      <c r="AF45" s="26">
        <f t="shared" si="17"/>
        <v>42683.36141114022</v>
      </c>
      <c r="AG45" s="26">
        <f t="shared" si="17"/>
        <v>33895.711844852995</v>
      </c>
      <c r="AH45" s="26">
        <f t="shared" si="17"/>
        <v>0</v>
      </c>
      <c r="AI45" s="26">
        <f t="shared" si="17"/>
        <v>0</v>
      </c>
      <c r="AJ45" s="26">
        <f t="shared" si="17"/>
        <v>0</v>
      </c>
      <c r="AK45" s="26">
        <f t="shared" si="16"/>
        <v>0</v>
      </c>
      <c r="AL45" s="26">
        <f t="shared" si="16"/>
        <v>0</v>
      </c>
      <c r="AM45" s="26">
        <f t="shared" si="16"/>
        <v>0</v>
      </c>
      <c r="AN45" s="12"/>
      <c r="AO45" s="6"/>
    </row>
    <row r="46" spans="1:41" x14ac:dyDescent="0.45">
      <c r="A46" s="9" t="str">
        <v>WN354</v>
      </c>
      <c r="B46" t="s">
        <v>304</v>
      </c>
      <c r="C46" s="9" t="s">
        <v>3</v>
      </c>
      <c r="D46" s="9" t="s">
        <v>299</v>
      </c>
      <c r="E46" s="24">
        <f>INDEX('Top Down inputs'!$C$98:$Q$137,MATCH($A46,'Top Down inputs'!$A$98:$A$137,0),MATCH(E$1,'Top Down inputs'!$C$96:$Q$96,0))</f>
        <v>100451.31301117252</v>
      </c>
      <c r="F46" s="24">
        <f>INDEX('Top Down inputs'!$C$98:$Q$137,MATCH($A46,'Top Down inputs'!$A$98:$A$137,0),MATCH(F$1,'Top Down inputs'!$C$96:$Q$96,0))</f>
        <v>72904.0223235468</v>
      </c>
      <c r="G46" s="24">
        <f>INDEX('Top Down inputs'!$C$98:$Q$137,MATCH($A46,'Top Down inputs'!$A$98:$A$137,0),MATCH(G$1,'Top Down inputs'!$C$96:$Q$96,0))</f>
        <v>144648.04428179009</v>
      </c>
      <c r="H46" s="24">
        <f>INDEX('Top Down inputs'!$C$98:$Q$137,MATCH($A46,'Top Down inputs'!$A$98:$A$137,0),MATCH(H$1,'Top Down inputs'!$C$96:$Q$96,0))</f>
        <v>82052.494130989566</v>
      </c>
      <c r="I46" s="24">
        <f>INDEX('Top Down inputs'!$C$98:$Q$137,MATCH($A46,'Top Down inputs'!$A$98:$A$137,0),MATCH(I$1,'Top Down inputs'!$C$96:$Q$96,0))</f>
        <v>106680.34242862533</v>
      </c>
      <c r="J46" s="24">
        <f>INDEX('Top Down inputs'!$C$98:$Q$137,MATCH($A46,'Top Down inputs'!$A$98:$A$137,0),MATCH(J$1,'Top Down inputs'!$C$96:$Q$96,0))</f>
        <v>104200.08070695061</v>
      </c>
      <c r="K46" s="24">
        <f>INDEX('Top Down inputs'!$C$98:$Q$137,MATCH($A46,'Top Down inputs'!$A$98:$A$137,0),MATCH(K$1,'Top Down inputs'!$C$96:$Q$96,0))</f>
        <v>71348.820358150857</v>
      </c>
      <c r="L46" s="24">
        <f>INDEX('Top Down inputs'!$C$98:$Q$137,MATCH($A46,'Top Down inputs'!$A$98:$A$137,0),MATCH(L$1,'Top Down inputs'!$C$96:$Q$96,0))</f>
        <v>68276.088012969005</v>
      </c>
      <c r="M46" s="24">
        <f>INDEX('Top Down inputs'!$C$98:$Q$137,MATCH($A46,'Top Down inputs'!$A$98:$A$137,0),MATCH(M$1,'Top Down inputs'!$C$96:$Q$96,0))</f>
        <v>54298.735179089716</v>
      </c>
      <c r="N46" s="24">
        <f>INDEX('Top Down inputs'!$C$98:$Q$137,MATCH($A46,'Top Down inputs'!$A$98:$A$137,0),MATCH(N$1,'Top Down inputs'!$C$96:$Q$96,0))</f>
        <v>0</v>
      </c>
      <c r="O46" s="24">
        <f>INDEX('Top Down inputs'!$C$98:$Q$137,MATCH($A46,'Top Down inputs'!$A$98:$A$137,0),MATCH(O$1,'Top Down inputs'!$C$96:$Q$96,0))</f>
        <v>0</v>
      </c>
      <c r="P46" s="24">
        <f>INDEX('Top Down inputs'!$C$98:$Q$137,MATCH($A46,'Top Down inputs'!$A$98:$A$137,0),MATCH(P$1,'Top Down inputs'!$C$96:$Q$96,0))</f>
        <v>0</v>
      </c>
      <c r="Q46" s="24">
        <f>INDEX('Top Down inputs'!$C$98:$Q$137,MATCH($A46,'Top Down inputs'!$A$98:$A$137,0),MATCH(Q$1,'Top Down inputs'!$C$96:$Q$96,0))</f>
        <v>0</v>
      </c>
      <c r="R46" s="24">
        <f>INDEX('Top Down inputs'!$C$98:$Q$137,MATCH($A46,'Top Down inputs'!$A$98:$A$137,0),MATCH(R$1,'Top Down inputs'!$C$96:$Q$96,0))</f>
        <v>0</v>
      </c>
      <c r="S46" s="24">
        <f>INDEX('Top Down inputs'!$C$98:$Q$137,MATCH($A46,'Top Down inputs'!$A$98:$A$137,0),MATCH(S$1,'Top Down inputs'!$C$96:$Q$96,0))</f>
        <v>0</v>
      </c>
      <c r="T46" s="8"/>
      <c r="W46" s="9" t="str">
        <v>WN354</v>
      </c>
      <c r="X46" t="s">
        <v>304</v>
      </c>
      <c r="Y46" s="12">
        <f t="shared" si="17"/>
        <v>100451.31301117252</v>
      </c>
      <c r="Z46" s="26">
        <f t="shared" si="17"/>
        <v>72904.0223235468</v>
      </c>
      <c r="AA46" s="26">
        <f t="shared" si="17"/>
        <v>144648.04428179009</v>
      </c>
      <c r="AB46" s="26">
        <f t="shared" si="17"/>
        <v>82052.494130989566</v>
      </c>
      <c r="AC46" s="26">
        <f t="shared" si="17"/>
        <v>106680.34242862533</v>
      </c>
      <c r="AD46" s="26">
        <f t="shared" si="17"/>
        <v>104200.08070695061</v>
      </c>
      <c r="AE46" s="26">
        <f t="shared" si="17"/>
        <v>71348.820358150857</v>
      </c>
      <c r="AF46" s="26">
        <f t="shared" si="17"/>
        <v>68276.088012969005</v>
      </c>
      <c r="AG46" s="26">
        <f t="shared" si="17"/>
        <v>54298.735179089716</v>
      </c>
      <c r="AH46" s="26">
        <f t="shared" si="17"/>
        <v>0</v>
      </c>
      <c r="AI46" s="26">
        <f t="shared" si="17"/>
        <v>0</v>
      </c>
      <c r="AJ46" s="26">
        <f t="shared" si="17"/>
        <v>0</v>
      </c>
      <c r="AK46" s="26">
        <f t="shared" si="16"/>
        <v>0</v>
      </c>
      <c r="AL46" s="26">
        <f t="shared" si="16"/>
        <v>0</v>
      </c>
      <c r="AM46" s="26">
        <f t="shared" si="16"/>
        <v>0</v>
      </c>
      <c r="AN46" s="12"/>
      <c r="AO46" s="6"/>
    </row>
    <row r="47" spans="1:41" x14ac:dyDescent="0.45">
      <c r="A47" s="9" t="str">
        <v>WN158</v>
      </c>
      <c r="B47" t="s">
        <v>305</v>
      </c>
      <c r="C47" s="9" t="s">
        <v>275</v>
      </c>
      <c r="D47" s="9" t="s">
        <v>261</v>
      </c>
      <c r="E47" s="24">
        <f>INDEX('Top Down inputs'!$C$98:$Q$137,MATCH($A47,'Top Down inputs'!$A$98:$A$137,0),MATCH(E$1,'Top Down inputs'!$C$96:$Q$96,0))</f>
        <v>365812.21020041051</v>
      </c>
      <c r="F47" s="24">
        <f>INDEX('Top Down inputs'!$C$98:$Q$137,MATCH($A47,'Top Down inputs'!$A$98:$A$137,0),MATCH(F$1,'Top Down inputs'!$C$96:$Q$96,0))</f>
        <v>344944.94617975061</v>
      </c>
      <c r="G47" s="24">
        <f>INDEX('Top Down inputs'!$C$98:$Q$137,MATCH($A47,'Top Down inputs'!$A$98:$A$137,0),MATCH(G$1,'Top Down inputs'!$C$96:$Q$96,0))</f>
        <v>222424.05371820912</v>
      </c>
      <c r="H47" s="24">
        <f>INDEX('Top Down inputs'!$C$98:$Q$137,MATCH($A47,'Top Down inputs'!$A$98:$A$137,0),MATCH(H$1,'Top Down inputs'!$C$96:$Q$96,0))</f>
        <v>216208.54903432628</v>
      </c>
      <c r="I47" s="24">
        <f>INDEX('Top Down inputs'!$C$98:$Q$137,MATCH($A47,'Top Down inputs'!$A$98:$A$137,0),MATCH(I$1,'Top Down inputs'!$C$96:$Q$96,0))</f>
        <v>151385.3165946989</v>
      </c>
      <c r="J47" s="24">
        <f>INDEX('Top Down inputs'!$C$98:$Q$137,MATCH($A47,'Top Down inputs'!$A$98:$A$137,0),MATCH(J$1,'Top Down inputs'!$C$96:$Q$96,0))</f>
        <v>114883.47459759953</v>
      </c>
      <c r="K47" s="24">
        <f>INDEX('Top Down inputs'!$C$98:$Q$137,MATCH($A47,'Top Down inputs'!$A$98:$A$137,0),MATCH(K$1,'Top Down inputs'!$C$96:$Q$96,0))</f>
        <v>81100.300692444129</v>
      </c>
      <c r="L47" s="24">
        <f>INDEX('Top Down inputs'!$C$98:$Q$137,MATCH($A47,'Top Down inputs'!$A$98:$A$137,0),MATCH(L$1,'Top Down inputs'!$C$96:$Q$96,0))</f>
        <v>53580.45357328633</v>
      </c>
      <c r="M47" s="24">
        <f>INDEX('Top Down inputs'!$C$98:$Q$137,MATCH($A47,'Top Down inputs'!$A$98:$A$137,0),MATCH(M$1,'Top Down inputs'!$C$96:$Q$96,0))</f>
        <v>33324.456148206737</v>
      </c>
      <c r="N47" s="24">
        <f>INDEX('Top Down inputs'!$C$98:$Q$137,MATCH($A47,'Top Down inputs'!$A$98:$A$137,0),MATCH(N$1,'Top Down inputs'!$C$96:$Q$96,0))</f>
        <v>18918.371116889273</v>
      </c>
      <c r="O47" s="24">
        <f>INDEX('Top Down inputs'!$C$98:$Q$137,MATCH($A47,'Top Down inputs'!$A$98:$A$137,0),MATCH(O$1,'Top Down inputs'!$C$96:$Q$96,0))</f>
        <v>0</v>
      </c>
      <c r="P47" s="24">
        <f>INDEX('Top Down inputs'!$C$98:$Q$137,MATCH($A47,'Top Down inputs'!$A$98:$A$137,0),MATCH(P$1,'Top Down inputs'!$C$96:$Q$96,0))</f>
        <v>0</v>
      </c>
      <c r="Q47" s="24">
        <f>INDEX('Top Down inputs'!$C$98:$Q$137,MATCH($A47,'Top Down inputs'!$A$98:$A$137,0),MATCH(Q$1,'Top Down inputs'!$C$96:$Q$96,0))</f>
        <v>0</v>
      </c>
      <c r="R47" s="24">
        <f>INDEX('Top Down inputs'!$C$98:$Q$137,MATCH($A47,'Top Down inputs'!$A$98:$A$137,0),MATCH(R$1,'Top Down inputs'!$C$96:$Q$96,0))</f>
        <v>0</v>
      </c>
      <c r="S47" s="24">
        <f>INDEX('Top Down inputs'!$C$98:$Q$137,MATCH($A47,'Top Down inputs'!$A$98:$A$137,0),MATCH(S$1,'Top Down inputs'!$C$96:$Q$96,0))</f>
        <v>0</v>
      </c>
      <c r="T47" s="8"/>
      <c r="W47" s="9" t="str">
        <v>WN158</v>
      </c>
      <c r="X47" t="s">
        <v>305</v>
      </c>
      <c r="Y47" s="12">
        <f t="shared" si="17"/>
        <v>175416.34482972679</v>
      </c>
      <c r="Z47" s="26">
        <f t="shared" si="17"/>
        <v>148667.75215711902</v>
      </c>
      <c r="AA47" s="26">
        <f t="shared" si="17"/>
        <v>86205.344300828816</v>
      </c>
      <c r="AB47" s="26">
        <f t="shared" si="17"/>
        <v>99590.839376824733</v>
      </c>
      <c r="AC47" s="26">
        <f t="shared" si="17"/>
        <v>77961.215732548299</v>
      </c>
      <c r="AD47" s="26">
        <f t="shared" si="17"/>
        <v>78330.33975722114</v>
      </c>
      <c r="AE47" s="26">
        <f t="shared" si="17"/>
        <v>78300.07700504869</v>
      </c>
      <c r="AF47" s="26">
        <f t="shared" si="17"/>
        <v>53580.45357328633</v>
      </c>
      <c r="AG47" s="26">
        <f t="shared" si="17"/>
        <v>33324.456148206737</v>
      </c>
      <c r="AH47" s="26">
        <f t="shared" si="17"/>
        <v>18918.371116889273</v>
      </c>
      <c r="AI47" s="26">
        <f t="shared" si="17"/>
        <v>0</v>
      </c>
      <c r="AJ47" s="26">
        <f t="shared" si="17"/>
        <v>0</v>
      </c>
      <c r="AK47" s="26">
        <f t="shared" si="16"/>
        <v>0</v>
      </c>
      <c r="AL47" s="26">
        <f t="shared" si="16"/>
        <v>0</v>
      </c>
      <c r="AM47" s="26">
        <f t="shared" si="16"/>
        <v>0</v>
      </c>
      <c r="AN47" s="12"/>
      <c r="AO47" s="6"/>
    </row>
    <row r="48" spans="1:41" x14ac:dyDescent="0.45">
      <c r="A48" s="9" t="str">
        <v>WX135</v>
      </c>
      <c r="B48" t="s">
        <v>306</v>
      </c>
      <c r="C48" s="9" t="s">
        <v>275</v>
      </c>
      <c r="D48" s="9" t="s">
        <v>261</v>
      </c>
      <c r="E48" s="24">
        <f>INDEX('Top Down inputs'!$C$98:$Q$137,MATCH($A48,'Top Down inputs'!$A$98:$A$137,0),MATCH(E$1,'Top Down inputs'!$C$96:$Q$96,0))</f>
        <v>64438.573922576208</v>
      </c>
      <c r="F48" s="24">
        <f>INDEX('Top Down inputs'!$C$98:$Q$137,MATCH($A48,'Top Down inputs'!$A$98:$A$137,0),MATCH(F$1,'Top Down inputs'!$C$96:$Q$96,0))</f>
        <v>55681.911639325364</v>
      </c>
      <c r="G48" s="24">
        <f>INDEX('Top Down inputs'!$C$98:$Q$137,MATCH($A48,'Top Down inputs'!$A$98:$A$137,0),MATCH(G$1,'Top Down inputs'!$C$96:$Q$96,0))</f>
        <v>30407.45412443977</v>
      </c>
      <c r="H48" s="24">
        <f>INDEX('Top Down inputs'!$C$98:$Q$137,MATCH($A48,'Top Down inputs'!$A$98:$A$137,0),MATCH(H$1,'Top Down inputs'!$C$96:$Q$96,0))</f>
        <v>29635.150960789884</v>
      </c>
      <c r="I48" s="24">
        <f>INDEX('Top Down inputs'!$C$98:$Q$137,MATCH($A48,'Top Down inputs'!$A$98:$A$137,0),MATCH(I$1,'Top Down inputs'!$C$96:$Q$96,0))</f>
        <v>21719.808840968402</v>
      </c>
      <c r="J48" s="24">
        <f>INDEX('Top Down inputs'!$C$98:$Q$137,MATCH($A48,'Top Down inputs'!$A$98:$A$137,0),MATCH(J$1,'Top Down inputs'!$C$96:$Q$96,0))</f>
        <v>16482.755153371909</v>
      </c>
      <c r="K48" s="24">
        <f>INDEX('Top Down inputs'!$C$98:$Q$137,MATCH($A48,'Top Down inputs'!$A$98:$A$137,0),MATCH(K$1,'Top Down inputs'!$C$96:$Q$96,0))</f>
        <v>11635.758788290741</v>
      </c>
      <c r="L48" s="24">
        <f>INDEX('Top Down inputs'!$C$98:$Q$137,MATCH($A48,'Top Down inputs'!$A$98:$A$137,0),MATCH(L$1,'Top Down inputs'!$C$96:$Q$96,0))</f>
        <v>7687.3849815954545</v>
      </c>
      <c r="M48" s="24">
        <f>INDEX('Top Down inputs'!$C$98:$Q$137,MATCH($A48,'Top Down inputs'!$A$98:$A$137,0),MATCH(M$1,'Top Down inputs'!$C$96:$Q$96,0))</f>
        <v>4781.1824392857279</v>
      </c>
      <c r="N48" s="24">
        <f>INDEX('Top Down inputs'!$C$98:$Q$137,MATCH($A48,'Top Down inputs'!$A$98:$A$137,0),MATCH(N$1,'Top Down inputs'!$C$96:$Q$96,0))</f>
        <v>2714.2883701292972</v>
      </c>
      <c r="O48" s="24">
        <f>INDEX('Top Down inputs'!$C$98:$Q$137,MATCH($A48,'Top Down inputs'!$A$98:$A$137,0),MATCH(O$1,'Top Down inputs'!$C$96:$Q$96,0))</f>
        <v>0</v>
      </c>
      <c r="P48" s="24">
        <f>INDEX('Top Down inputs'!$C$98:$Q$137,MATCH($A48,'Top Down inputs'!$A$98:$A$137,0),MATCH(P$1,'Top Down inputs'!$C$96:$Q$96,0))</f>
        <v>0</v>
      </c>
      <c r="Q48" s="24">
        <f>INDEX('Top Down inputs'!$C$98:$Q$137,MATCH($A48,'Top Down inputs'!$A$98:$A$137,0),MATCH(Q$1,'Top Down inputs'!$C$96:$Q$96,0))</f>
        <v>0</v>
      </c>
      <c r="R48" s="24">
        <f>INDEX('Top Down inputs'!$C$98:$Q$137,MATCH($A48,'Top Down inputs'!$A$98:$A$137,0),MATCH(R$1,'Top Down inputs'!$C$96:$Q$96,0))</f>
        <v>0</v>
      </c>
      <c r="S48" s="24">
        <f>INDEX('Top Down inputs'!$C$98:$Q$137,MATCH($A48,'Top Down inputs'!$A$98:$A$137,0),MATCH(S$1,'Top Down inputs'!$C$96:$Q$96,0))</f>
        <v>0</v>
      </c>
      <c r="T48" s="8"/>
      <c r="W48" s="9" t="str">
        <v>WX135</v>
      </c>
      <c r="X48" t="s">
        <v>306</v>
      </c>
      <c r="Y48" s="12">
        <f t="shared" si="17"/>
        <v>30899.950270511181</v>
      </c>
      <c r="Z48" s="26">
        <f t="shared" si="17"/>
        <v>23998.33576606775</v>
      </c>
      <c r="AA48" s="26">
        <f t="shared" si="17"/>
        <v>11785.079033897637</v>
      </c>
      <c r="AB48" s="26">
        <f t="shared" si="17"/>
        <v>13650.660773711599</v>
      </c>
      <c r="AC48" s="26">
        <f t="shared" si="17"/>
        <v>11185.382709565522</v>
      </c>
      <c r="AD48" s="26">
        <f t="shared" si="17"/>
        <v>11238.342292666752</v>
      </c>
      <c r="AE48" s="26">
        <f t="shared" si="17"/>
        <v>11234.000384171444</v>
      </c>
      <c r="AF48" s="26">
        <f t="shared" si="17"/>
        <v>7687.3849815954545</v>
      </c>
      <c r="AG48" s="26">
        <f t="shared" si="17"/>
        <v>4781.1824392857279</v>
      </c>
      <c r="AH48" s="26">
        <f t="shared" si="17"/>
        <v>2714.2883701292972</v>
      </c>
      <c r="AI48" s="26">
        <f t="shared" si="17"/>
        <v>0</v>
      </c>
      <c r="AJ48" s="26">
        <f t="shared" si="17"/>
        <v>0</v>
      </c>
      <c r="AK48" s="26">
        <f t="shared" si="16"/>
        <v>0</v>
      </c>
      <c r="AL48" s="26">
        <f t="shared" si="16"/>
        <v>0</v>
      </c>
      <c r="AM48" s="26">
        <f t="shared" si="16"/>
        <v>0</v>
      </c>
      <c r="AN48" s="12"/>
      <c r="AO48" s="6"/>
    </row>
    <row r="49" spans="1:57" x14ac:dyDescent="0.45">
      <c r="A49" s="9" t="str">
        <v>WN138</v>
      </c>
      <c r="B49" t="s">
        <v>307</v>
      </c>
      <c r="C49" s="9" t="s">
        <v>3</v>
      </c>
      <c r="D49" s="9" t="s">
        <v>261</v>
      </c>
      <c r="E49" s="24">
        <f>INDEX('Top Down inputs'!$C$98:$Q$137,MATCH($A49,'Top Down inputs'!$A$98:$A$137,0),MATCH(E$1,'Top Down inputs'!$C$96:$Q$96,0))</f>
        <v>29019.233731545784</v>
      </c>
      <c r="F49" s="24">
        <f>INDEX('Top Down inputs'!$C$98:$Q$137,MATCH($A49,'Top Down inputs'!$A$98:$A$137,0),MATCH(F$1,'Top Down inputs'!$C$96:$Q$96,0))</f>
        <v>23728.064384471327</v>
      </c>
      <c r="G49" s="24">
        <f>INDEX('Top Down inputs'!$C$98:$Q$137,MATCH($A49,'Top Down inputs'!$A$98:$A$137,0),MATCH(G$1,'Top Down inputs'!$C$96:$Q$96,0))</f>
        <v>15288.668668308015</v>
      </c>
      <c r="H49" s="24">
        <f>INDEX('Top Down inputs'!$C$98:$Q$137,MATCH($A49,'Top Down inputs'!$A$98:$A$137,0),MATCH(H$1,'Top Down inputs'!$C$96:$Q$96,0))</f>
        <v>6054.204149960824</v>
      </c>
      <c r="I49" s="24">
        <f>INDEX('Top Down inputs'!$C$98:$Q$137,MATCH($A49,'Top Down inputs'!$A$98:$A$137,0),MATCH(I$1,'Top Down inputs'!$C$96:$Q$96,0))</f>
        <v>4818.8809716903497</v>
      </c>
      <c r="J49" s="24">
        <f>INDEX('Top Down inputs'!$C$98:$Q$137,MATCH($A49,'Top Down inputs'!$A$98:$A$137,0),MATCH(J$1,'Top Down inputs'!$C$96:$Q$96,0))</f>
        <v>3656.9582978923472</v>
      </c>
      <c r="K49" s="24">
        <f>INDEX('Top Down inputs'!$C$98:$Q$137,MATCH($A49,'Top Down inputs'!$A$98:$A$137,0),MATCH(K$1,'Top Down inputs'!$C$96:$Q$96,0))</f>
        <v>2581.5759718064355</v>
      </c>
      <c r="L49" s="24">
        <f>INDEX('Top Down inputs'!$C$98:$Q$137,MATCH($A49,'Top Down inputs'!$A$98:$A$137,0),MATCH(L$1,'Top Down inputs'!$C$96:$Q$96,0))</f>
        <v>1705.5671843664734</v>
      </c>
      <c r="M49" s="24">
        <f>INDEX('Top Down inputs'!$C$98:$Q$137,MATCH($A49,'Top Down inputs'!$A$98:$A$137,0),MATCH(M$1,'Top Down inputs'!$C$96:$Q$96,0))</f>
        <v>1060.7804722201588</v>
      </c>
      <c r="N49" s="24">
        <f>INDEX('Top Down inputs'!$C$98:$Q$137,MATCH($A49,'Top Down inputs'!$A$98:$A$137,0),MATCH(N$1,'Top Down inputs'!$C$96:$Q$96,0))</f>
        <v>602.20753664392305</v>
      </c>
      <c r="O49" s="24">
        <f>INDEX('Top Down inputs'!$C$98:$Q$137,MATCH($A49,'Top Down inputs'!$A$98:$A$137,0),MATCH(O$1,'Top Down inputs'!$C$96:$Q$96,0))</f>
        <v>0</v>
      </c>
      <c r="P49" s="24">
        <f>INDEX('Top Down inputs'!$C$98:$Q$137,MATCH($A49,'Top Down inputs'!$A$98:$A$137,0),MATCH(P$1,'Top Down inputs'!$C$96:$Q$96,0))</f>
        <v>0</v>
      </c>
      <c r="Q49" s="24">
        <f>INDEX('Top Down inputs'!$C$98:$Q$137,MATCH($A49,'Top Down inputs'!$A$98:$A$137,0),MATCH(Q$1,'Top Down inputs'!$C$96:$Q$96,0))</f>
        <v>0</v>
      </c>
      <c r="R49" s="24">
        <f>INDEX('Top Down inputs'!$C$98:$Q$137,MATCH($A49,'Top Down inputs'!$A$98:$A$137,0),MATCH(R$1,'Top Down inputs'!$C$96:$Q$96,0))</f>
        <v>0</v>
      </c>
      <c r="S49" s="24">
        <f>INDEX('Top Down inputs'!$C$98:$Q$137,MATCH($A49,'Top Down inputs'!$A$98:$A$137,0),MATCH(S$1,'Top Down inputs'!$C$96:$Q$96,0))</f>
        <v>0</v>
      </c>
      <c r="T49" s="8"/>
      <c r="W49" s="9" t="str">
        <v>WN138</v>
      </c>
      <c r="X49" t="s">
        <v>307</v>
      </c>
      <c r="Y49" s="12">
        <f t="shared" si="17"/>
        <v>29019.233731545784</v>
      </c>
      <c r="Z49" s="26">
        <f t="shared" si="17"/>
        <v>23728.064384471327</v>
      </c>
      <c r="AA49" s="26">
        <f t="shared" si="17"/>
        <v>15288.668668308015</v>
      </c>
      <c r="AB49" s="26">
        <f t="shared" si="17"/>
        <v>6054.204149960824</v>
      </c>
      <c r="AC49" s="26">
        <f t="shared" si="17"/>
        <v>4818.8809716903497</v>
      </c>
      <c r="AD49" s="26">
        <f t="shared" si="17"/>
        <v>3656.9582978923472</v>
      </c>
      <c r="AE49" s="26">
        <f t="shared" si="17"/>
        <v>2581.5759718064355</v>
      </c>
      <c r="AF49" s="26">
        <f t="shared" si="17"/>
        <v>1705.5671843664734</v>
      </c>
      <c r="AG49" s="26">
        <f t="shared" si="17"/>
        <v>1060.7804722201588</v>
      </c>
      <c r="AH49" s="26">
        <f t="shared" si="17"/>
        <v>602.20753664392305</v>
      </c>
      <c r="AI49" s="26">
        <f t="shared" si="17"/>
        <v>0</v>
      </c>
      <c r="AJ49" s="26">
        <f t="shared" si="17"/>
        <v>0</v>
      </c>
      <c r="AK49" s="26">
        <f t="shared" si="16"/>
        <v>0</v>
      </c>
      <c r="AL49" s="26">
        <f t="shared" si="16"/>
        <v>0</v>
      </c>
      <c r="AM49" s="26">
        <f t="shared" si="16"/>
        <v>0</v>
      </c>
      <c r="AN49" s="12"/>
      <c r="AO49" s="6"/>
    </row>
    <row r="50" spans="1:57" x14ac:dyDescent="0.45">
      <c r="A50" s="9" t="str">
        <v>WX134</v>
      </c>
      <c r="B50" t="s">
        <v>308</v>
      </c>
      <c r="C50" s="9" t="s">
        <v>3</v>
      </c>
      <c r="D50" s="9" t="s">
        <v>261</v>
      </c>
      <c r="E50" s="24">
        <f>INDEX('Top Down inputs'!$C$98:$Q$137,MATCH($A50,'Top Down inputs'!$A$98:$A$137,0),MATCH(E$1,'Top Down inputs'!$C$96:$Q$96,0))</f>
        <v>3320.5096350279105</v>
      </c>
      <c r="F50" s="24">
        <f>INDEX('Top Down inputs'!$C$98:$Q$137,MATCH($A50,'Top Down inputs'!$A$98:$A$137,0),MATCH(F$1,'Top Down inputs'!$C$96:$Q$96,0))</f>
        <v>4175.0063148426125</v>
      </c>
      <c r="G50" s="24">
        <f>INDEX('Top Down inputs'!$C$98:$Q$137,MATCH($A50,'Top Down inputs'!$A$98:$A$137,0),MATCH(G$1,'Top Down inputs'!$C$96:$Q$96,0))</f>
        <v>1666.3027351540698</v>
      </c>
      <c r="H50" s="24">
        <f>INDEX('Top Down inputs'!$C$98:$Q$137,MATCH($A50,'Top Down inputs'!$A$98:$A$137,0),MATCH(H$1,'Top Down inputs'!$C$96:$Q$96,0))</f>
        <v>810.60831449523721</v>
      </c>
      <c r="I50" s="24">
        <f>INDEX('Top Down inputs'!$C$98:$Q$137,MATCH($A50,'Top Down inputs'!$A$98:$A$137,0),MATCH(I$1,'Top Down inputs'!$C$96:$Q$96,0))</f>
        <v>63.161921478323897</v>
      </c>
      <c r="J50" s="24">
        <f>INDEX('Top Down inputs'!$C$98:$Q$137,MATCH($A50,'Top Down inputs'!$A$98:$A$137,0),MATCH(J$1,'Top Down inputs'!$C$96:$Q$96,0))</f>
        <v>47.932396383710405</v>
      </c>
      <c r="K50" s="24">
        <f>INDEX('Top Down inputs'!$C$98:$Q$137,MATCH($A50,'Top Down inputs'!$A$98:$A$137,0),MATCH(K$1,'Top Down inputs'!$C$96:$Q$96,0))</f>
        <v>33.837170865909378</v>
      </c>
      <c r="L50" s="24">
        <f>INDEX('Top Down inputs'!$C$98:$Q$137,MATCH($A50,'Top Down inputs'!$A$98:$A$137,0),MATCH(L$1,'Top Down inputs'!$C$96:$Q$96,0))</f>
        <v>22.355169427887546</v>
      </c>
      <c r="M50" s="24">
        <f>INDEX('Top Down inputs'!$C$98:$Q$137,MATCH($A50,'Top Down inputs'!$A$98:$A$137,0),MATCH(M$1,'Top Down inputs'!$C$96:$Q$96,0))</f>
        <v>13.903836447864506</v>
      </c>
      <c r="N50" s="24">
        <f>INDEX('Top Down inputs'!$C$98:$Q$137,MATCH($A50,'Top Down inputs'!$A$98:$A$137,0),MATCH(N$1,'Top Down inputs'!$C$96:$Q$96,0))</f>
        <v>7.8932402287197387</v>
      </c>
      <c r="O50" s="24">
        <f>INDEX('Top Down inputs'!$C$98:$Q$137,MATCH($A50,'Top Down inputs'!$A$98:$A$137,0),MATCH(O$1,'Top Down inputs'!$C$96:$Q$96,0))</f>
        <v>0</v>
      </c>
      <c r="P50" s="24">
        <f>INDEX('Top Down inputs'!$C$98:$Q$137,MATCH($A50,'Top Down inputs'!$A$98:$A$137,0),MATCH(P$1,'Top Down inputs'!$C$96:$Q$96,0))</f>
        <v>0</v>
      </c>
      <c r="Q50" s="24">
        <f>INDEX('Top Down inputs'!$C$98:$Q$137,MATCH($A50,'Top Down inputs'!$A$98:$A$137,0),MATCH(Q$1,'Top Down inputs'!$C$96:$Q$96,0))</f>
        <v>0</v>
      </c>
      <c r="R50" s="24">
        <f>INDEX('Top Down inputs'!$C$98:$Q$137,MATCH($A50,'Top Down inputs'!$A$98:$A$137,0),MATCH(R$1,'Top Down inputs'!$C$96:$Q$96,0))</f>
        <v>0</v>
      </c>
      <c r="S50" s="24">
        <f>INDEX('Top Down inputs'!$C$98:$Q$137,MATCH($A50,'Top Down inputs'!$A$98:$A$137,0),MATCH(S$1,'Top Down inputs'!$C$96:$Q$96,0))</f>
        <v>0</v>
      </c>
      <c r="T50" s="8"/>
      <c r="W50" s="9" t="str">
        <v>WX134</v>
      </c>
      <c r="X50" t="s">
        <v>308</v>
      </c>
      <c r="Y50" s="12">
        <f t="shared" si="17"/>
        <v>3320.5096350279105</v>
      </c>
      <c r="Z50" s="26">
        <f t="shared" si="17"/>
        <v>4175.0063148426125</v>
      </c>
      <c r="AA50" s="26">
        <f t="shared" si="17"/>
        <v>1666.3027351540698</v>
      </c>
      <c r="AB50" s="26">
        <f t="shared" si="17"/>
        <v>810.60831449523721</v>
      </c>
      <c r="AC50" s="26">
        <f t="shared" si="17"/>
        <v>63.161921478323897</v>
      </c>
      <c r="AD50" s="26">
        <f t="shared" si="17"/>
        <v>47.932396383710405</v>
      </c>
      <c r="AE50" s="26">
        <f t="shared" si="17"/>
        <v>33.837170865909378</v>
      </c>
      <c r="AF50" s="26">
        <f t="shared" si="17"/>
        <v>22.355169427887546</v>
      </c>
      <c r="AG50" s="26">
        <f t="shared" si="17"/>
        <v>13.903836447864506</v>
      </c>
      <c r="AH50" s="26">
        <f t="shared" si="17"/>
        <v>7.8932402287197387</v>
      </c>
      <c r="AI50" s="26">
        <f t="shared" si="17"/>
        <v>0</v>
      </c>
      <c r="AJ50" s="26">
        <f t="shared" si="17"/>
        <v>0</v>
      </c>
      <c r="AK50" s="26">
        <f t="shared" si="16"/>
        <v>0</v>
      </c>
      <c r="AL50" s="26">
        <f t="shared" si="16"/>
        <v>0</v>
      </c>
      <c r="AM50" s="26">
        <f t="shared" si="16"/>
        <v>0</v>
      </c>
      <c r="AN50" s="12"/>
      <c r="AO50" s="6"/>
    </row>
    <row r="51" spans="1:57" x14ac:dyDescent="0.45">
      <c r="A51" s="9" t="str">
        <v>SL121</v>
      </c>
      <c r="B51" t="s">
        <v>309</v>
      </c>
      <c r="C51" s="9" t="s">
        <v>275</v>
      </c>
      <c r="D51" s="9" t="s">
        <v>261</v>
      </c>
      <c r="E51" s="24">
        <f>INDEX('Top Down inputs'!$C$98:$Q$137,MATCH($A51,'Top Down inputs'!$A$98:$A$137,0),MATCH(E$1,'Top Down inputs'!$C$96:$Q$96,0))</f>
        <v>113761.69795961065</v>
      </c>
      <c r="F51" s="24">
        <f>INDEX('Top Down inputs'!$C$98:$Q$137,MATCH($A51,'Top Down inputs'!$A$98:$A$137,0),MATCH(F$1,'Top Down inputs'!$C$96:$Q$96,0))</f>
        <v>102576.38360853</v>
      </c>
      <c r="G51" s="24">
        <f>INDEX('Top Down inputs'!$C$98:$Q$137,MATCH($A51,'Top Down inputs'!$A$98:$A$137,0),MATCH(G$1,'Top Down inputs'!$C$96:$Q$96,0))</f>
        <v>79104.410155700971</v>
      </c>
      <c r="H51" s="24">
        <f>INDEX('Top Down inputs'!$C$98:$Q$137,MATCH($A51,'Top Down inputs'!$A$98:$A$137,0),MATCH(H$1,'Top Down inputs'!$C$96:$Q$96,0))</f>
        <v>59809.863885932878</v>
      </c>
      <c r="I51" s="24">
        <f>INDEX('Top Down inputs'!$C$98:$Q$137,MATCH($A51,'Top Down inputs'!$A$98:$A$137,0),MATCH(I$1,'Top Down inputs'!$C$96:$Q$96,0))</f>
        <v>46280.159484761243</v>
      </c>
      <c r="J51" s="24">
        <f>INDEX('Top Down inputs'!$C$98:$Q$137,MATCH($A51,'Top Down inputs'!$A$98:$A$137,0),MATCH(J$1,'Top Down inputs'!$C$96:$Q$96,0))</f>
        <v>28092.892481646806</v>
      </c>
      <c r="K51" s="24">
        <f>INDEX('Top Down inputs'!$C$98:$Q$137,MATCH($A51,'Top Down inputs'!$A$98:$A$137,0),MATCH(K$1,'Top Down inputs'!$C$96:$Q$96,0))</f>
        <v>17003.722491056775</v>
      </c>
      <c r="L51" s="24">
        <f>INDEX('Top Down inputs'!$C$98:$Q$137,MATCH($A51,'Top Down inputs'!$A$98:$A$137,0),MATCH(L$1,'Top Down inputs'!$C$96:$Q$96,0))</f>
        <v>11215.911757683367</v>
      </c>
      <c r="M51" s="24">
        <f>INDEX('Top Down inputs'!$C$98:$Q$137,MATCH($A51,'Top Down inputs'!$A$98:$A$137,0),MATCH(M$1,'Top Down inputs'!$C$96:$Q$96,0))</f>
        <v>5827.2709362582964</v>
      </c>
      <c r="N51" s="24">
        <f>INDEX('Top Down inputs'!$C$98:$Q$137,MATCH($A51,'Top Down inputs'!$A$98:$A$137,0),MATCH(N$1,'Top Down inputs'!$C$96:$Q$96,0))</f>
        <v>1342.2308235686626</v>
      </c>
      <c r="O51" s="24">
        <f>INDEX('Top Down inputs'!$C$98:$Q$137,MATCH($A51,'Top Down inputs'!$A$98:$A$137,0),MATCH(O$1,'Top Down inputs'!$C$96:$Q$96,0))</f>
        <v>143.47645836367556</v>
      </c>
      <c r="P51" s="24">
        <f>INDEX('Top Down inputs'!$C$98:$Q$137,MATCH($A51,'Top Down inputs'!$A$98:$A$137,0),MATCH(P$1,'Top Down inputs'!$C$96:$Q$96,0))</f>
        <v>107.24905100526911</v>
      </c>
      <c r="Q51" s="24">
        <f>INDEX('Top Down inputs'!$C$98:$Q$137,MATCH($A51,'Top Down inputs'!$A$98:$A$137,0),MATCH(Q$1,'Top Down inputs'!$C$96:$Q$96,0))</f>
        <v>0</v>
      </c>
      <c r="R51" s="24">
        <f>INDEX('Top Down inputs'!$C$98:$Q$137,MATCH($A51,'Top Down inputs'!$A$98:$A$137,0),MATCH(R$1,'Top Down inputs'!$C$96:$Q$96,0))</f>
        <v>0</v>
      </c>
      <c r="S51" s="24">
        <f>INDEX('Top Down inputs'!$C$98:$Q$137,MATCH($A51,'Top Down inputs'!$A$98:$A$137,0),MATCH(S$1,'Top Down inputs'!$C$96:$Q$96,0))</f>
        <v>0</v>
      </c>
      <c r="T51" s="8"/>
      <c r="W51" s="9" t="str">
        <v>SL121</v>
      </c>
      <c r="X51" t="s">
        <v>309</v>
      </c>
      <c r="Y51" s="12">
        <f t="shared" si="17"/>
        <v>54551.654322215116</v>
      </c>
      <c r="Z51" s="26">
        <f t="shared" si="17"/>
        <v>44209.374696969302</v>
      </c>
      <c r="AA51" s="26">
        <f t="shared" si="17"/>
        <v>30658.657637026583</v>
      </c>
      <c r="AB51" s="26">
        <f t="shared" si="17"/>
        <v>27549.856719439933</v>
      </c>
      <c r="AC51" s="26">
        <f t="shared" si="17"/>
        <v>23833.602748858386</v>
      </c>
      <c r="AD51" s="26">
        <f t="shared" si="17"/>
        <v>19154.415555050226</v>
      </c>
      <c r="AE51" s="26">
        <f t="shared" si="17"/>
        <v>16416.619532290657</v>
      </c>
      <c r="AF51" s="26">
        <f t="shared" si="17"/>
        <v>11215.911757683367</v>
      </c>
      <c r="AG51" s="26">
        <f t="shared" si="17"/>
        <v>5827.2709362582964</v>
      </c>
      <c r="AH51" s="26">
        <f t="shared" si="17"/>
        <v>1342.2308235686626</v>
      </c>
      <c r="AI51" s="26">
        <f t="shared" si="17"/>
        <v>143.47645836367556</v>
      </c>
      <c r="AJ51" s="26">
        <f t="shared" si="17"/>
        <v>107.24905100526911</v>
      </c>
      <c r="AK51" s="26">
        <f t="shared" si="16"/>
        <v>0</v>
      </c>
      <c r="AL51" s="26">
        <f t="shared" si="16"/>
        <v>0</v>
      </c>
      <c r="AM51" s="26">
        <f t="shared" si="16"/>
        <v>0</v>
      </c>
      <c r="AN51" s="12"/>
      <c r="AO51" s="6"/>
    </row>
    <row r="52" spans="1:57" x14ac:dyDescent="0.45">
      <c r="A52" s="9" t="str">
        <v>SL122</v>
      </c>
      <c r="B52" t="s">
        <v>310</v>
      </c>
      <c r="C52" s="9" t="s">
        <v>275</v>
      </c>
      <c r="D52" s="9" t="s">
        <v>261</v>
      </c>
      <c r="E52" s="24">
        <f>INDEX('Top Down inputs'!$C$98:$Q$137,MATCH($A52,'Top Down inputs'!$A$98:$A$137,0),MATCH(E$1,'Top Down inputs'!$C$96:$Q$96,0))</f>
        <v>1712251.5933489003</v>
      </c>
      <c r="F52" s="24">
        <f>INDEX('Top Down inputs'!$C$98:$Q$137,MATCH($A52,'Top Down inputs'!$A$98:$A$137,0),MATCH(F$1,'Top Down inputs'!$C$96:$Q$96,0))</f>
        <v>1410491.8576150863</v>
      </c>
      <c r="G52" s="24">
        <f>INDEX('Top Down inputs'!$C$98:$Q$137,MATCH($A52,'Top Down inputs'!$A$98:$A$137,0),MATCH(G$1,'Top Down inputs'!$C$96:$Q$96,0))</f>
        <v>1213331.9094467252</v>
      </c>
      <c r="H52" s="24">
        <f>INDEX('Top Down inputs'!$C$98:$Q$137,MATCH($A52,'Top Down inputs'!$A$98:$A$137,0),MATCH(H$1,'Top Down inputs'!$C$96:$Q$96,0))</f>
        <v>948510.69189392193</v>
      </c>
      <c r="I52" s="24">
        <f>INDEX('Top Down inputs'!$C$98:$Q$137,MATCH($A52,'Top Down inputs'!$A$98:$A$137,0),MATCH(I$1,'Top Down inputs'!$C$96:$Q$96,0))</f>
        <v>535270.63653309701</v>
      </c>
      <c r="J52" s="24">
        <f>INDEX('Top Down inputs'!$C$98:$Q$137,MATCH($A52,'Top Down inputs'!$A$98:$A$137,0),MATCH(J$1,'Top Down inputs'!$C$96:$Q$96,0))</f>
        <v>324918.94168295391</v>
      </c>
      <c r="K52" s="24">
        <f>INDEX('Top Down inputs'!$C$98:$Q$137,MATCH($A52,'Top Down inputs'!$A$98:$A$137,0),MATCH(K$1,'Top Down inputs'!$C$96:$Q$96,0))</f>
        <v>196662.96448734138</v>
      </c>
      <c r="L52" s="24">
        <f>INDEX('Top Down inputs'!$C$98:$Q$137,MATCH($A52,'Top Down inputs'!$A$98:$A$137,0),MATCH(L$1,'Top Down inputs'!$C$96:$Q$96,0))</f>
        <v>129721.85689660432</v>
      </c>
      <c r="M52" s="24">
        <f>INDEX('Top Down inputs'!$C$98:$Q$137,MATCH($A52,'Top Down inputs'!$A$98:$A$137,0),MATCH(M$1,'Top Down inputs'!$C$96:$Q$96,0))</f>
        <v>67397.499447443537</v>
      </c>
      <c r="N52" s="24">
        <f>INDEX('Top Down inputs'!$C$98:$Q$137,MATCH($A52,'Top Down inputs'!$A$98:$A$137,0),MATCH(N$1,'Top Down inputs'!$C$96:$Q$96,0))</f>
        <v>15524.076738380916</v>
      </c>
      <c r="O52" s="24">
        <f>INDEX('Top Down inputs'!$C$98:$Q$137,MATCH($A52,'Top Down inputs'!$A$98:$A$137,0),MATCH(O$1,'Top Down inputs'!$C$96:$Q$96,0))</f>
        <v>1659.4310834457403</v>
      </c>
      <c r="P52" s="24">
        <f>INDEX('Top Down inputs'!$C$98:$Q$137,MATCH($A52,'Top Down inputs'!$A$98:$A$137,0),MATCH(P$1,'Top Down inputs'!$C$96:$Q$96,0))</f>
        <v>1240.4293424715527</v>
      </c>
      <c r="Q52" s="24">
        <f>INDEX('Top Down inputs'!$C$98:$Q$137,MATCH($A52,'Top Down inputs'!$A$98:$A$137,0),MATCH(Q$1,'Top Down inputs'!$C$96:$Q$96,0))</f>
        <v>0</v>
      </c>
      <c r="R52" s="24">
        <f>INDEX('Top Down inputs'!$C$98:$Q$137,MATCH($A52,'Top Down inputs'!$A$98:$A$137,0),MATCH(R$1,'Top Down inputs'!$C$96:$Q$96,0))</f>
        <v>0</v>
      </c>
      <c r="S52" s="24">
        <f>INDEX('Top Down inputs'!$C$98:$Q$137,MATCH($A52,'Top Down inputs'!$A$98:$A$137,0),MATCH(S$1,'Top Down inputs'!$C$96:$Q$96,0))</f>
        <v>0</v>
      </c>
      <c r="T52" s="8"/>
      <c r="W52" s="9" t="str">
        <v>SL122</v>
      </c>
      <c r="X52" t="s">
        <v>310</v>
      </c>
      <c r="Y52" s="12">
        <f t="shared" si="17"/>
        <v>821068.59082038037</v>
      </c>
      <c r="Z52" s="26">
        <f t="shared" si="17"/>
        <v>607907.59867599944</v>
      </c>
      <c r="AA52" s="26">
        <f t="shared" si="17"/>
        <v>470253.52364789718</v>
      </c>
      <c r="AB52" s="26">
        <f t="shared" si="17"/>
        <v>436906.75685821782</v>
      </c>
      <c r="AC52" s="26">
        <f t="shared" si="17"/>
        <v>275656.52012195555</v>
      </c>
      <c r="AD52" s="26">
        <f t="shared" si="17"/>
        <v>221537.61613434256</v>
      </c>
      <c r="AE52" s="26">
        <f t="shared" si="17"/>
        <v>189872.6038242006</v>
      </c>
      <c r="AF52" s="26">
        <f t="shared" si="17"/>
        <v>129721.85689660432</v>
      </c>
      <c r="AG52" s="26">
        <f t="shared" si="17"/>
        <v>67397.499447443537</v>
      </c>
      <c r="AH52" s="26">
        <f t="shared" si="17"/>
        <v>15524.076738380916</v>
      </c>
      <c r="AI52" s="26">
        <f t="shared" si="17"/>
        <v>1659.4310834457403</v>
      </c>
      <c r="AJ52" s="26">
        <f t="shared" si="17"/>
        <v>1240.4293424715527</v>
      </c>
      <c r="AK52" s="26">
        <f t="shared" si="16"/>
        <v>0</v>
      </c>
      <c r="AL52" s="26">
        <f t="shared" si="16"/>
        <v>0</v>
      </c>
      <c r="AM52" s="26">
        <f t="shared" si="16"/>
        <v>0</v>
      </c>
      <c r="AN52" s="12"/>
      <c r="AO52" s="6"/>
    </row>
    <row r="53" spans="1:57" x14ac:dyDescent="0.45">
      <c r="A53" s="9" t="str">
        <v>SL150</v>
      </c>
      <c r="B53" t="s">
        <v>311</v>
      </c>
      <c r="C53" s="9" t="s">
        <v>275</v>
      </c>
      <c r="D53" s="9" t="s">
        <v>261</v>
      </c>
      <c r="E53" s="24">
        <f>INDEX('Top Down inputs'!$C$98:$Q$137,MATCH($A53,'Top Down inputs'!$A$98:$A$137,0),MATCH(E$1,'Top Down inputs'!$C$96:$Q$96,0))</f>
        <v>167681.9702701763</v>
      </c>
      <c r="F53" s="24">
        <f>INDEX('Top Down inputs'!$C$98:$Q$137,MATCH($A53,'Top Down inputs'!$A$98:$A$137,0),MATCH(F$1,'Top Down inputs'!$C$96:$Q$96,0))</f>
        <v>158945.32386700535</v>
      </c>
      <c r="G53" s="24">
        <f>INDEX('Top Down inputs'!$C$98:$Q$137,MATCH($A53,'Top Down inputs'!$A$98:$A$137,0),MATCH(G$1,'Top Down inputs'!$C$96:$Q$96,0))</f>
        <v>148889.97660141235</v>
      </c>
      <c r="H53" s="24">
        <f>INDEX('Top Down inputs'!$C$98:$Q$137,MATCH($A53,'Top Down inputs'!$A$98:$A$137,0),MATCH(H$1,'Top Down inputs'!$C$96:$Q$96,0))</f>
        <v>118257.38234969004</v>
      </c>
      <c r="I53" s="24">
        <f>INDEX('Top Down inputs'!$C$98:$Q$137,MATCH($A53,'Top Down inputs'!$A$98:$A$137,0),MATCH(I$1,'Top Down inputs'!$C$96:$Q$96,0))</f>
        <v>75052.529208324733</v>
      </c>
      <c r="J53" s="24">
        <f>INDEX('Top Down inputs'!$C$98:$Q$137,MATCH($A53,'Top Down inputs'!$A$98:$A$137,0),MATCH(J$1,'Top Down inputs'!$C$96:$Q$96,0))</f>
        <v>45558.240442524271</v>
      </c>
      <c r="K53" s="24">
        <f>INDEX('Top Down inputs'!$C$98:$Q$137,MATCH($A53,'Top Down inputs'!$A$98:$A$137,0),MATCH(K$1,'Top Down inputs'!$C$96:$Q$96,0))</f>
        <v>27574.934769412244</v>
      </c>
      <c r="L53" s="24">
        <f>INDEX('Top Down inputs'!$C$98:$Q$137,MATCH($A53,'Top Down inputs'!$A$98:$A$137,0),MATCH(L$1,'Top Down inputs'!$C$96:$Q$96,0))</f>
        <v>18188.842781941992</v>
      </c>
      <c r="M53" s="24">
        <f>INDEX('Top Down inputs'!$C$98:$Q$137,MATCH($A53,'Top Down inputs'!$A$98:$A$137,0),MATCH(M$1,'Top Down inputs'!$C$96:$Q$96,0))</f>
        <v>9450.0845938604671</v>
      </c>
      <c r="N53" s="24">
        <f>INDEX('Top Down inputs'!$C$98:$Q$137,MATCH($A53,'Top Down inputs'!$A$98:$A$137,0),MATCH(N$1,'Top Down inputs'!$C$96:$Q$96,0))</f>
        <v>2176.6955691535791</v>
      </c>
      <c r="O53" s="24">
        <f>INDEX('Top Down inputs'!$C$98:$Q$137,MATCH($A53,'Top Down inputs'!$A$98:$A$137,0),MATCH(O$1,'Top Down inputs'!$C$96:$Q$96,0))</f>
        <v>232.67575570028959</v>
      </c>
      <c r="P53" s="24">
        <f>INDEX('Top Down inputs'!$C$98:$Q$137,MATCH($A53,'Top Down inputs'!$A$98:$A$137,0),MATCH(P$1,'Top Down inputs'!$C$96:$Q$96,0))</f>
        <v>173.9257734362061</v>
      </c>
      <c r="Q53" s="24">
        <f>INDEX('Top Down inputs'!$C$98:$Q$137,MATCH($A53,'Top Down inputs'!$A$98:$A$137,0),MATCH(Q$1,'Top Down inputs'!$C$96:$Q$96,0))</f>
        <v>0</v>
      </c>
      <c r="R53" s="24">
        <f>INDEX('Top Down inputs'!$C$98:$Q$137,MATCH($A53,'Top Down inputs'!$A$98:$A$137,0),MATCH(R$1,'Top Down inputs'!$C$96:$Q$96,0))</f>
        <v>0</v>
      </c>
      <c r="S53" s="24">
        <f>INDEX('Top Down inputs'!$C$98:$Q$137,MATCH($A53,'Top Down inputs'!$A$98:$A$137,0),MATCH(S$1,'Top Down inputs'!$C$96:$Q$96,0))</f>
        <v>0</v>
      </c>
      <c r="T53" s="8"/>
      <c r="W53" s="9" t="str">
        <v>SL150</v>
      </c>
      <c r="X53" t="s">
        <v>311</v>
      </c>
      <c r="Y53" s="12">
        <f t="shared" ref="Y53:AJ58" si="18">IF(AND($C53="Rentals",$D53="Legacy"),E53-SUMIFS(E$19:E$58,$C$19:$C$58,"Rentals",$D$19:$D$58,"FTTC")*E53/SUMIFS(E$19:E$58,$C$19:$C$58,"Rentals",$D$19:$D$58,"Legacy"),E53)</f>
        <v>80407.808975339212</v>
      </c>
      <c r="Z53" s="26">
        <f t="shared" si="18"/>
        <v>68503.812787792995</v>
      </c>
      <c r="AA53" s="26">
        <f t="shared" si="18"/>
        <v>57705.592004577033</v>
      </c>
      <c r="AB53" s="26">
        <f t="shared" si="18"/>
        <v>54472.184487218867</v>
      </c>
      <c r="AC53" s="26">
        <f t="shared" si="18"/>
        <v>38650.950782425352</v>
      </c>
      <c r="AD53" s="26">
        <f t="shared" si="18"/>
        <v>31062.713459039689</v>
      </c>
      <c r="AE53" s="26">
        <f t="shared" si="18"/>
        <v>26622.829970041428</v>
      </c>
      <c r="AF53" s="26">
        <f t="shared" si="18"/>
        <v>18188.842781941992</v>
      </c>
      <c r="AG53" s="26">
        <f t="shared" si="18"/>
        <v>9450.0845938604671</v>
      </c>
      <c r="AH53" s="26">
        <f t="shared" si="18"/>
        <v>2176.6955691535791</v>
      </c>
      <c r="AI53" s="26">
        <f t="shared" si="18"/>
        <v>232.67575570028959</v>
      </c>
      <c r="AJ53" s="26">
        <f t="shared" si="18"/>
        <v>173.9257734362061</v>
      </c>
      <c r="AK53" s="26">
        <f t="shared" si="16"/>
        <v>0</v>
      </c>
      <c r="AL53" s="26">
        <f t="shared" si="16"/>
        <v>0</v>
      </c>
      <c r="AM53" s="26">
        <f t="shared" si="16"/>
        <v>0</v>
      </c>
      <c r="AN53" s="12"/>
      <c r="AO53" s="6"/>
    </row>
    <row r="54" spans="1:57" x14ac:dyDescent="0.45">
      <c r="A54" s="9" t="str">
        <v>SL151</v>
      </c>
      <c r="B54" t="s">
        <v>312</v>
      </c>
      <c r="C54" s="9" t="s">
        <v>275</v>
      </c>
      <c r="D54" s="9" t="s">
        <v>261</v>
      </c>
      <c r="E54" s="24">
        <f>INDEX('Top Down inputs'!$C$98:$Q$137,MATCH($A54,'Top Down inputs'!$A$98:$A$137,0),MATCH(E$1,'Top Down inputs'!$C$96:$Q$96,0))</f>
        <v>624190.70386328024</v>
      </c>
      <c r="F54" s="24">
        <f>INDEX('Top Down inputs'!$C$98:$Q$137,MATCH($A54,'Top Down inputs'!$A$98:$A$137,0),MATCH(F$1,'Top Down inputs'!$C$96:$Q$96,0))</f>
        <v>525064.51162489248</v>
      </c>
      <c r="G54" s="24">
        <f>INDEX('Top Down inputs'!$C$98:$Q$137,MATCH($A54,'Top Down inputs'!$A$98:$A$137,0),MATCH(G$1,'Top Down inputs'!$C$96:$Q$96,0))</f>
        <v>284254.71134198026</v>
      </c>
      <c r="H54" s="24">
        <f>INDEX('Top Down inputs'!$C$98:$Q$137,MATCH($A54,'Top Down inputs'!$A$98:$A$137,0),MATCH(H$1,'Top Down inputs'!$C$96:$Q$96,0))</f>
        <v>222393.92080464782</v>
      </c>
      <c r="I54" s="24">
        <f>INDEX('Top Down inputs'!$C$98:$Q$137,MATCH($A54,'Top Down inputs'!$A$98:$A$137,0),MATCH(I$1,'Top Down inputs'!$C$96:$Q$96,0))</f>
        <v>144554.61466588874</v>
      </c>
      <c r="J54" s="24">
        <f>INDEX('Top Down inputs'!$C$98:$Q$137,MATCH($A54,'Top Down inputs'!$A$98:$A$137,0),MATCH(J$1,'Top Down inputs'!$C$96:$Q$96,0))</f>
        <v>87747.261304746717</v>
      </c>
      <c r="K54" s="24">
        <f>INDEX('Top Down inputs'!$C$98:$Q$137,MATCH($A54,'Top Down inputs'!$A$98:$A$137,0),MATCH(K$1,'Top Down inputs'!$C$96:$Q$96,0))</f>
        <v>53110.589504121235</v>
      </c>
      <c r="L54" s="24">
        <f>INDEX('Top Down inputs'!$C$98:$Q$137,MATCH($A54,'Top Down inputs'!$A$98:$A$137,0),MATCH(L$1,'Top Down inputs'!$C$96:$Q$96,0))</f>
        <v>35032.545702276198</v>
      </c>
      <c r="M54" s="24">
        <f>INDEX('Top Down inputs'!$C$98:$Q$137,MATCH($A54,'Top Down inputs'!$A$98:$A$137,0),MATCH(M$1,'Top Down inputs'!$C$96:$Q$96,0))</f>
        <v>18201.296497733889</v>
      </c>
      <c r="N54" s="24">
        <f>INDEX('Top Down inputs'!$C$98:$Q$137,MATCH($A54,'Top Down inputs'!$A$98:$A$137,0),MATCH(N$1,'Top Down inputs'!$C$96:$Q$96,0))</f>
        <v>4192.4155330003487</v>
      </c>
      <c r="O54" s="24">
        <f>INDEX('Top Down inputs'!$C$98:$Q$137,MATCH($A54,'Top Down inputs'!$A$98:$A$137,0),MATCH(O$1,'Top Down inputs'!$C$96:$Q$96,0))</f>
        <v>448.14418064433642</v>
      </c>
      <c r="P54" s="24">
        <f>INDEX('Top Down inputs'!$C$98:$Q$137,MATCH($A54,'Top Down inputs'!$A$98:$A$137,0),MATCH(P$1,'Top Down inputs'!$C$96:$Q$96,0))</f>
        <v>334.98901935404382</v>
      </c>
      <c r="Q54" s="24">
        <f>INDEX('Top Down inputs'!$C$98:$Q$137,MATCH($A54,'Top Down inputs'!$A$98:$A$137,0),MATCH(Q$1,'Top Down inputs'!$C$96:$Q$96,0))</f>
        <v>0</v>
      </c>
      <c r="R54" s="24">
        <f>INDEX('Top Down inputs'!$C$98:$Q$137,MATCH($A54,'Top Down inputs'!$A$98:$A$137,0),MATCH(R$1,'Top Down inputs'!$C$96:$Q$96,0))</f>
        <v>0</v>
      </c>
      <c r="S54" s="24">
        <f>INDEX('Top Down inputs'!$C$98:$Q$137,MATCH($A54,'Top Down inputs'!$A$98:$A$137,0),MATCH(S$1,'Top Down inputs'!$C$96:$Q$96,0))</f>
        <v>0</v>
      </c>
      <c r="T54" s="8"/>
      <c r="W54" s="9" t="str">
        <v>SL151</v>
      </c>
      <c r="X54" t="s">
        <v>312</v>
      </c>
      <c r="Y54" s="12">
        <f t="shared" si="18"/>
        <v>299315.46486216265</v>
      </c>
      <c r="Z54" s="26">
        <f t="shared" si="18"/>
        <v>226297.44701367838</v>
      </c>
      <c r="AA54" s="26">
        <f t="shared" si="18"/>
        <v>110169.17842623618</v>
      </c>
      <c r="AB54" s="26">
        <f t="shared" si="18"/>
        <v>102439.9698539283</v>
      </c>
      <c r="AC54" s="26">
        <f t="shared" si="18"/>
        <v>74443.504512889966</v>
      </c>
      <c r="AD54" s="26">
        <f t="shared" si="18"/>
        <v>59828.211279658586</v>
      </c>
      <c r="AE54" s="26">
        <f t="shared" si="18"/>
        <v>51276.791977957044</v>
      </c>
      <c r="AF54" s="26">
        <f t="shared" si="18"/>
        <v>35032.545702276198</v>
      </c>
      <c r="AG54" s="26">
        <f t="shared" si="18"/>
        <v>18201.296497733889</v>
      </c>
      <c r="AH54" s="26">
        <f t="shared" si="18"/>
        <v>4192.4155330003487</v>
      </c>
      <c r="AI54" s="26">
        <f t="shared" si="18"/>
        <v>448.14418064433642</v>
      </c>
      <c r="AJ54" s="26">
        <f t="shared" si="18"/>
        <v>334.98901935404382</v>
      </c>
      <c r="AK54" s="26">
        <f t="shared" si="16"/>
        <v>0</v>
      </c>
      <c r="AL54" s="26">
        <f t="shared" si="16"/>
        <v>0</v>
      </c>
      <c r="AM54" s="26">
        <f t="shared" si="16"/>
        <v>0</v>
      </c>
      <c r="AN54" s="12"/>
      <c r="AO54" s="6"/>
    </row>
    <row r="55" spans="1:57" x14ac:dyDescent="0.45">
      <c r="A55" s="9" t="str">
        <v>SL111</v>
      </c>
      <c r="B55" t="s">
        <v>313</v>
      </c>
      <c r="C55" s="9" t="s">
        <v>3</v>
      </c>
      <c r="D55" s="9" t="s">
        <v>261</v>
      </c>
      <c r="E55" s="24">
        <f>INDEX('Top Down inputs'!$C$98:$Q$137,MATCH($A55,'Top Down inputs'!$A$98:$A$137,0),MATCH(E$1,'Top Down inputs'!$C$96:$Q$96,0))</f>
        <v>1729.6487988926058</v>
      </c>
      <c r="F55" s="24">
        <f>INDEX('Top Down inputs'!$C$98:$Q$137,MATCH($A55,'Top Down inputs'!$A$98:$A$137,0),MATCH(F$1,'Top Down inputs'!$C$96:$Q$96,0))</f>
        <v>1501.3078202234694</v>
      </c>
      <c r="G55" s="24">
        <f>INDEX('Top Down inputs'!$C$98:$Q$137,MATCH($A55,'Top Down inputs'!$A$98:$A$137,0),MATCH(G$1,'Top Down inputs'!$C$96:$Q$96,0))</f>
        <v>625.94347899764284</v>
      </c>
      <c r="H55" s="24">
        <f>INDEX('Top Down inputs'!$C$98:$Q$137,MATCH($A55,'Top Down inputs'!$A$98:$A$137,0),MATCH(H$1,'Top Down inputs'!$C$96:$Q$96,0))</f>
        <v>232.65801059326191</v>
      </c>
      <c r="I55" s="24">
        <f>INDEX('Top Down inputs'!$C$98:$Q$137,MATCH($A55,'Top Down inputs'!$A$98:$A$137,0),MATCH(I$1,'Top Down inputs'!$C$96:$Q$96,0))</f>
        <v>298.19723651309999</v>
      </c>
      <c r="J55" s="24">
        <f>INDEX('Top Down inputs'!$C$98:$Q$137,MATCH($A55,'Top Down inputs'!$A$98:$A$137,0),MATCH(J$1,'Top Down inputs'!$C$96:$Q$96,0))</f>
        <v>181.01110706943663</v>
      </c>
      <c r="K55" s="24">
        <f>INDEX('Top Down inputs'!$C$98:$Q$137,MATCH($A55,'Top Down inputs'!$A$98:$A$137,0),MATCH(K$1,'Top Down inputs'!$C$96:$Q$96,0))</f>
        <v>109.56018980311282</v>
      </c>
      <c r="L55" s="24">
        <f>INDEX('Top Down inputs'!$C$98:$Q$137,MATCH($A55,'Top Down inputs'!$A$98:$A$137,0),MATCH(L$1,'Top Down inputs'!$C$96:$Q$96,0))</f>
        <v>72.267553274470316</v>
      </c>
      <c r="M55" s="24">
        <f>INDEX('Top Down inputs'!$C$98:$Q$137,MATCH($A55,'Top Down inputs'!$A$98:$A$137,0),MATCH(M$1,'Top Down inputs'!$C$96:$Q$96,0))</f>
        <v>37.546890696811381</v>
      </c>
      <c r="N55" s="24">
        <f>INDEX('Top Down inputs'!$C$98:$Q$137,MATCH($A55,'Top Down inputs'!$A$98:$A$137,0),MATCH(N$1,'Top Down inputs'!$C$96:$Q$96,0))</f>
        <v>8.6484041283969297</v>
      </c>
      <c r="O55" s="24">
        <f>INDEX('Top Down inputs'!$C$98:$Q$137,MATCH($A55,'Top Down inputs'!$A$98:$A$137,0),MATCH(O$1,'Top Down inputs'!$C$96:$Q$96,0))</f>
        <v>0</v>
      </c>
      <c r="P55" s="24">
        <f>INDEX('Top Down inputs'!$C$98:$Q$137,MATCH($A55,'Top Down inputs'!$A$98:$A$137,0),MATCH(P$1,'Top Down inputs'!$C$96:$Q$96,0))</f>
        <v>0</v>
      </c>
      <c r="Q55" s="24">
        <f>INDEX('Top Down inputs'!$C$98:$Q$137,MATCH($A55,'Top Down inputs'!$A$98:$A$137,0),MATCH(Q$1,'Top Down inputs'!$C$96:$Q$96,0))</f>
        <v>0</v>
      </c>
      <c r="R55" s="24">
        <f>INDEX('Top Down inputs'!$C$98:$Q$137,MATCH($A55,'Top Down inputs'!$A$98:$A$137,0),MATCH(R$1,'Top Down inputs'!$C$96:$Q$96,0))</f>
        <v>0</v>
      </c>
      <c r="S55" s="24">
        <f>INDEX('Top Down inputs'!$C$98:$Q$137,MATCH($A55,'Top Down inputs'!$A$98:$A$137,0),MATCH(S$1,'Top Down inputs'!$C$96:$Q$96,0))</f>
        <v>0</v>
      </c>
      <c r="T55" s="8"/>
      <c r="W55" s="9" t="str">
        <v>SL111</v>
      </c>
      <c r="X55" t="s">
        <v>313</v>
      </c>
      <c r="Y55" s="12">
        <f t="shared" si="18"/>
        <v>1729.6487988926058</v>
      </c>
      <c r="Z55" s="26">
        <f t="shared" si="18"/>
        <v>1501.3078202234694</v>
      </c>
      <c r="AA55" s="26">
        <f t="shared" si="18"/>
        <v>625.94347899764284</v>
      </c>
      <c r="AB55" s="26">
        <f t="shared" si="18"/>
        <v>232.65801059326191</v>
      </c>
      <c r="AC55" s="26">
        <f t="shared" si="18"/>
        <v>298.19723651309999</v>
      </c>
      <c r="AD55" s="26">
        <f t="shared" si="18"/>
        <v>181.01110706943663</v>
      </c>
      <c r="AE55" s="26">
        <f t="shared" si="18"/>
        <v>109.56018980311282</v>
      </c>
      <c r="AF55" s="26">
        <f t="shared" si="18"/>
        <v>72.267553274470316</v>
      </c>
      <c r="AG55" s="26">
        <f t="shared" si="18"/>
        <v>37.546890696811381</v>
      </c>
      <c r="AH55" s="26">
        <f t="shared" si="18"/>
        <v>8.6484041283969297</v>
      </c>
      <c r="AI55" s="26">
        <f t="shared" si="18"/>
        <v>0</v>
      </c>
      <c r="AJ55" s="26">
        <f t="shared" si="18"/>
        <v>0</v>
      </c>
      <c r="AK55" s="26">
        <f t="shared" si="16"/>
        <v>0</v>
      </c>
      <c r="AL55" s="26">
        <f t="shared" si="16"/>
        <v>0</v>
      </c>
      <c r="AM55" s="26">
        <f t="shared" si="16"/>
        <v>0</v>
      </c>
      <c r="AN55" s="12"/>
      <c r="AO55" s="6"/>
    </row>
    <row r="56" spans="1:57" x14ac:dyDescent="0.45">
      <c r="A56" s="9" t="str">
        <v>SL112</v>
      </c>
      <c r="B56" t="s">
        <v>314</v>
      </c>
      <c r="C56" s="9" t="s">
        <v>3</v>
      </c>
      <c r="D56" s="9" t="s">
        <v>261</v>
      </c>
      <c r="E56" s="24">
        <f>INDEX('Top Down inputs'!$C$98:$Q$137,MATCH($A56,'Top Down inputs'!$A$98:$A$137,0),MATCH(E$1,'Top Down inputs'!$C$96:$Q$96,0))</f>
        <v>28971.345764782607</v>
      </c>
      <c r="F56" s="24">
        <f>INDEX('Top Down inputs'!$C$98:$Q$137,MATCH($A56,'Top Down inputs'!$A$98:$A$137,0),MATCH(F$1,'Top Down inputs'!$C$96:$Q$96,0))</f>
        <v>25831.995783014943</v>
      </c>
      <c r="G56" s="24">
        <f>INDEX('Top Down inputs'!$C$98:$Q$137,MATCH($A56,'Top Down inputs'!$A$98:$A$137,0),MATCH(G$1,'Top Down inputs'!$C$96:$Q$96,0))</f>
        <v>8733.4629606059843</v>
      </c>
      <c r="H56" s="24">
        <f>INDEX('Top Down inputs'!$C$98:$Q$137,MATCH($A56,'Top Down inputs'!$A$98:$A$137,0),MATCH(H$1,'Top Down inputs'!$C$96:$Q$96,0))</f>
        <v>2844.7432959548332</v>
      </c>
      <c r="I56" s="24">
        <f>INDEX('Top Down inputs'!$C$98:$Q$137,MATCH($A56,'Top Down inputs'!$A$98:$A$137,0),MATCH(I$1,'Top Down inputs'!$C$96:$Q$96,0))</f>
        <v>2483.6487220080962</v>
      </c>
      <c r="J56" s="24">
        <f>INDEX('Top Down inputs'!$C$98:$Q$137,MATCH($A56,'Top Down inputs'!$A$98:$A$137,0),MATCH(J$1,'Top Down inputs'!$C$96:$Q$96,0))</f>
        <v>1507.6196211581166</v>
      </c>
      <c r="K56" s="24">
        <f>INDEX('Top Down inputs'!$C$98:$Q$137,MATCH($A56,'Top Down inputs'!$A$98:$A$137,0),MATCH(K$1,'Top Down inputs'!$C$96:$Q$96,0))</f>
        <v>912.5135717866109</v>
      </c>
      <c r="L56" s="24">
        <f>INDEX('Top Down inputs'!$C$98:$Q$137,MATCH($A56,'Top Down inputs'!$A$98:$A$137,0),MATCH(L$1,'Top Down inputs'!$C$96:$Q$96,0))</f>
        <v>601.90771192779073</v>
      </c>
      <c r="M56" s="24">
        <f>INDEX('Top Down inputs'!$C$98:$Q$137,MATCH($A56,'Top Down inputs'!$A$98:$A$137,0),MATCH(M$1,'Top Down inputs'!$C$96:$Q$96,0))</f>
        <v>312.72351207861243</v>
      </c>
      <c r="N56" s="24">
        <f>INDEX('Top Down inputs'!$C$98:$Q$137,MATCH($A56,'Top Down inputs'!$A$98:$A$137,0),MATCH(N$1,'Top Down inputs'!$C$96:$Q$96,0))</f>
        <v>72.031512136293614</v>
      </c>
      <c r="O56" s="24">
        <f>INDEX('Top Down inputs'!$C$98:$Q$137,MATCH($A56,'Top Down inputs'!$A$98:$A$137,0),MATCH(O$1,'Top Down inputs'!$C$96:$Q$96,0))</f>
        <v>0</v>
      </c>
      <c r="P56" s="24">
        <f>INDEX('Top Down inputs'!$C$98:$Q$137,MATCH($A56,'Top Down inputs'!$A$98:$A$137,0),MATCH(P$1,'Top Down inputs'!$C$96:$Q$96,0))</f>
        <v>0</v>
      </c>
      <c r="Q56" s="24">
        <f>INDEX('Top Down inputs'!$C$98:$Q$137,MATCH($A56,'Top Down inputs'!$A$98:$A$137,0),MATCH(Q$1,'Top Down inputs'!$C$96:$Q$96,0))</f>
        <v>0</v>
      </c>
      <c r="R56" s="24">
        <f>INDEX('Top Down inputs'!$C$98:$Q$137,MATCH($A56,'Top Down inputs'!$A$98:$A$137,0),MATCH(R$1,'Top Down inputs'!$C$96:$Q$96,0))</f>
        <v>0</v>
      </c>
      <c r="S56" s="24">
        <f>INDEX('Top Down inputs'!$C$98:$Q$137,MATCH($A56,'Top Down inputs'!$A$98:$A$137,0),MATCH(S$1,'Top Down inputs'!$C$96:$Q$96,0))</f>
        <v>0</v>
      </c>
      <c r="T56" s="8"/>
      <c r="W56" s="9" t="str">
        <v>SL112</v>
      </c>
      <c r="X56" t="s">
        <v>314</v>
      </c>
      <c r="Y56" s="12">
        <f t="shared" si="18"/>
        <v>28971.345764782607</v>
      </c>
      <c r="Z56" s="26">
        <f t="shared" si="18"/>
        <v>25831.995783014943</v>
      </c>
      <c r="AA56" s="26">
        <f t="shared" si="18"/>
        <v>8733.4629606059843</v>
      </c>
      <c r="AB56" s="26">
        <f t="shared" si="18"/>
        <v>2844.7432959548332</v>
      </c>
      <c r="AC56" s="26">
        <f t="shared" si="18"/>
        <v>2483.6487220080962</v>
      </c>
      <c r="AD56" s="26">
        <f t="shared" si="18"/>
        <v>1507.6196211581166</v>
      </c>
      <c r="AE56" s="26">
        <f t="shared" si="18"/>
        <v>912.5135717866109</v>
      </c>
      <c r="AF56" s="26">
        <f t="shared" si="18"/>
        <v>601.90771192779073</v>
      </c>
      <c r="AG56" s="26">
        <f t="shared" si="18"/>
        <v>312.72351207861243</v>
      </c>
      <c r="AH56" s="26">
        <f t="shared" si="18"/>
        <v>72.031512136293614</v>
      </c>
      <c r="AI56" s="26">
        <f t="shared" si="18"/>
        <v>0</v>
      </c>
      <c r="AJ56" s="26">
        <f t="shared" si="18"/>
        <v>0</v>
      </c>
      <c r="AK56" s="26">
        <f t="shared" si="16"/>
        <v>0</v>
      </c>
      <c r="AL56" s="26">
        <f t="shared" si="16"/>
        <v>0</v>
      </c>
      <c r="AM56" s="26">
        <f t="shared" si="16"/>
        <v>0</v>
      </c>
      <c r="AN56" s="12"/>
      <c r="AO56" s="6"/>
    </row>
    <row r="57" spans="1:57" x14ac:dyDescent="0.45">
      <c r="A57" s="9" t="str">
        <v>SL140</v>
      </c>
      <c r="B57" t="s">
        <v>315</v>
      </c>
      <c r="C57" s="9" t="s">
        <v>3</v>
      </c>
      <c r="D57" s="9" t="s">
        <v>261</v>
      </c>
      <c r="E57" s="24">
        <f>INDEX('Top Down inputs'!$C$98:$Q$137,MATCH($A57,'Top Down inputs'!$A$98:$A$137,0),MATCH(E$1,'Top Down inputs'!$C$96:$Q$96,0))</f>
        <v>6910.6018149414631</v>
      </c>
      <c r="F57" s="24">
        <f>INDEX('Top Down inputs'!$C$98:$Q$137,MATCH($A57,'Top Down inputs'!$A$98:$A$137,0),MATCH(F$1,'Top Down inputs'!$C$96:$Q$96,0))</f>
        <v>8177.7817290593339</v>
      </c>
      <c r="G57" s="24">
        <f>INDEX('Top Down inputs'!$C$98:$Q$137,MATCH($A57,'Top Down inputs'!$A$98:$A$137,0),MATCH(G$1,'Top Down inputs'!$C$96:$Q$96,0))</f>
        <v>1887.766111685057</v>
      </c>
      <c r="H57" s="24">
        <f>INDEX('Top Down inputs'!$C$98:$Q$137,MATCH($A57,'Top Down inputs'!$A$98:$A$137,0),MATCH(H$1,'Top Down inputs'!$C$96:$Q$96,0))</f>
        <v>777.30722865188932</v>
      </c>
      <c r="I57" s="24">
        <f>INDEX('Top Down inputs'!$C$98:$Q$137,MATCH($A57,'Top Down inputs'!$A$98:$A$137,0),MATCH(I$1,'Top Down inputs'!$C$96:$Q$96,0))</f>
        <v>181.84361681800158</v>
      </c>
      <c r="J57" s="24">
        <f>INDEX('Top Down inputs'!$C$98:$Q$137,MATCH($A57,'Top Down inputs'!$A$98:$A$137,0),MATCH(J$1,'Top Down inputs'!$C$96:$Q$96,0))</f>
        <v>110.38235893339973</v>
      </c>
      <c r="K57" s="24">
        <f>INDEX('Top Down inputs'!$C$98:$Q$137,MATCH($A57,'Top Down inputs'!$A$98:$A$137,0),MATCH(K$1,'Top Down inputs'!$C$96:$Q$96,0))</f>
        <v>66.810884654826609</v>
      </c>
      <c r="L57" s="24">
        <f>INDEX('Top Down inputs'!$C$98:$Q$137,MATCH($A57,'Top Down inputs'!$A$98:$A$137,0),MATCH(L$1,'Top Down inputs'!$C$96:$Q$96,0))</f>
        <v>44.069466973212492</v>
      </c>
      <c r="M57" s="24">
        <f>INDEX('Top Down inputs'!$C$98:$Q$137,MATCH($A57,'Top Down inputs'!$A$98:$A$137,0),MATCH(M$1,'Top Down inputs'!$C$96:$Q$96,0))</f>
        <v>22.896464381816674</v>
      </c>
      <c r="N57" s="24">
        <f>INDEX('Top Down inputs'!$C$98:$Q$137,MATCH($A57,'Top Down inputs'!$A$98:$A$137,0),MATCH(N$1,'Top Down inputs'!$C$96:$Q$96,0))</f>
        <v>5.2738821620244831</v>
      </c>
      <c r="O57" s="24">
        <f>INDEX('Top Down inputs'!$C$98:$Q$137,MATCH($A57,'Top Down inputs'!$A$98:$A$137,0),MATCH(O$1,'Top Down inputs'!$C$96:$Q$96,0))</f>
        <v>0</v>
      </c>
      <c r="P57" s="24">
        <f>INDEX('Top Down inputs'!$C$98:$Q$137,MATCH($A57,'Top Down inputs'!$A$98:$A$137,0),MATCH(P$1,'Top Down inputs'!$C$96:$Q$96,0))</f>
        <v>0</v>
      </c>
      <c r="Q57" s="24">
        <f>INDEX('Top Down inputs'!$C$98:$Q$137,MATCH($A57,'Top Down inputs'!$A$98:$A$137,0),MATCH(Q$1,'Top Down inputs'!$C$96:$Q$96,0))</f>
        <v>0</v>
      </c>
      <c r="R57" s="24">
        <f>INDEX('Top Down inputs'!$C$98:$Q$137,MATCH($A57,'Top Down inputs'!$A$98:$A$137,0),MATCH(R$1,'Top Down inputs'!$C$96:$Q$96,0))</f>
        <v>0</v>
      </c>
      <c r="S57" s="24">
        <f>INDEX('Top Down inputs'!$C$98:$Q$137,MATCH($A57,'Top Down inputs'!$A$98:$A$137,0),MATCH(S$1,'Top Down inputs'!$C$96:$Q$96,0))</f>
        <v>0</v>
      </c>
      <c r="T57" s="8"/>
      <c r="W57" s="9" t="str">
        <v>SL140</v>
      </c>
      <c r="X57" t="s">
        <v>315</v>
      </c>
      <c r="Y57" s="12">
        <f t="shared" si="18"/>
        <v>6910.6018149414631</v>
      </c>
      <c r="Z57" s="26">
        <f t="shared" si="18"/>
        <v>8177.7817290593339</v>
      </c>
      <c r="AA57" s="26">
        <f t="shared" si="18"/>
        <v>1887.766111685057</v>
      </c>
      <c r="AB57" s="26">
        <f t="shared" si="18"/>
        <v>777.30722865188932</v>
      </c>
      <c r="AC57" s="26">
        <f t="shared" si="18"/>
        <v>181.84361681800158</v>
      </c>
      <c r="AD57" s="26">
        <f t="shared" si="18"/>
        <v>110.38235893339973</v>
      </c>
      <c r="AE57" s="26">
        <f t="shared" si="18"/>
        <v>66.810884654826609</v>
      </c>
      <c r="AF57" s="26">
        <f t="shared" si="18"/>
        <v>44.069466973212492</v>
      </c>
      <c r="AG57" s="26">
        <f t="shared" si="18"/>
        <v>22.896464381816674</v>
      </c>
      <c r="AH57" s="26">
        <f t="shared" si="18"/>
        <v>5.2738821620244831</v>
      </c>
      <c r="AI57" s="26">
        <f t="shared" si="18"/>
        <v>0</v>
      </c>
      <c r="AJ57" s="26">
        <f t="shared" si="18"/>
        <v>0</v>
      </c>
      <c r="AK57" s="26">
        <f t="shared" si="16"/>
        <v>0</v>
      </c>
      <c r="AL57" s="26">
        <f t="shared" si="16"/>
        <v>0</v>
      </c>
      <c r="AM57" s="26">
        <f t="shared" si="16"/>
        <v>0</v>
      </c>
      <c r="AN57" s="12"/>
      <c r="AO57" s="6"/>
    </row>
    <row r="58" spans="1:57" x14ac:dyDescent="0.45">
      <c r="A58" s="9" t="str">
        <v>SL144</v>
      </c>
      <c r="B58" t="s">
        <v>316</v>
      </c>
      <c r="C58" s="9" t="s">
        <v>3</v>
      </c>
      <c r="D58" s="9" t="s">
        <v>261</v>
      </c>
      <c r="E58" s="24">
        <f>INDEX('Top Down inputs'!$C$98:$Q$137,MATCH($A58,'Top Down inputs'!$A$98:$A$137,0),MATCH(E$1,'Top Down inputs'!$C$96:$Q$96,0))</f>
        <v>2545.8657335932585</v>
      </c>
      <c r="F58" s="24">
        <f>INDEX('Top Down inputs'!$C$98:$Q$137,MATCH($A58,'Top Down inputs'!$A$98:$A$137,0),MATCH(F$1,'Top Down inputs'!$C$96:$Q$96,0))</f>
        <v>2533.4289852128168</v>
      </c>
      <c r="G58" s="24">
        <f>INDEX('Top Down inputs'!$C$98:$Q$137,MATCH($A58,'Top Down inputs'!$A$98:$A$137,0),MATCH(G$1,'Top Down inputs'!$C$96:$Q$96,0))</f>
        <v>957.03052531494632</v>
      </c>
      <c r="H58" s="24">
        <f>INDEX('Top Down inputs'!$C$98:$Q$137,MATCH($A58,'Top Down inputs'!$A$98:$A$137,0),MATCH(H$1,'Top Down inputs'!$C$96:$Q$96,0))</f>
        <v>448.47449671723331</v>
      </c>
      <c r="I58" s="24">
        <f>INDEX('Top Down inputs'!$C$98:$Q$137,MATCH($A58,'Top Down inputs'!$A$98:$A$137,0),MATCH(I$1,'Top Down inputs'!$C$96:$Q$96,0))</f>
        <v>239.40364509612388</v>
      </c>
      <c r="J58" s="24">
        <f>INDEX('Top Down inputs'!$C$98:$Q$137,MATCH($A58,'Top Down inputs'!$A$98:$A$137,0),MATCH(J$1,'Top Down inputs'!$C$96:$Q$96,0))</f>
        <v>145.32233545163712</v>
      </c>
      <c r="K58" s="24">
        <f>INDEX('Top Down inputs'!$C$98:$Q$137,MATCH($A58,'Top Down inputs'!$A$98:$A$137,0),MATCH(K$1,'Top Down inputs'!$C$96:$Q$96,0))</f>
        <v>87.958926457509719</v>
      </c>
      <c r="L58" s="24">
        <f>INDEX('Top Down inputs'!$C$98:$Q$137,MATCH($A58,'Top Down inputs'!$A$98:$A$137,0),MATCH(L$1,'Top Down inputs'!$C$96:$Q$96,0))</f>
        <v>58.019034241876589</v>
      </c>
      <c r="M58" s="24">
        <f>INDEX('Top Down inputs'!$C$98:$Q$137,MATCH($A58,'Top Down inputs'!$A$98:$A$137,0),MATCH(M$1,'Top Down inputs'!$C$96:$Q$96,0))</f>
        <v>30.14401675867812</v>
      </c>
      <c r="N58" s="24">
        <f>INDEX('Top Down inputs'!$C$98:$Q$137,MATCH($A58,'Top Down inputs'!$A$98:$A$137,0),MATCH(N$1,'Top Down inputs'!$C$96:$Q$96,0))</f>
        <v>6.9432550643762747</v>
      </c>
      <c r="O58" s="24">
        <f>INDEX('Top Down inputs'!$C$98:$Q$137,MATCH($A58,'Top Down inputs'!$A$98:$A$137,0),MATCH(O$1,'Top Down inputs'!$C$96:$Q$96,0))</f>
        <v>0</v>
      </c>
      <c r="P58" s="24">
        <f>INDEX('Top Down inputs'!$C$98:$Q$137,MATCH($A58,'Top Down inputs'!$A$98:$A$137,0),MATCH(P$1,'Top Down inputs'!$C$96:$Q$96,0))</f>
        <v>0</v>
      </c>
      <c r="Q58" s="24">
        <f>INDEX('Top Down inputs'!$C$98:$Q$137,MATCH($A58,'Top Down inputs'!$A$98:$A$137,0),MATCH(Q$1,'Top Down inputs'!$C$96:$Q$96,0))</f>
        <v>0</v>
      </c>
      <c r="R58" s="24">
        <f>INDEX('Top Down inputs'!$C$98:$Q$137,MATCH($A58,'Top Down inputs'!$A$98:$A$137,0),MATCH(R$1,'Top Down inputs'!$C$96:$Q$96,0))</f>
        <v>0</v>
      </c>
      <c r="S58" s="24">
        <f>INDEX('Top Down inputs'!$C$98:$Q$137,MATCH($A58,'Top Down inputs'!$A$98:$A$137,0),MATCH(S$1,'Top Down inputs'!$C$96:$Q$96,0))</f>
        <v>0</v>
      </c>
      <c r="T58" s="8"/>
      <c r="W58" s="9" t="str">
        <v>SL144</v>
      </c>
      <c r="X58" t="s">
        <v>316</v>
      </c>
      <c r="Y58" s="12">
        <f t="shared" si="18"/>
        <v>2545.8657335932585</v>
      </c>
      <c r="Z58" s="26">
        <f t="shared" si="18"/>
        <v>2533.4289852128168</v>
      </c>
      <c r="AA58" s="26">
        <f t="shared" si="18"/>
        <v>957.03052531494632</v>
      </c>
      <c r="AB58" s="26">
        <f t="shared" si="18"/>
        <v>448.47449671723331</v>
      </c>
      <c r="AC58" s="26">
        <f t="shared" si="18"/>
        <v>239.40364509612388</v>
      </c>
      <c r="AD58" s="26">
        <f t="shared" si="18"/>
        <v>145.32233545163712</v>
      </c>
      <c r="AE58" s="26">
        <f t="shared" si="18"/>
        <v>87.958926457509719</v>
      </c>
      <c r="AF58" s="26">
        <f t="shared" si="18"/>
        <v>58.019034241876589</v>
      </c>
      <c r="AG58" s="26">
        <f t="shared" si="18"/>
        <v>30.14401675867812</v>
      </c>
      <c r="AH58" s="26">
        <f t="shared" si="18"/>
        <v>6.9432550643762747</v>
      </c>
      <c r="AI58" s="26">
        <f t="shared" si="18"/>
        <v>0</v>
      </c>
      <c r="AJ58" s="26">
        <f t="shared" si="18"/>
        <v>0</v>
      </c>
      <c r="AK58" s="26">
        <f t="shared" si="16"/>
        <v>0</v>
      </c>
      <c r="AL58" s="26">
        <f t="shared" si="16"/>
        <v>0</v>
      </c>
      <c r="AM58" s="26">
        <f t="shared" si="16"/>
        <v>0</v>
      </c>
      <c r="AN58" s="12"/>
      <c r="AO58" s="6"/>
    </row>
    <row r="59" spans="1:57" ht="14.65" thickBot="1" x14ac:dyDescent="0.5">
      <c r="A59" s="9"/>
      <c r="B59" s="9"/>
      <c r="C59" s="9"/>
      <c r="E59" s="20">
        <f>SUM(E19:E58)</f>
        <v>7137816.4858084582</v>
      </c>
      <c r="F59" s="20">
        <f t="shared" ref="F59:S59" si="19">SUM(F19:F58)</f>
        <v>6701143.484868763</v>
      </c>
      <c r="G59" s="20">
        <f t="shared" si="19"/>
        <v>5862653.9054874238</v>
      </c>
      <c r="H59" s="20">
        <f t="shared" si="19"/>
        <v>4931558.7451441661</v>
      </c>
      <c r="I59" s="20">
        <f t="shared" si="19"/>
        <v>3838696.698746548</v>
      </c>
      <c r="J59" s="20">
        <f t="shared" si="19"/>
        <v>2888794.6673884955</v>
      </c>
      <c r="K59" s="20">
        <f t="shared" si="19"/>
        <v>2273938.4565526093</v>
      </c>
      <c r="L59" s="20">
        <f t="shared" si="19"/>
        <v>1852529.1398110562</v>
      </c>
      <c r="M59" s="20">
        <f t="shared" si="19"/>
        <v>1407256.4500641841</v>
      </c>
      <c r="N59" s="20">
        <f t="shared" si="19"/>
        <v>922938.74358586443</v>
      </c>
      <c r="O59" s="20">
        <f t="shared" si="19"/>
        <v>547405.61843944306</v>
      </c>
      <c r="P59" s="20">
        <f t="shared" si="19"/>
        <v>199755.93722491784</v>
      </c>
      <c r="Q59" s="20">
        <f t="shared" si="19"/>
        <v>0</v>
      </c>
      <c r="R59" s="20">
        <f t="shared" si="19"/>
        <v>0</v>
      </c>
      <c r="S59" s="20">
        <f t="shared" si="19"/>
        <v>0</v>
      </c>
      <c r="T59" s="21"/>
      <c r="W59" s="9"/>
      <c r="X59" s="38" t="s">
        <v>317</v>
      </c>
      <c r="Y59" s="131">
        <f>SUMIF($C$19:$C$58,"Rentals",Y19:Y58)</f>
        <v>4481286.7119855089</v>
      </c>
      <c r="Z59" s="131">
        <f>SUMIF($C$19:$C$58,"Rentals",Z19:Z58)</f>
        <v>4208486.1202214025</v>
      </c>
      <c r="AA59" s="131">
        <f t="shared" ref="AA59:AM59" si="20">SUMIF($C$19:$C$58,"Rentals",AA19:AA58)</f>
        <v>3738776.8279626556</v>
      </c>
      <c r="AB59" s="131">
        <f t="shared" si="20"/>
        <v>3467721.8484063833</v>
      </c>
      <c r="AC59" s="131">
        <f t="shared" si="20"/>
        <v>2880567.9331319034</v>
      </c>
      <c r="AD59" s="131">
        <f t="shared" si="20"/>
        <v>2403567.9247276555</v>
      </c>
      <c r="AE59" s="131">
        <f t="shared" si="20"/>
        <v>2130968.9056820534</v>
      </c>
      <c r="AF59" s="131">
        <f>SUMIF($C$19:$C$58,"Rentals",AF19:AF58)</f>
        <v>1734332.9654457518</v>
      </c>
      <c r="AG59" s="131">
        <f t="shared" si="20"/>
        <v>1313527.3767920588</v>
      </c>
      <c r="AH59" s="131">
        <f t="shared" si="20"/>
        <v>918680.63014986145</v>
      </c>
      <c r="AI59" s="131">
        <f t="shared" si="20"/>
        <v>546331.5207746441</v>
      </c>
      <c r="AJ59" s="131">
        <f t="shared" si="20"/>
        <v>198657.13064183827</v>
      </c>
      <c r="AK59" s="131">
        <f t="shared" si="20"/>
        <v>0</v>
      </c>
      <c r="AL59" s="131">
        <f t="shared" si="20"/>
        <v>0</v>
      </c>
      <c r="AM59" s="131">
        <f t="shared" si="20"/>
        <v>0</v>
      </c>
      <c r="AP59" s="28"/>
      <c r="AS59">
        <v>7106486.7403167309</v>
      </c>
      <c r="AT59">
        <v>6696533.3158883192</v>
      </c>
      <c r="AU59">
        <v>6100514.8650892731</v>
      </c>
      <c r="AV59">
        <v>5485626.5025966447</v>
      </c>
      <c r="AW59">
        <v>4753555.8400105257</v>
      </c>
      <c r="AX59">
        <v>4189238.4741658042</v>
      </c>
      <c r="AY59">
        <v>3659947.7688843063</v>
      </c>
      <c r="AZ59">
        <v>3081326.9725465537</v>
      </c>
      <c r="BA59">
        <v>2464435.3983467901</v>
      </c>
      <c r="BB59">
        <v>1872028.2506447616</v>
      </c>
      <c r="BC59">
        <v>1455767.5756297878</v>
      </c>
      <c r="BD59">
        <v>964058.42324857332</v>
      </c>
      <c r="BE59">
        <v>458599.02287039574</v>
      </c>
    </row>
    <row r="60" spans="1:57" ht="15" thickTop="1" thickBot="1" x14ac:dyDescent="0.5">
      <c r="A60" s="1"/>
      <c r="C60" s="9"/>
      <c r="E60" s="6"/>
      <c r="F60" s="6"/>
      <c r="G60" s="6"/>
      <c r="H60" s="6"/>
      <c r="I60" s="6"/>
      <c r="J60" s="6"/>
      <c r="K60" s="6"/>
      <c r="L60" s="6"/>
      <c r="M60" s="6"/>
      <c r="N60" s="6"/>
      <c r="O60" s="6"/>
      <c r="P60" s="6"/>
      <c r="Q60" s="6"/>
      <c r="R60" s="6"/>
      <c r="S60" s="6"/>
      <c r="T60" s="12"/>
      <c r="X60" s="5" t="s">
        <v>318</v>
      </c>
      <c r="Y60" s="132">
        <f>SUMIF($C$19:$C$58,"Connections",Y19:Y58)</f>
        <v>466807.98025250377</v>
      </c>
      <c r="Z60" s="132">
        <f t="shared" ref="Z60:AM60" si="21">SUMIF($C$19:$C$58,"Connections",Z19:Z58)</f>
        <v>423851.49951976188</v>
      </c>
      <c r="AA60" s="132">
        <f t="shared" si="21"/>
        <v>370220.54662319832</v>
      </c>
      <c r="AB60" s="132">
        <f t="shared" si="21"/>
        <v>217852.31785886592</v>
      </c>
      <c r="AC60" s="132">
        <f t="shared" si="21"/>
        <v>227921.74968252881</v>
      </c>
      <c r="AD60" s="132">
        <f t="shared" si="21"/>
        <v>198135.86697092649</v>
      </c>
      <c r="AE60" s="132">
        <f t="shared" si="21"/>
        <v>126390.79274557742</v>
      </c>
      <c r="AF60" s="132">
        <f t="shared" si="21"/>
        <v>118196.174365304</v>
      </c>
      <c r="AG60" s="132">
        <f t="shared" si="21"/>
        <v>93729.07327212517</v>
      </c>
      <c r="AH60" s="132">
        <f t="shared" si="21"/>
        <v>4258.1134360028054</v>
      </c>
      <c r="AI60" s="132">
        <f t="shared" si="21"/>
        <v>1074.0976647989721</v>
      </c>
      <c r="AJ60" s="132">
        <f t="shared" si="21"/>
        <v>1098.8065830795595</v>
      </c>
      <c r="AK60" s="132">
        <f t="shared" si="21"/>
        <v>0</v>
      </c>
      <c r="AL60" s="132">
        <f t="shared" si="21"/>
        <v>0</v>
      </c>
      <c r="AM60" s="132">
        <f t="shared" si="21"/>
        <v>0</v>
      </c>
    </row>
    <row r="61" spans="1:57" ht="14.65" thickTop="1" x14ac:dyDescent="0.45">
      <c r="A61" s="1"/>
      <c r="C61" s="33"/>
      <c r="E61" s="6"/>
      <c r="F61" s="6"/>
      <c r="G61" s="6"/>
      <c r="H61" s="6"/>
      <c r="I61" s="6"/>
      <c r="J61" s="6"/>
      <c r="K61" s="6"/>
      <c r="L61" s="6"/>
      <c r="M61" s="6"/>
      <c r="N61" s="6"/>
      <c r="O61" s="6"/>
      <c r="P61" s="6"/>
      <c r="Q61" s="6"/>
      <c r="R61" s="6"/>
      <c r="S61" s="6"/>
      <c r="T61" s="12"/>
      <c r="U61" s="26"/>
      <c r="Y61" s="94">
        <f>Y60/SUM(Y59:Y60)</f>
        <v>9.4340955314532904E-2</v>
      </c>
      <c r="Z61" s="94">
        <f t="shared" ref="Z61:AG61" si="22">Z60/SUM(Z59:Z60)</f>
        <v>9.1498404113179679E-2</v>
      </c>
      <c r="AA61" s="94">
        <f t="shared" si="22"/>
        <v>9.0099971568006379E-2</v>
      </c>
      <c r="AB61" s="94">
        <f t="shared" si="22"/>
        <v>5.9109465182632596E-2</v>
      </c>
      <c r="AC61" s="94">
        <f t="shared" si="22"/>
        <v>7.3322343948128546E-2</v>
      </c>
      <c r="AD61" s="94">
        <f t="shared" si="22"/>
        <v>7.6156197182450563E-2</v>
      </c>
      <c r="AE61" s="94">
        <f t="shared" si="22"/>
        <v>5.5990541885555592E-2</v>
      </c>
      <c r="AF61" s="94">
        <f t="shared" si="22"/>
        <v>6.3802599281844036E-2</v>
      </c>
      <c r="AG61" s="94">
        <f t="shared" si="22"/>
        <v>6.6604117016376266E-2</v>
      </c>
    </row>
    <row r="62" spans="1:57" ht="14.65" thickBot="1" x14ac:dyDescent="0.5">
      <c r="A62" s="10" t="s">
        <v>319</v>
      </c>
      <c r="B62" s="5" t="s">
        <v>320</v>
      </c>
      <c r="C62" t="s">
        <v>321</v>
      </c>
      <c r="D62" t="s">
        <v>322</v>
      </c>
      <c r="E62" s="31">
        <f>'Top Down inputs'!C140</f>
        <v>3.9909153378664852E-2</v>
      </c>
      <c r="F62" s="31">
        <f>'Top Down inputs'!D140</f>
        <v>0.10036409874522789</v>
      </c>
      <c r="G62" s="31">
        <f>'Top Down inputs'!E140</f>
        <v>5.6703919580784135E-2</v>
      </c>
      <c r="H62" s="31">
        <f>'Top Down inputs'!F140</f>
        <v>2.3545128743536425E-2</v>
      </c>
      <c r="I62" s="31">
        <f>'Top Down inputs'!G140</f>
        <v>3.5422237353326391E-2</v>
      </c>
      <c r="J62" s="31">
        <f>'Top Down inputs'!H140</f>
        <v>2.1823266989722256E-2</v>
      </c>
      <c r="K62" s="31">
        <f>'Top Down inputs'!I140</f>
        <v>1.9935780988294516E-2</v>
      </c>
      <c r="L62" s="31">
        <f>'Top Down inputs'!J140</f>
        <v>2.0957399820160205E-2</v>
      </c>
      <c r="M62" s="31">
        <f>'Top Down inputs'!K140</f>
        <v>2.0094840093029198E-2</v>
      </c>
      <c r="N62" s="31">
        <f>'Top Down inputs'!L140</f>
        <v>1.9998866368604373E-2</v>
      </c>
      <c r="O62" s="31">
        <f>'Top Down inputs'!M140</f>
        <v>0.02</v>
      </c>
      <c r="P62" s="31">
        <f>'Top Down inputs'!N140</f>
        <v>0.02</v>
      </c>
      <c r="Q62" s="31">
        <f>'Top Down inputs'!O140</f>
        <v>0.02</v>
      </c>
      <c r="R62" s="31">
        <f>'Top Down inputs'!P140</f>
        <v>0.02</v>
      </c>
      <c r="S62" s="31">
        <f>'Top Down inputs'!Q140</f>
        <v>0.02</v>
      </c>
      <c r="U62" s="28"/>
      <c r="V62" s="28"/>
      <c r="W62" s="10" t="s">
        <v>323</v>
      </c>
    </row>
    <row r="63" spans="1:57" ht="14.65" thickBot="1" x14ac:dyDescent="0.5">
      <c r="A63" s="9" t="str" cm="1">
        <f t="array" ref="A63:A102">TD_service_codes</f>
        <v>WN127</v>
      </c>
      <c r="B63" t="s">
        <v>274</v>
      </c>
      <c r="C63" s="25">
        <f>IF($B$2="Discounted",INDEX('Top Down inputs'!$D$50:$F$89,MATCH($A63,'Top Down inputs'!$A$50:$A$89,0),MATCH('Copper Weighted Price'!$B$62,'Top Down inputs'!$D$47:$F$47,0)),INDEX('Top Down inputs'!$D$5:$F$44,MATCH($A63,'Top Down inputs'!$A$5:$A$44,0),MATCH('Copper Weighted Price'!$B$62,'Top Down inputs'!$D$2:$F$2,0)))</f>
        <v>-0.02</v>
      </c>
      <c r="D63" s="13">
        <f>IF($B$2="Headline",INDEX('Top Down inputs'!$J$5:$J$44,MATCH($A63,'Top Down inputs'!$H$5:$H$44,0)),INDEX('Top Down inputs'!$J$50:$J$89,MATCH($A63,'Top Down inputs'!$H$50:$H$89,0)))</f>
        <v>110.06830674793559</v>
      </c>
      <c r="E63" s="183">
        <v>103.08914332438485</v>
      </c>
      <c r="F63" s="183">
        <v>95.824976573109652</v>
      </c>
      <c r="G63" s="183">
        <v>84.833600714106851</v>
      </c>
      <c r="H63" s="163">
        <f>INDEX([4]StartPrices!$Q$10:$Q$609,MATCH($A63,[4]StartPrices!$B$10:$B$609,0))</f>
        <v>95.806738716664029</v>
      </c>
      <c r="I63" s="163">
        <f>INDEX([4]StartPrices!$U$10:$U$609,MATCH($A63,[4]StartPrices!$B$10:$B$609,0))</f>
        <v>102.26141062544374</v>
      </c>
      <c r="J63" s="30">
        <f>D63*(1+($C63+J$62))</f>
        <v>110.26899065824372</v>
      </c>
      <c r="K63" s="30">
        <f>J63*(1+($C63+K$62))</f>
        <v>110.26190929264189</v>
      </c>
      <c r="L63" s="30">
        <f>K63*(1+($C63+L$62))</f>
        <v>110.36747402476918</v>
      </c>
      <c r="M63" s="30">
        <f>L63*(1+($C63+M$62))</f>
        <v>110.37794128627309</v>
      </c>
      <c r="N63" s="30">
        <f>M63*(1+($C63+N$62))</f>
        <v>110.37781615837346</v>
      </c>
      <c r="O63" s="103">
        <f t="shared" ref="O63:O102" si="23">IF(O19=0,0,O236/O19)</f>
        <v>360.23105877082497</v>
      </c>
      <c r="P63" s="103">
        <f t="shared" ref="P63:S63" si="24">IF(P19=0,0,P236/P19)</f>
        <v>348.96573696912543</v>
      </c>
      <c r="Q63" s="103">
        <f t="shared" si="24"/>
        <v>0</v>
      </c>
      <c r="R63" s="103">
        <f t="shared" si="24"/>
        <v>0</v>
      </c>
      <c r="S63" s="103">
        <f t="shared" si="24"/>
        <v>0</v>
      </c>
      <c r="U63" s="9" t="s">
        <v>275</v>
      </c>
      <c r="V63" s="9" t="s">
        <v>261</v>
      </c>
      <c r="W63" s="9" t="str" cm="1">
        <f t="array" ref="W63:W102">TD_service_codes</f>
        <v>WN127</v>
      </c>
      <c r="X63" t="s">
        <v>274</v>
      </c>
      <c r="Y63" s="28">
        <f>E63</f>
        <v>103.08914332438485</v>
      </c>
      <c r="Z63" s="28">
        <f t="shared" ref="Y63:AM68" si="25">F63</f>
        <v>95.824976573109652</v>
      </c>
      <c r="AA63" s="28">
        <f t="shared" si="25"/>
        <v>84.833600714106851</v>
      </c>
      <c r="AB63" s="28">
        <f t="shared" si="25"/>
        <v>95.806738716664029</v>
      </c>
      <c r="AC63" s="28">
        <f t="shared" si="25"/>
        <v>102.26141062544374</v>
      </c>
      <c r="AD63" s="28">
        <f t="shared" si="25"/>
        <v>110.26899065824372</v>
      </c>
      <c r="AE63" s="28">
        <f t="shared" si="25"/>
        <v>110.26190929264189</v>
      </c>
      <c r="AF63" s="28">
        <f t="shared" si="25"/>
        <v>110.36747402476918</v>
      </c>
      <c r="AG63" s="28">
        <f t="shared" si="25"/>
        <v>110.37794128627309</v>
      </c>
      <c r="AH63" s="28">
        <f t="shared" si="25"/>
        <v>110.37781615837346</v>
      </c>
      <c r="AI63" s="28">
        <f>O63</f>
        <v>360.23105877082497</v>
      </c>
      <c r="AJ63" s="28">
        <f t="shared" si="25"/>
        <v>348.96573696912543</v>
      </c>
      <c r="AK63" s="28">
        <f t="shared" si="25"/>
        <v>0</v>
      </c>
      <c r="AL63" s="28">
        <f t="shared" si="25"/>
        <v>0</v>
      </c>
      <c r="AM63" s="28">
        <f t="shared" si="25"/>
        <v>0</v>
      </c>
      <c r="AN63" s="28"/>
      <c r="AP63" t="str" cm="1">
        <f t="array" ref="AP63:AP102">IF(U63:U102="Connections",W63:W102,"")</f>
        <v/>
      </c>
      <c r="AQ63" t="s">
        <v>324</v>
      </c>
      <c r="AR63" s="109">
        <f>INDEX($Y$63:$Y$102,MATCH(AQ63,$W$63:$W$102,0))</f>
        <v>25.335818221461203</v>
      </c>
      <c r="AS63">
        <f>INDEX($Y$19:$Y$58,MATCH(AQ63,$W$19:$W$58,0))</f>
        <v>86335.220553897132</v>
      </c>
      <c r="AT63" s="111">
        <f>SUMPRODUCT(AR63:AR82,AS63:AS82)/SUM(AS63:AS82)</f>
        <v>35.688688292515245</v>
      </c>
    </row>
    <row r="64" spans="1:57" ht="14.65" thickBot="1" x14ac:dyDescent="0.5">
      <c r="A64" s="9" t="str">
        <v>WN346</v>
      </c>
      <c r="B64" t="s">
        <v>276</v>
      </c>
      <c r="C64" s="25">
        <f>IF($B$2="Discounted",INDEX('Top Down inputs'!$D$50:$F$89,MATCH($A64,'Top Down inputs'!$A$50:$A$89,0),MATCH('Copper Weighted Price'!$B$62,'Top Down inputs'!$D$47:$F$47,0)),INDEX('Top Down inputs'!$D$5:$F$44,MATCH($A64,'Top Down inputs'!$A$5:$A$44,0),MATCH('Copper Weighted Price'!$B$62,'Top Down inputs'!$D$2:$F$2,0)))</f>
        <v>-0.02</v>
      </c>
      <c r="D64" s="13">
        <f>IF($B$2="Headline",INDEX('Top Down inputs'!$J$5:$J$44,MATCH($A64,'Top Down inputs'!$H$5:$H$44,0)),INDEX('Top Down inputs'!$J$50:$J$89,MATCH($A64,'Top Down inputs'!$H$50:$H$89,0)))</f>
        <v>131.3244088721178</v>
      </c>
      <c r="E64" s="183">
        <v>71.257925430332065</v>
      </c>
      <c r="F64" s="183">
        <v>81.778653674130211</v>
      </c>
      <c r="G64" s="183">
        <v>79.768444897152406</v>
      </c>
      <c r="H64" s="19">
        <f>INDEX([4]StartPrices!$Q$10:$Q$609,MATCH($A64,[4]StartPrices!$B$10:$B$609,0))</f>
        <v>112.16497348351244</v>
      </c>
      <c r="I64" s="19">
        <f>INDEX([4]StartPrices!$U$10:$U$609,MATCH($A64,[4]StartPrices!$B$10:$B$609,0))</f>
        <v>118.6091703962627</v>
      </c>
      <c r="J64" s="30">
        <f t="shared" ref="J64:J74" si="26">D64*(1+($C64+J$62))</f>
        <v>131.56384833175912</v>
      </c>
      <c r="K64" s="30">
        <f t="shared" ref="K64:N64" si="27">J64*(1+($C64+K$62))</f>
        <v>131.55539943144308</v>
      </c>
      <c r="L64" s="30">
        <f t="shared" si="27"/>
        <v>131.68135054719986</v>
      </c>
      <c r="M64" s="30">
        <f t="shared" si="27"/>
        <v>131.69383921873597</v>
      </c>
      <c r="N64" s="30">
        <f t="shared" si="27"/>
        <v>131.69368992646523</v>
      </c>
      <c r="O64" s="103">
        <f>IF(O20=0,0,O237/O20)</f>
        <v>348.40167495324704</v>
      </c>
      <c r="P64" s="103">
        <f t="shared" ref="P64:S83" si="28">IF(P20=0,0,P237/P20)</f>
        <v>337.50628742616436</v>
      </c>
      <c r="Q64" s="103">
        <f t="shared" si="28"/>
        <v>0</v>
      </c>
      <c r="R64" s="103">
        <f t="shared" si="28"/>
        <v>0</v>
      </c>
      <c r="S64" s="103">
        <f t="shared" si="28"/>
        <v>0</v>
      </c>
      <c r="U64" s="9" t="s">
        <v>275</v>
      </c>
      <c r="V64" s="9" t="s">
        <v>261</v>
      </c>
      <c r="W64" s="9" t="str">
        <v>WN346</v>
      </c>
      <c r="X64" t="s">
        <v>276</v>
      </c>
      <c r="Y64" s="28">
        <f t="shared" si="25"/>
        <v>71.257925430332065</v>
      </c>
      <c r="Z64" s="28">
        <f t="shared" si="25"/>
        <v>81.778653674130211</v>
      </c>
      <c r="AA64" s="28">
        <f t="shared" si="25"/>
        <v>79.768444897152406</v>
      </c>
      <c r="AB64" s="28">
        <f t="shared" si="25"/>
        <v>112.16497348351244</v>
      </c>
      <c r="AC64" s="28">
        <f t="shared" si="25"/>
        <v>118.6091703962627</v>
      </c>
      <c r="AD64" s="28">
        <f t="shared" si="25"/>
        <v>131.56384833175912</v>
      </c>
      <c r="AE64" s="28">
        <f t="shared" si="25"/>
        <v>131.55539943144308</v>
      </c>
      <c r="AF64" s="28">
        <f t="shared" si="25"/>
        <v>131.68135054719986</v>
      </c>
      <c r="AG64" s="28">
        <f t="shared" si="25"/>
        <v>131.69383921873597</v>
      </c>
      <c r="AH64" s="28">
        <f t="shared" si="25"/>
        <v>131.69368992646523</v>
      </c>
      <c r="AI64" s="28">
        <f t="shared" si="25"/>
        <v>348.40167495324704</v>
      </c>
      <c r="AJ64" s="28">
        <f t="shared" si="25"/>
        <v>337.50628742616436</v>
      </c>
      <c r="AK64" s="28">
        <f t="shared" si="25"/>
        <v>0</v>
      </c>
      <c r="AL64" s="28">
        <f t="shared" si="25"/>
        <v>0</v>
      </c>
      <c r="AM64" s="28">
        <f t="shared" si="25"/>
        <v>0</v>
      </c>
      <c r="AP64" t="str">
        <v/>
      </c>
      <c r="AQ64" t="s">
        <v>325</v>
      </c>
      <c r="AR64" s="109">
        <f>INDEX($Y$63:$Y$102,MATCH(AQ64,$W$63:$W$102,0))</f>
        <v>48.818888792644451</v>
      </c>
      <c r="AS64">
        <f t="shared" ref="AS64:AS82" si="29">INDEX($Y$19:$Y$58,MATCH(AQ64,$W$19:$W$58,0))</f>
        <v>259.00942188487397</v>
      </c>
    </row>
    <row r="65" spans="1:45" ht="14.65" thickBot="1" x14ac:dyDescent="0.5">
      <c r="A65" s="9" t="str">
        <v>WX130</v>
      </c>
      <c r="B65" t="s">
        <v>277</v>
      </c>
      <c r="C65" s="25">
        <f>IF($B$2="Discounted",INDEX('Top Down inputs'!$D$50:$F$89,MATCH($A65,'Top Down inputs'!$A$50:$A$89,0),MATCH('Copper Weighted Price'!$B$62,'Top Down inputs'!$D$47:$F$47,0)),INDEX('Top Down inputs'!$D$5:$F$44,MATCH($A65,'Top Down inputs'!$A$5:$A$44,0),MATCH('Copper Weighted Price'!$B$62,'Top Down inputs'!$D$2:$F$2,0)))</f>
        <v>-0.02</v>
      </c>
      <c r="D65" s="13">
        <f>IF($B$2="Headline",INDEX('Top Down inputs'!$J$5:$J$44,MATCH($A65,'Top Down inputs'!$H$5:$H$44,0)),INDEX('Top Down inputs'!$J$50:$J$89,MATCH($A65,'Top Down inputs'!$H$50:$H$89,0)))</f>
        <v>131.25682711340249</v>
      </c>
      <c r="E65" s="183">
        <v>100.61520918241411</v>
      </c>
      <c r="F65" s="183">
        <v>105.33538132509327</v>
      </c>
      <c r="G65" s="183">
        <v>102.28080425913539</v>
      </c>
      <c r="H65" s="19">
        <f>INDEX([4]StartPrices!$Q$10:$Q$609,MATCH($A65,[4]StartPrices!$B$10:$B$609,0))</f>
        <v>103.33120397059598</v>
      </c>
      <c r="I65" s="19">
        <f>INDEX([4]StartPrices!$U$10:$U$609,MATCH($A65,[4]StartPrices!$B$10:$B$609,0))</f>
        <v>87.061401500010106</v>
      </c>
      <c r="J65" s="30">
        <f t="shared" si="26"/>
        <v>131.49614335345404</v>
      </c>
      <c r="K65" s="30">
        <f t="shared" ref="K65:N65" si="30">J65*(1+($C65+K$62))</f>
        <v>131.4876988010848</v>
      </c>
      <c r="L65" s="30">
        <f t="shared" si="30"/>
        <v>131.61358510027023</v>
      </c>
      <c r="M65" s="30">
        <f t="shared" si="30"/>
        <v>131.62606734492505</v>
      </c>
      <c r="N65" s="30">
        <f t="shared" si="30"/>
        <v>131.62591812948261</v>
      </c>
      <c r="O65" s="103">
        <f t="shared" si="23"/>
        <v>335.07835509343698</v>
      </c>
      <c r="P65" s="103">
        <f t="shared" si="28"/>
        <v>324.59962093933075</v>
      </c>
      <c r="Q65" s="103">
        <f t="shared" si="28"/>
        <v>0</v>
      </c>
      <c r="R65" s="103">
        <f t="shared" si="28"/>
        <v>0</v>
      </c>
      <c r="S65" s="103">
        <f t="shared" si="28"/>
        <v>0</v>
      </c>
      <c r="U65" s="9" t="s">
        <v>275</v>
      </c>
      <c r="V65" s="9" t="s">
        <v>261</v>
      </c>
      <c r="W65" s="9" t="str">
        <v>WX130</v>
      </c>
      <c r="X65" t="s">
        <v>277</v>
      </c>
      <c r="Y65" s="28">
        <f t="shared" si="25"/>
        <v>100.61520918241411</v>
      </c>
      <c r="Z65" s="28">
        <f t="shared" si="25"/>
        <v>105.33538132509327</v>
      </c>
      <c r="AA65" s="28">
        <f t="shared" si="25"/>
        <v>102.28080425913539</v>
      </c>
      <c r="AB65" s="28">
        <f t="shared" si="25"/>
        <v>103.33120397059598</v>
      </c>
      <c r="AC65" s="28">
        <f t="shared" si="25"/>
        <v>87.061401500010106</v>
      </c>
      <c r="AD65" s="28">
        <f t="shared" si="25"/>
        <v>131.49614335345404</v>
      </c>
      <c r="AE65" s="28">
        <f t="shared" si="25"/>
        <v>131.4876988010848</v>
      </c>
      <c r="AF65" s="28">
        <f t="shared" si="25"/>
        <v>131.61358510027023</v>
      </c>
      <c r="AG65" s="28">
        <f t="shared" si="25"/>
        <v>131.62606734492505</v>
      </c>
      <c r="AH65" s="28">
        <f t="shared" si="25"/>
        <v>131.62591812948261</v>
      </c>
      <c r="AI65" s="28">
        <f t="shared" si="25"/>
        <v>335.07835509343698</v>
      </c>
      <c r="AJ65" s="28">
        <f t="shared" si="25"/>
        <v>324.59962093933075</v>
      </c>
      <c r="AK65" s="28">
        <f t="shared" si="25"/>
        <v>0</v>
      </c>
      <c r="AL65" s="28">
        <f t="shared" si="25"/>
        <v>0</v>
      </c>
      <c r="AM65" s="28">
        <f t="shared" si="25"/>
        <v>0</v>
      </c>
      <c r="AP65" t="str">
        <v/>
      </c>
      <c r="AQ65" t="s">
        <v>326</v>
      </c>
      <c r="AR65" s="109">
        <f>INDEX($Y$63:$Y$102,MATCH(AQ65,$W$63:$W$102,0))</f>
        <v>99.543068466897637</v>
      </c>
      <c r="AS65">
        <f t="shared" si="29"/>
        <v>1709.6283127186966</v>
      </c>
    </row>
    <row r="66" spans="1:45" ht="14.65" thickBot="1" x14ac:dyDescent="0.5">
      <c r="A66" s="9" t="str">
        <v>WX347</v>
      </c>
      <c r="B66" t="s">
        <v>278</v>
      </c>
      <c r="C66" s="25">
        <f>IF($B$2="Discounted",INDEX('Top Down inputs'!$D$50:$F$89,MATCH($A66,'Top Down inputs'!$A$50:$A$89,0),MATCH('Copper Weighted Price'!$B$62,'Top Down inputs'!$D$47:$F$47,0)),INDEX('Top Down inputs'!$D$5:$F$44,MATCH($A66,'Top Down inputs'!$A$5:$A$44,0),MATCH('Copper Weighted Price'!$B$62,'Top Down inputs'!$D$2:$F$2,0)))</f>
        <v>-0.02</v>
      </c>
      <c r="D66" s="13">
        <f>IF($B$2="Headline",INDEX('Top Down inputs'!$J$5:$J$44,MATCH($A66,'Top Down inputs'!$H$5:$H$44,0)),INDEX('Top Down inputs'!$J$50:$J$89,MATCH($A66,'Top Down inputs'!$H$50:$H$89,0)))</f>
        <v>117.09723373760681</v>
      </c>
      <c r="E66" s="183">
        <v>82.346982379430798</v>
      </c>
      <c r="F66" s="183">
        <v>72.933095164197184</v>
      </c>
      <c r="G66" s="183">
        <v>119.16245088756362</v>
      </c>
      <c r="H66" s="19">
        <f>INDEX([4]StartPrices!$Q$10:$Q$609,MATCH($A66,[4]StartPrices!$B$10:$B$609,0))</f>
        <v>108.19661705918604</v>
      </c>
      <c r="I66" s="19">
        <f>INDEX([4]StartPrices!$U$10:$U$609,MATCH($A66,[4]StartPrices!$B$10:$B$609,0))</f>
        <v>97.026432436910142</v>
      </c>
      <c r="J66" s="30">
        <f t="shared" si="26"/>
        <v>117.31073325846837</v>
      </c>
      <c r="K66" s="30">
        <f t="shared" ref="K66:N66" si="31">J66*(1+($C66+K$62))</f>
        <v>117.30319967911606</v>
      </c>
      <c r="L66" s="30">
        <f t="shared" si="31"/>
        <v>117.41550574139306</v>
      </c>
      <c r="M66" s="30">
        <f t="shared" si="31"/>
        <v>117.42664143888065</v>
      </c>
      <c r="N66" s="30">
        <f t="shared" si="31"/>
        <v>117.42650832035324</v>
      </c>
      <c r="O66" s="103">
        <f t="shared" si="23"/>
        <v>293.1687356974648</v>
      </c>
      <c r="P66" s="103">
        <f t="shared" si="28"/>
        <v>284.00061965245038</v>
      </c>
      <c r="Q66" s="103">
        <f t="shared" si="28"/>
        <v>0</v>
      </c>
      <c r="R66" s="103">
        <f t="shared" si="28"/>
        <v>0</v>
      </c>
      <c r="S66" s="103">
        <f t="shared" si="28"/>
        <v>0</v>
      </c>
      <c r="U66" s="9" t="s">
        <v>275</v>
      </c>
      <c r="V66" s="9" t="s">
        <v>261</v>
      </c>
      <c r="W66" s="9" t="str">
        <v>WX347</v>
      </c>
      <c r="X66" t="s">
        <v>278</v>
      </c>
      <c r="Y66" s="28">
        <f t="shared" si="25"/>
        <v>82.346982379430798</v>
      </c>
      <c r="Z66" s="28">
        <f t="shared" si="25"/>
        <v>72.933095164197184</v>
      </c>
      <c r="AA66" s="28">
        <f t="shared" si="25"/>
        <v>119.16245088756362</v>
      </c>
      <c r="AB66" s="28">
        <f t="shared" si="25"/>
        <v>108.19661705918604</v>
      </c>
      <c r="AC66" s="28">
        <f t="shared" si="25"/>
        <v>97.026432436910142</v>
      </c>
      <c r="AD66" s="28">
        <f t="shared" si="25"/>
        <v>117.31073325846837</v>
      </c>
      <c r="AE66" s="28">
        <f t="shared" si="25"/>
        <v>117.30319967911606</v>
      </c>
      <c r="AF66" s="28">
        <f t="shared" si="25"/>
        <v>117.41550574139306</v>
      </c>
      <c r="AG66" s="28">
        <f t="shared" si="25"/>
        <v>117.42664143888065</v>
      </c>
      <c r="AH66" s="28">
        <f t="shared" si="25"/>
        <v>117.42650832035324</v>
      </c>
      <c r="AI66" s="28">
        <f t="shared" si="25"/>
        <v>293.1687356974648</v>
      </c>
      <c r="AJ66" s="28">
        <f t="shared" si="25"/>
        <v>284.00061965245038</v>
      </c>
      <c r="AK66" s="28">
        <f t="shared" si="25"/>
        <v>0</v>
      </c>
      <c r="AL66" s="28">
        <f t="shared" si="25"/>
        <v>0</v>
      </c>
      <c r="AM66" s="28">
        <f t="shared" si="25"/>
        <v>0</v>
      </c>
      <c r="AP66" t="str">
        <v/>
      </c>
      <c r="AQ66" t="s">
        <v>327</v>
      </c>
      <c r="AR66" s="109">
        <f>INDEX($Y$63:$Y$102,MATCH(AQ66,$W$63:$W$102,0))</f>
        <v>116.21335337007116</v>
      </c>
      <c r="AS66">
        <f t="shared" si="29"/>
        <v>2732.824592394767</v>
      </c>
    </row>
    <row r="67" spans="1:45" ht="14.65" thickBot="1" x14ac:dyDescent="0.5">
      <c r="A67" s="9" t="str">
        <v>WX129</v>
      </c>
      <c r="B67" t="s">
        <v>279</v>
      </c>
      <c r="C67" s="25">
        <f>IF($B$2="Discounted",INDEX('Top Down inputs'!$D$50:$F$89,MATCH($A67,'Top Down inputs'!$A$50:$A$89,0),MATCH('Copper Weighted Price'!$B$62,'Top Down inputs'!$D$47:$F$47,0)),INDEX('Top Down inputs'!$D$5:$F$44,MATCH($A67,'Top Down inputs'!$A$5:$A$44,0),MATCH('Copper Weighted Price'!$B$62,'Top Down inputs'!$D$2:$F$2,0)))</f>
        <v>0.1825</v>
      </c>
      <c r="D67" s="13">
        <f>IF($B$2="Headline",INDEX('Top Down inputs'!$J$5:$J$44,MATCH($A67,'Top Down inputs'!$H$5:$H$44,0)),INDEX('Top Down inputs'!$J$50:$J$89,MATCH($A67,'Top Down inputs'!$H$50:$H$89,0)))</f>
        <v>33.575930968968088</v>
      </c>
      <c r="E67" s="183">
        <v>25.335818221461203</v>
      </c>
      <c r="F67" s="183">
        <v>36.632542437658792</v>
      </c>
      <c r="G67" s="183">
        <v>41.513153237114054</v>
      </c>
      <c r="H67" s="19">
        <f>INDEX([4]StartPrices!$Q$10:$Q$609,MATCH($A67,[4]StartPrices!$B$10:$B$609,0))</f>
        <v>23.042154944973156</v>
      </c>
      <c r="I67" s="19">
        <f>INDEX([4]StartPrices!$U$10:$U$609,MATCH($A67,[4]StartPrices!$B$10:$B$609,0))</f>
        <v>35.238949101674976</v>
      </c>
      <c r="J67" s="30">
        <f t="shared" si="26"/>
        <v>40.436274876769041</v>
      </c>
      <c r="K67" s="30">
        <f t="shared" ref="K67:N67" si="32">J67*(1+($C67+K$62))</f>
        <v>48.62202376170513</v>
      </c>
      <c r="L67" s="30">
        <f t="shared" si="32"/>
        <v>58.514534290255703</v>
      </c>
      <c r="M67" s="30">
        <f t="shared" si="32"/>
        <v>70.369277007908138</v>
      </c>
      <c r="N67" s="30">
        <f t="shared" si="32"/>
        <v>84.618975829187818</v>
      </c>
      <c r="O67" s="103">
        <f t="shared" si="23"/>
        <v>0</v>
      </c>
      <c r="P67" s="103">
        <f t="shared" si="28"/>
        <v>0</v>
      </c>
      <c r="Q67" s="103">
        <f t="shared" si="28"/>
        <v>0</v>
      </c>
      <c r="R67" s="103">
        <f t="shared" si="28"/>
        <v>0</v>
      </c>
      <c r="S67" s="103">
        <f t="shared" si="28"/>
        <v>0</v>
      </c>
      <c r="U67" s="9" t="s">
        <v>3</v>
      </c>
      <c r="V67" s="9" t="s">
        <v>261</v>
      </c>
      <c r="W67" s="9" t="str">
        <v>WX129</v>
      </c>
      <c r="X67" t="s">
        <v>279</v>
      </c>
      <c r="Y67" s="28">
        <f>E67</f>
        <v>25.335818221461203</v>
      </c>
      <c r="Z67" s="28">
        <f t="shared" si="25"/>
        <v>36.632542437658792</v>
      </c>
      <c r="AA67" s="28">
        <f t="shared" si="25"/>
        <v>41.513153237114054</v>
      </c>
      <c r="AB67" s="28">
        <f t="shared" si="25"/>
        <v>23.042154944973156</v>
      </c>
      <c r="AC67" s="28">
        <f t="shared" si="25"/>
        <v>35.238949101674976</v>
      </c>
      <c r="AD67" s="28">
        <f t="shared" si="25"/>
        <v>40.436274876769041</v>
      </c>
      <c r="AE67" s="28">
        <f t="shared" si="25"/>
        <v>48.62202376170513</v>
      </c>
      <c r="AF67" s="28">
        <f t="shared" si="25"/>
        <v>58.514534290255703</v>
      </c>
      <c r="AG67" s="28">
        <f t="shared" si="25"/>
        <v>70.369277007908138</v>
      </c>
      <c r="AH67" s="28">
        <f t="shared" si="25"/>
        <v>84.618975829187818</v>
      </c>
      <c r="AI67" s="28">
        <f t="shared" si="25"/>
        <v>0</v>
      </c>
      <c r="AJ67" s="28">
        <f t="shared" si="25"/>
        <v>0</v>
      </c>
      <c r="AK67" s="28">
        <f t="shared" si="25"/>
        <v>0</v>
      </c>
      <c r="AL67" s="28">
        <f t="shared" si="25"/>
        <v>0</v>
      </c>
      <c r="AM67" s="28">
        <f t="shared" si="25"/>
        <v>0</v>
      </c>
      <c r="AP67" t="str">
        <v>WX129</v>
      </c>
      <c r="AQ67" t="s">
        <v>328</v>
      </c>
      <c r="AR67" s="109">
        <f>INDEX($Y$63:$Y$102,MATCH(AQ67,$W$63:$W$102,0))</f>
        <v>113.21479752300131</v>
      </c>
      <c r="AS67">
        <f t="shared" si="29"/>
        <v>2589.5833198113132</v>
      </c>
    </row>
    <row r="68" spans="1:45" ht="14.65" thickBot="1" x14ac:dyDescent="0.5">
      <c r="A68" s="9" t="str">
        <v>WN123</v>
      </c>
      <c r="B68" t="s">
        <v>280</v>
      </c>
      <c r="C68" s="25">
        <f>IF($B$2="Discounted",INDEX('Top Down inputs'!$D$50:$F$89,MATCH($A68,'Top Down inputs'!$A$50:$A$89,0),MATCH('Copper Weighted Price'!$B$62,'Top Down inputs'!$D$47:$F$47,0)),INDEX('Top Down inputs'!$D$5:$F$44,MATCH($A68,'Top Down inputs'!$A$5:$A$44,0),MATCH('Copper Weighted Price'!$B$62,'Top Down inputs'!$D$2:$F$2,0)))</f>
        <v>0.1825</v>
      </c>
      <c r="D68" s="13">
        <f>IF($B$2="Headline",INDEX('Top Down inputs'!$J$5:$J$44,MATCH($A68,'Top Down inputs'!$H$5:$H$44,0)),INDEX('Top Down inputs'!$J$50:$J$89,MATCH($A68,'Top Down inputs'!$H$50:$H$89,0)))</f>
        <v>35.927921953837227</v>
      </c>
      <c r="E68" s="183">
        <v>48.818888792644451</v>
      </c>
      <c r="F68" s="183">
        <v>24.217627077396454</v>
      </c>
      <c r="G68" s="183">
        <v>63.510583922541301</v>
      </c>
      <c r="H68" s="19">
        <f>INDEX([4]StartPrices!$Q$10:$Q$609,MATCH($A68,[4]StartPrices!$B$10:$B$609,0))</f>
        <v>28.285174920126078</v>
      </c>
      <c r="I68" s="19">
        <f>INDEX([4]StartPrices!$U$10:$U$609,MATCH($A68,[4]StartPrices!$B$10:$B$609,0))</f>
        <v>24.845134282683901</v>
      </c>
      <c r="J68" s="30">
        <f t="shared" si="26"/>
        <v>43.268832343597019</v>
      </c>
      <c r="K68" s="30">
        <f t="shared" ref="K68:N68" si="33">J68*(1+($C68+K$62))</f>
        <v>52.027992211524655</v>
      </c>
      <c r="L68" s="30">
        <f t="shared" si="33"/>
        <v>62.61347222474501</v>
      </c>
      <c r="M68" s="30">
        <f t="shared" si="33"/>
        <v>75.298638617786551</v>
      </c>
      <c r="N68" s="30">
        <f t="shared" si="33"/>
        <v>90.546527576987529</v>
      </c>
      <c r="O68" s="103">
        <f t="shared" si="23"/>
        <v>0</v>
      </c>
      <c r="P68" s="103">
        <f t="shared" si="28"/>
        <v>0</v>
      </c>
      <c r="Q68" s="103">
        <f t="shared" si="28"/>
        <v>0</v>
      </c>
      <c r="R68" s="103">
        <f t="shared" si="28"/>
        <v>0</v>
      </c>
      <c r="S68" s="103">
        <f t="shared" si="28"/>
        <v>0</v>
      </c>
      <c r="U68" s="9" t="s">
        <v>3</v>
      </c>
      <c r="V68" s="9" t="s">
        <v>261</v>
      </c>
      <c r="W68" s="9" t="str">
        <v>WN123</v>
      </c>
      <c r="X68" t="s">
        <v>280</v>
      </c>
      <c r="Y68" s="28">
        <f t="shared" si="25"/>
        <v>48.818888792644451</v>
      </c>
      <c r="Z68" s="28">
        <f t="shared" si="25"/>
        <v>24.217627077396454</v>
      </c>
      <c r="AA68" s="28">
        <f t="shared" si="25"/>
        <v>63.510583922541301</v>
      </c>
      <c r="AB68" s="28">
        <f t="shared" si="25"/>
        <v>28.285174920126078</v>
      </c>
      <c r="AC68" s="28">
        <f t="shared" si="25"/>
        <v>24.845134282683901</v>
      </c>
      <c r="AD68" s="28">
        <f t="shared" si="25"/>
        <v>43.268832343597019</v>
      </c>
      <c r="AE68" s="28">
        <f t="shared" si="25"/>
        <v>52.027992211524655</v>
      </c>
      <c r="AF68" s="28">
        <f t="shared" si="25"/>
        <v>62.61347222474501</v>
      </c>
      <c r="AG68" s="28">
        <f t="shared" si="25"/>
        <v>75.298638617786551</v>
      </c>
      <c r="AH68" s="28">
        <f t="shared" si="25"/>
        <v>90.546527576987529</v>
      </c>
      <c r="AI68" s="28">
        <f t="shared" si="25"/>
        <v>0</v>
      </c>
      <c r="AJ68" s="28">
        <f t="shared" si="25"/>
        <v>0</v>
      </c>
      <c r="AK68" s="28">
        <f t="shared" si="25"/>
        <v>0</v>
      </c>
      <c r="AL68" s="28">
        <f t="shared" si="25"/>
        <v>0</v>
      </c>
      <c r="AM68" s="28">
        <f t="shared" si="25"/>
        <v>0</v>
      </c>
      <c r="AP68" t="str">
        <v>WN123</v>
      </c>
      <c r="AQ68" t="s">
        <v>329</v>
      </c>
      <c r="AR68" s="109">
        <f t="shared" ref="AR68:AR82" si="34">INDEX($Y$63:$Y$102,MATCH(AQ68,$W$63:$W$102,0))</f>
        <v>101.28558029451823</v>
      </c>
      <c r="AS68">
        <f t="shared" si="29"/>
        <v>864.80950071930272</v>
      </c>
    </row>
    <row r="69" spans="1:45" ht="14.65" thickBot="1" x14ac:dyDescent="0.5">
      <c r="A69" s="9" t="str">
        <v>WN300</v>
      </c>
      <c r="B69" t="s">
        <v>281</v>
      </c>
      <c r="C69" s="25">
        <f>IF($B$2="Discounted",INDEX('Top Down inputs'!$D$50:$F$89,MATCH($A69,'Top Down inputs'!$A$50:$A$89,0),MATCH('Copper Weighted Price'!$B$62,'Top Down inputs'!$D$47:$F$47,0)),INDEX('Top Down inputs'!$D$5:$F$44,MATCH($A69,'Top Down inputs'!$A$5:$A$44,0),MATCH('Copper Weighted Price'!$B$62,'Top Down inputs'!$D$2:$F$2,0)))</f>
        <v>6.5000000000000002E-2</v>
      </c>
      <c r="D69" s="13">
        <f>IF($B$2="Headline",INDEX('Top Down inputs'!$J$5:$J$44,MATCH($A69,'Top Down inputs'!$H$5:$H$44,0)),INDEX('Top Down inputs'!$J$50:$J$89,MATCH($A69,'Top Down inputs'!$H$50:$H$89,0)))</f>
        <v>96.92512490916242</v>
      </c>
      <c r="E69" s="183">
        <v>89.163411500888259</v>
      </c>
      <c r="F69" s="183">
        <v>78.563228171487395</v>
      </c>
      <c r="G69" s="183">
        <v>85.295324901979228</v>
      </c>
      <c r="H69" s="19">
        <f>INDEX([4]StartPrices!$Q$10:$Q$609,MATCH($A69,[4]StartPrices!$B$10:$B$609,0))</f>
        <v>99.860575636032635</v>
      </c>
      <c r="I69" s="19">
        <f>INDEX([4]StartPrices!$U$10:$U$609,MATCH($A69,[4]StartPrices!$B$10:$B$609,0))</f>
        <v>76.006756698891735</v>
      </c>
      <c r="J69" s="30">
        <f t="shared" si="26"/>
        <v>105.3404809071628</v>
      </c>
      <c r="K69" s="30">
        <f t="shared" ref="K69:N69" si="35">J69*(1+($C69+K$62))</f>
        <v>114.28765692269519</v>
      </c>
      <c r="L69" s="30">
        <f t="shared" si="35"/>
        <v>124.1115267433086</v>
      </c>
      <c r="M69" s="30">
        <f t="shared" si="35"/>
        <v>134.67277726523216</v>
      </c>
      <c r="N69" s="30">
        <f t="shared" si="35"/>
        <v>146.11981066348844</v>
      </c>
      <c r="O69" s="103">
        <f t="shared" si="23"/>
        <v>0</v>
      </c>
      <c r="P69" s="103">
        <f t="shared" si="28"/>
        <v>0</v>
      </c>
      <c r="Q69" s="103">
        <f t="shared" si="28"/>
        <v>0</v>
      </c>
      <c r="R69" s="103">
        <f t="shared" si="28"/>
        <v>0</v>
      </c>
      <c r="S69" s="103">
        <f t="shared" si="28"/>
        <v>0</v>
      </c>
      <c r="U69" s="9" t="s">
        <v>275</v>
      </c>
      <c r="V69" s="9" t="s">
        <v>265</v>
      </c>
      <c r="W69" s="9" t="str">
        <v>WN300</v>
      </c>
      <c r="X69" t="s">
        <v>281</v>
      </c>
      <c r="Y69" s="28" cm="1">
        <f t="array" ref="Y69">E69+SUMPRODUCT(IF($U$63:$U$102="Rentals",IF($V$63:$V$102="Legacy",IF($C$19:$C$58="Rentals",IF($D$19:$D$58="Legacy",E$63:E$102*Y$19:Y$58)))))/SUMIFS(Y$19:Y$58,$C$19:$C$58,"Rentals",$D$19:$D$58,"Legacy")</f>
        <v>164.17033150389821</v>
      </c>
      <c r="Z69" s="28" cm="1">
        <f t="array" ref="Z69">F69+SUMPRODUCT(IF($U$63:$U$102="Rentals",IF($V$63:$V$102="Legacy",IF($C$19:$C$58="Rentals",IF($D$19:$D$58="Legacy",F$63:F$102*Z$19:Z$58)))))/SUMIFS(Z$19:Z$58,$C$19:$C$58,"Rentals",$D$19:$D$58,"Legacy")</f>
        <v>167.86514778405518</v>
      </c>
      <c r="AA69" s="28" cm="1">
        <f t="array" ref="AA69">G69+SUMPRODUCT(IF($U$63:$U$102="Rentals",IF($V$63:$V$102="Legacy",IF($C$19:$C$58="Rentals",IF($D$19:$D$58="Legacy",G$63:G$102*AA$19:AA$58)))))/SUMIFS(AA$19:AA$58,$C$19:$C$58,"Rentals",$D$19:$D$58,"Legacy")</f>
        <v>195.72164092126025</v>
      </c>
      <c r="AB69" s="28" cm="1">
        <f t="array" ref="AB69">H69+SUMPRODUCT(IF($U$63:$U$102="Rentals",IF($V$63:$V$102="Legacy",IF($C$19:$C$58="Rentals",IF($D$19:$D$58="Legacy",H$63:H$102*AB$19:AB$58)))))/SUMIFS(AB$19:AB$58,$C$19:$C$58,"Rentals",$D$19:$D$58,"Legacy")</f>
        <v>199.11880246623537</v>
      </c>
      <c r="AC69" s="28" cm="1">
        <f t="array" ref="AC69">I69+SUMPRODUCT(IF($U$63:$U$102="Rentals",IF($V$63:$V$102="Legacy",IF($C$19:$C$58="Rentals",IF($D$19:$D$58="Legacy",I$63:I$102*AC$19:AC$58)))))/SUMIFS(AC$19:AC$58,$C$19:$C$58,"Rentals",$D$19:$D$58,"Legacy")</f>
        <v>185.18763142225444</v>
      </c>
      <c r="AD69" s="28" cm="1">
        <f t="array" ref="AD69">J69+SUMPRODUCT(IF($U$63:$U$102="Rentals",IF($V$63:$V$102="Legacy",IF($C$19:$C$58="Rentals",IF($D$19:$D$58="Legacy",J$63:J$102*AD$19:AD$58)))))/SUMIFS(AD$19:AD$58,$C$19:$C$58,"Rentals",$D$19:$D$58,"Legacy")</f>
        <v>206.04923954045813</v>
      </c>
      <c r="AE69" s="28" cm="1">
        <f t="array" ref="AE69">K69+SUMPRODUCT(IF($U$63:$U$102="Rentals",IF($V$63:$V$102="Legacy",IF($C$19:$C$58="Rentals",IF($D$19:$D$58="Legacy",K$63:K$102*AE$19:AE$58)))))/SUMIFS(AE$19:AE$58,$C$19:$C$58,"Rentals",$D$19:$D$58,"Legacy")</f>
        <v>203.35017482067948</v>
      </c>
      <c r="AF69" s="28" cm="1">
        <f t="array" ref="AF69">L69+SUMPRODUCT(IF($U$63:$U$102="Rentals",IF($V$63:$V$102="Legacy",IF($C$19:$C$58="Rentals",IF($D$19:$D$58="Legacy",L$63:L$102*AF$19:AF$58)))))/SUMIFS(AF$19:AF$58,$C$19:$C$58,"Rentals",$D$19:$D$58,"Legacy")</f>
        <v>207.94112485425683</v>
      </c>
      <c r="AG69" s="28" cm="1">
        <f t="array" ref="AG69">M69+SUMPRODUCT(IF($U$63:$U$102="Rentals",IF($V$63:$V$102="Legacy",IF($C$19:$C$58="Rentals",IF($D$19:$D$58="Legacy",M$63:M$102*AG$19:AG$58)))))/SUMIFS(AG$19:AG$58,$C$19:$C$58,"Rentals",$D$19:$D$58,"Legacy")</f>
        <v>214.96594779768725</v>
      </c>
      <c r="AH69" s="28" cm="1">
        <f t="array" ref="AH69">N69+SUMPRODUCT(IF($U$63:$U$102="Rentals",IF($V$63:$V$102="Legacy",IF($C$19:$C$58="Rentals",IF($D$19:$D$58="Legacy",N$63:N$102*AH$19:AH$58)))))/SUMIFS(AH$19:AH$58,$C$19:$C$58,"Rentals",$D$19:$D$58,"Legacy")</f>
        <v>227.34007794345018</v>
      </c>
      <c r="AI69" s="28" cm="1">
        <f t="array" ref="AI69">O69+SUMPRODUCT(IF($U$63:$U$102="Rentals",IF($V$63:$V$102="Legacy",IF($C$19:$C$58="Rentals",IF($D$19:$D$58="Legacy",O$63:O$102*AI$19:AI$58)))))/SUMIFS(AI$19:AI$58,$C$19:$C$58,"Rentals",$D$19:$D$58,"Legacy")</f>
        <v>343.92130363514059</v>
      </c>
      <c r="AJ69" s="28" cm="1">
        <f t="array" ref="AJ69">P69+SUMPRODUCT(IF($U$63:$U$102="Rentals",IF($V$63:$V$102="Legacy",IF($C$19:$C$58="Rentals",IF($D$19:$D$58="Legacy",P$63:P$102*AJ$19:AJ$58)))))/SUMIFS(AJ$19:AJ$58,$C$19:$C$58,"Rentals",$D$19:$D$58,"Legacy")</f>
        <v>327.08542962805024</v>
      </c>
      <c r="AK69" s="28" cm="1">
        <f t="array" ref="AK69">Q69+IF(SUM(AK19:AK58)=0,0,SUMPRODUCT(IF($U$63:$U$102="Rentals",IF($V$63:$V$102="Legacy",IF($C$19:$C$58="Rentals",IF($D$19:$D$58="Legacy",Q$63:Q$102*AK$19:AK$58)))))/SUMIFS(AK$19:AK$58,$C$19:$C$58,"Rentals",$D$19:$D$58,"Legacy"))</f>
        <v>0</v>
      </c>
      <c r="AL69" s="28" cm="1">
        <f t="array" ref="AL69">R69+IF(SUM(AL19:AL58)=0,0,SUMPRODUCT(IF($U$63:$U$102="Rentals",IF($V$63:$V$102="Legacy",IF($C$19:$C$58="Rentals",IF($D$19:$D$58="Legacy",R$63:R$102*AL$19:AL$58)))))/SUMIFS(AL$19:AL$58,$C$19:$C$58,"Rentals",$D$19:$D$58,"Legacy"))</f>
        <v>0</v>
      </c>
      <c r="AM69" s="28" cm="1">
        <f t="array" ref="AM69">S69+IF(SUM(AM19:AM58)=0,0,SUMPRODUCT(IF($U$63:$U$102="Rentals",IF($V$63:$V$102="Legacy",IF($C$19:$C$58="Rentals",IF($D$19:$D$58="Legacy",S$63:S$102*AM$19:AM$58)))))/SUMIFS(AM$19:AM$58,$C$19:$C$58,"Rentals",$D$19:$D$58,"Legacy"))</f>
        <v>0</v>
      </c>
      <c r="AN69" s="28"/>
      <c r="AP69" t="str">
        <v/>
      </c>
      <c r="AQ69" t="s">
        <v>330</v>
      </c>
      <c r="AR69" s="109">
        <f t="shared" si="34"/>
        <v>48.233397613202214</v>
      </c>
      <c r="AS69">
        <f t="shared" si="29"/>
        <v>13221.407859712153</v>
      </c>
    </row>
    <row r="70" spans="1:45" ht="14.65" thickBot="1" x14ac:dyDescent="0.5">
      <c r="A70" s="9" t="str">
        <v>WN301</v>
      </c>
      <c r="B70" t="s">
        <v>282</v>
      </c>
      <c r="C70" s="25">
        <f>IF($B$2="Discounted",INDEX('Top Down inputs'!$D$50:$F$89,MATCH($A70,'Top Down inputs'!$A$50:$A$89,0),MATCH('Copper Weighted Price'!$B$62,'Top Down inputs'!$D$47:$F$47,0)),INDEX('Top Down inputs'!$D$5:$F$44,MATCH($A70,'Top Down inputs'!$A$5:$A$44,0),MATCH('Copper Weighted Price'!$B$62,'Top Down inputs'!$D$2:$F$2,0)))</f>
        <v>6.5000000000000002E-2</v>
      </c>
      <c r="D70" s="13">
        <f>IF($B$2="Headline",INDEX('Top Down inputs'!$J$5:$J$44,MATCH($A70,'Top Down inputs'!$H$5:$H$44,0)),INDEX('Top Down inputs'!$J$50:$J$89,MATCH($A70,'Top Down inputs'!$H$50:$H$89,0)))</f>
        <v>77.52055977577534</v>
      </c>
      <c r="E70" s="183">
        <v>49.582678878231384</v>
      </c>
      <c r="F70" s="183">
        <v>56.095845244106208</v>
      </c>
      <c r="G70" s="183">
        <v>66.215763141683965</v>
      </c>
      <c r="H70" s="19">
        <f>INDEX([4]StartPrices!$Q$10:$Q$609,MATCH($A70,[4]StartPrices!$B$10:$B$609,0))</f>
        <v>70.187702240523237</v>
      </c>
      <c r="I70" s="19">
        <f>INDEX([4]StartPrices!$U$10:$U$609,MATCH($A70,[4]StartPrices!$B$10:$B$609,0))</f>
        <v>66.220036945299313</v>
      </c>
      <c r="J70" s="30">
        <f t="shared" si="26"/>
        <v>84.251148034380208</v>
      </c>
      <c r="K70" s="30">
        <f t="shared" ref="K70:N70" si="36">J70*(1+($C70+K$62))</f>
        <v>91.407085091840699</v>
      </c>
      <c r="L70" s="30">
        <f t="shared" si="36"/>
        <v>99.264200451475446</v>
      </c>
      <c r="M70" s="30">
        <f t="shared" si="36"/>
        <v>107.71107171585614</v>
      </c>
      <c r="N70" s="30">
        <f t="shared" si="36"/>
        <v>116.86639070705135</v>
      </c>
      <c r="O70" s="103">
        <f t="shared" si="23"/>
        <v>0</v>
      </c>
      <c r="P70" s="103">
        <f t="shared" si="28"/>
        <v>0</v>
      </c>
      <c r="Q70" s="103">
        <f t="shared" si="28"/>
        <v>0</v>
      </c>
      <c r="R70" s="103">
        <f t="shared" si="28"/>
        <v>0</v>
      </c>
      <c r="S70" s="103">
        <f t="shared" si="28"/>
        <v>0</v>
      </c>
      <c r="U70" s="9" t="s">
        <v>275</v>
      </c>
      <c r="V70" s="9" t="s">
        <v>265</v>
      </c>
      <c r="W70" s="9" t="str">
        <v>WN301</v>
      </c>
      <c r="X70" t="s">
        <v>282</v>
      </c>
      <c r="Y70" s="28" cm="1">
        <f t="array" ref="Y70">E70+SUMPRODUCT(IF($U$63:$U$102="Rentals",IF($V$63:$V$102="Legacy",IF($C$19:$C$58="Rentals",IF($D$19:$D$58="Legacy",E$63:E$102*Y$19:Y$58)))))/SUMIFS(Y$19:Y$58,$C$19:$C$58,"Rentals",$D$19:$D$58,"Legacy")</f>
        <v>124.58959888124133</v>
      </c>
      <c r="Z70" s="28" cm="1">
        <f t="array" ref="Z70">F70+SUMPRODUCT(IF($U$63:$U$102="Rentals",IF($V$63:$V$102="Legacy",IF($C$19:$C$58="Rentals",IF($D$19:$D$58="Legacy",F$63:F$102*Z$19:Z$58)))))/SUMIFS(Z$19:Z$58,$C$19:$C$58,"Rentals",$D$19:$D$58,"Legacy")</f>
        <v>145.397764856674</v>
      </c>
      <c r="AA70" s="28" cm="1">
        <f t="array" ref="AA70">G70+SUMPRODUCT(IF($U$63:$U$102="Rentals",IF($V$63:$V$102="Legacy",IF($C$19:$C$58="Rentals",IF($D$19:$D$58="Legacy",G$63:G$102*AA$19:AA$58)))))/SUMIFS(AA$19:AA$58,$C$19:$C$58,"Rentals",$D$19:$D$58,"Legacy")</f>
        <v>176.64207916096501</v>
      </c>
      <c r="AB70" s="28" cm="1">
        <f t="array" ref="AB70">H70+SUMPRODUCT(IF($U$63:$U$102="Rentals",IF($V$63:$V$102="Legacy",IF($C$19:$C$58="Rentals",IF($D$19:$D$58="Legacy",H$63:H$102*AB$19:AB$58)))))/SUMIFS(AB$19:AB$58,$C$19:$C$58,"Rentals",$D$19:$D$58,"Legacy")</f>
        <v>169.44592907072598</v>
      </c>
      <c r="AC70" s="28" cm="1">
        <f t="array" ref="AC70">I70+SUMPRODUCT(IF($U$63:$U$102="Rentals",IF($V$63:$V$102="Legacy",IF($C$19:$C$58="Rentals",IF($D$19:$D$58="Legacy",I$63:I$102*AC$19:AC$58)))))/SUMIFS(AC$19:AC$58,$C$19:$C$58,"Rentals",$D$19:$D$58,"Legacy")</f>
        <v>175.40091166866202</v>
      </c>
      <c r="AD70" s="28" cm="1">
        <f t="array" ref="AD70">J70+SUMPRODUCT(IF($U$63:$U$102="Rentals",IF($V$63:$V$102="Legacy",IF($C$19:$C$58="Rentals",IF($D$19:$D$58="Legacy",J$63:J$102*AD$19:AD$58)))))/SUMIFS(AD$19:AD$58,$C$19:$C$58,"Rentals",$D$19:$D$58,"Legacy")</f>
        <v>184.95990666767557</v>
      </c>
      <c r="AE70" s="28" cm="1">
        <f t="array" ref="AE70">K70+SUMPRODUCT(IF($U$63:$U$102="Rentals",IF($V$63:$V$102="Legacy",IF($C$19:$C$58="Rentals",IF($D$19:$D$58="Legacy",K$63:K$102*AE$19:AE$58)))))/SUMIFS(AE$19:AE$58,$C$19:$C$58,"Rentals",$D$19:$D$58,"Legacy")</f>
        <v>180.46960298982498</v>
      </c>
      <c r="AF70" s="28" cm="1">
        <f t="array" ref="AF70">L70+SUMPRODUCT(IF($U$63:$U$102="Rentals",IF($V$63:$V$102="Legacy",IF($C$19:$C$58="Rentals",IF($D$19:$D$58="Legacy",L$63:L$102*AF$19:AF$58)))))/SUMIFS(AF$19:AF$58,$C$19:$C$58,"Rentals",$D$19:$D$58,"Legacy")</f>
        <v>183.09379856242367</v>
      </c>
      <c r="AG70" s="28" cm="1">
        <f t="array" ref="AG70">M70+SUMPRODUCT(IF($U$63:$U$102="Rentals",IF($V$63:$V$102="Legacy",IF($C$19:$C$58="Rentals",IF($D$19:$D$58="Legacy",M$63:M$102*AG$19:AG$58)))))/SUMIFS(AG$19:AG$58,$C$19:$C$58,"Rentals",$D$19:$D$58,"Legacy")</f>
        <v>188.00424224831124</v>
      </c>
      <c r="AH70" s="28" cm="1">
        <f t="array" ref="AH70">N70+SUMPRODUCT(IF($U$63:$U$102="Rentals",IF($V$63:$V$102="Legacy",IF($C$19:$C$58="Rentals",IF($D$19:$D$58="Legacy",N$63:N$102*AH$19:AH$58)))))/SUMIFS(AH$19:AH$58,$C$19:$C$58,"Rentals",$D$19:$D$58,"Legacy")</f>
        <v>198.0866579870131</v>
      </c>
      <c r="AI70" s="28" cm="1">
        <f t="array" ref="AI70">O70+SUMPRODUCT(IF($U$63:$U$102="Rentals",IF($V$63:$V$102="Legacy",IF($C$19:$C$58="Rentals",IF($D$19:$D$58="Legacy",O$63:O$102*AI$19:AI$58)))))/SUMIFS(AI$19:AI$58,$C$19:$C$58,"Rentals",$D$19:$D$58,"Legacy")</f>
        <v>343.92130363514059</v>
      </c>
      <c r="AJ70" s="28" cm="1">
        <f t="array" ref="AJ70">P70+SUMPRODUCT(IF($U$63:$U$102="Rentals",IF($V$63:$V$102="Legacy",IF($C$19:$C$58="Rentals",IF($D$19:$D$58="Legacy",P$63:P$102*AJ$19:AJ$58)))))/SUMIFS(AJ$19:AJ$58,$C$19:$C$58,"Rentals",$D$19:$D$58,"Legacy")</f>
        <v>327.08542962805024</v>
      </c>
      <c r="AK70" s="28" cm="1">
        <f t="array" ref="AK70">Q70+IF(SUM(AK20:AK59)=0,0,SUMPRODUCT(IF($U$63:$U$102="Rentals",IF($V$63:$V$102="Legacy",IF($C$19:$C$58="Rentals",IF($D$19:$D$58="Legacy",Q$63:Q$102*AK$19:AK$58)))))/SUMIFS(AK$19:AK$58,$C$19:$C$58,"Rentals",$D$19:$D$58,"Legacy"))</f>
        <v>0</v>
      </c>
      <c r="AL70" s="28" cm="1">
        <f t="array" ref="AL70">R70+IF(SUM(AL20:AL59)=0,0,SUMPRODUCT(IF($U$63:$U$102="Rentals",IF($V$63:$V$102="Legacy",IF($C$19:$C$58="Rentals",IF($D$19:$D$58="Legacy",R$63:R$102*AL$19:AL$58)))))/SUMIFS(AL$19:AL$58,$C$19:$C$58,"Rentals",$D$19:$D$58,"Legacy"))</f>
        <v>0</v>
      </c>
      <c r="AM70" s="28" cm="1">
        <f t="array" ref="AM70">S70+IF(SUM(AM20:AM59)=0,0,SUMPRODUCT(IF($U$63:$U$102="Rentals",IF($V$63:$V$102="Legacy",IF($C$19:$C$58="Rentals",IF($D$19:$D$58="Legacy",S$63:S$102*AM$19:AM$58)))))/SUMIFS(AM$19:AM$58,$C$19:$C$58,"Rentals",$D$19:$D$58,"Legacy"))</f>
        <v>0</v>
      </c>
      <c r="AN70" s="28"/>
      <c r="AP70" t="str">
        <v/>
      </c>
      <c r="AQ70" t="s">
        <v>331</v>
      </c>
      <c r="AR70" s="109">
        <f t="shared" si="34"/>
        <v>44.177487566778908</v>
      </c>
      <c r="AS70">
        <f t="shared" si="29"/>
        <v>28497.782901086506</v>
      </c>
    </row>
    <row r="71" spans="1:45" ht="14.65" thickBot="1" x14ac:dyDescent="0.5">
      <c r="A71" s="9" t="str">
        <v>WX310</v>
      </c>
      <c r="B71" t="s">
        <v>283</v>
      </c>
      <c r="C71" s="25">
        <f>IF($B$2="Discounted",INDEX('Top Down inputs'!$D$50:$F$89,MATCH($A71,'Top Down inputs'!$A$50:$A$89,0),MATCH('Copper Weighted Price'!$B$62,'Top Down inputs'!$D$47:$F$47,0)),INDEX('Top Down inputs'!$D$5:$F$44,MATCH($A71,'Top Down inputs'!$A$5:$A$44,0),MATCH('Copper Weighted Price'!$B$62,'Top Down inputs'!$D$2:$F$2,0)))</f>
        <v>6.5000000000000002E-2</v>
      </c>
      <c r="D71" s="13">
        <f>IF($B$2="Headline",INDEX('Top Down inputs'!$J$5:$J$44,MATCH($A71,'Top Down inputs'!$H$5:$H$44,0)),INDEX('Top Down inputs'!$J$50:$J$89,MATCH($A71,'Top Down inputs'!$H$50:$H$89,0)))</f>
        <v>91.914304356048433</v>
      </c>
      <c r="E71" s="183">
        <v>62.487361804185809</v>
      </c>
      <c r="F71" s="183">
        <v>83.588090030846729</v>
      </c>
      <c r="G71" s="183">
        <v>78.954409742235526</v>
      </c>
      <c r="H71" s="19">
        <f>INDEX([4]StartPrices!$Q$10:$Q$609,MATCH($A71,[4]StartPrices!$B$10:$B$609,0))</f>
        <v>71.583575649616606</v>
      </c>
      <c r="I71" s="19">
        <f>INDEX([4]StartPrices!$U$10:$U$609,MATCH($A71,[4]StartPrices!$B$10:$B$609,0))</f>
        <v>97.55806370776628</v>
      </c>
      <c r="J71" s="30">
        <f t="shared" si="26"/>
        <v>99.894604543328214</v>
      </c>
      <c r="K71" s="30">
        <f t="shared" ref="K71:N71" si="37">J71*(1+($C71+K$62))</f>
        <v>108.37923079673263</v>
      </c>
      <c r="L71" s="30">
        <f t="shared" si="37"/>
        <v>117.69522767052879</v>
      </c>
      <c r="M71" s="30">
        <f t="shared" si="37"/>
        <v>127.7104842488651</v>
      </c>
      <c r="N71" s="30">
        <f t="shared" si="37"/>
        <v>138.56573063340414</v>
      </c>
      <c r="O71" s="103">
        <f t="shared" si="23"/>
        <v>0</v>
      </c>
      <c r="P71" s="103">
        <f t="shared" si="28"/>
        <v>0</v>
      </c>
      <c r="Q71" s="103">
        <f t="shared" si="28"/>
        <v>0</v>
      </c>
      <c r="R71" s="103">
        <f t="shared" si="28"/>
        <v>0</v>
      </c>
      <c r="S71" s="103">
        <f t="shared" si="28"/>
        <v>0</v>
      </c>
      <c r="U71" s="9" t="s">
        <v>275</v>
      </c>
      <c r="V71" s="9" t="s">
        <v>265</v>
      </c>
      <c r="W71" s="9" t="str">
        <v>WX310</v>
      </c>
      <c r="X71" t="s">
        <v>283</v>
      </c>
      <c r="Y71" s="28" cm="1">
        <f t="array" ref="Y71">E71+SUMPRODUCT(IF($U$63:$U$102="Rentals",IF($V$63:$V$102="Legacy",IF($C$19:$C$58="Rentals",IF($D$19:$D$58="Legacy",E$63:E$102*Y$19:Y$58)))))/SUMIFS(Y$19:Y$58,$C$19:$C$58,"Rentals",$D$19:$D$58,"Legacy")</f>
        <v>137.49428180719576</v>
      </c>
      <c r="Z71" s="28" cm="1">
        <f t="array" ref="Z71">F71+SUMPRODUCT(IF($U$63:$U$102="Rentals",IF($V$63:$V$102="Legacy",IF($C$19:$C$58="Rentals",IF($D$19:$D$58="Legacy",F$63:F$102*Z$19:Z$58)))))/SUMIFS(Z$19:Z$58,$C$19:$C$58,"Rentals",$D$19:$D$58,"Legacy")</f>
        <v>172.89000964341452</v>
      </c>
      <c r="AA71" s="28" cm="1">
        <f t="array" ref="AA71">G71+SUMPRODUCT(IF($U$63:$U$102="Rentals",IF($V$63:$V$102="Legacy",IF($C$19:$C$58="Rentals",IF($D$19:$D$58="Legacy",G$63:G$102*AA$19:AA$58)))))/SUMIFS(AA$19:AA$58,$C$19:$C$58,"Rentals",$D$19:$D$58,"Legacy")</f>
        <v>189.38072576151654</v>
      </c>
      <c r="AB71" s="28" cm="1">
        <f t="array" ref="AB71">H71+SUMPRODUCT(IF($U$63:$U$102="Rentals",IF($V$63:$V$102="Legacy",IF($C$19:$C$58="Rentals",IF($D$19:$D$58="Legacy",H$63:H$102*AB$19:AB$58)))))/SUMIFS(AB$19:AB$58,$C$19:$C$58,"Rentals",$D$19:$D$58,"Legacy")</f>
        <v>170.84180247981934</v>
      </c>
      <c r="AC71" s="28" cm="1">
        <f t="array" ref="AC71">I71+SUMPRODUCT(IF($U$63:$U$102="Rentals",IF($V$63:$V$102="Legacy",IF($C$19:$C$58="Rentals",IF($D$19:$D$58="Legacy",I$63:I$102*AC$19:AC$58)))))/SUMIFS(AC$19:AC$58,$C$19:$C$58,"Rentals",$D$19:$D$58,"Legacy")</f>
        <v>206.73893843112899</v>
      </c>
      <c r="AD71" s="28" cm="1">
        <f t="array" ref="AD71">J71+SUMPRODUCT(IF($U$63:$U$102="Rentals",IF($V$63:$V$102="Legacy",IF($C$19:$C$58="Rentals",IF($D$19:$D$58="Legacy",J$63:J$102*AD$19:AD$58)))))/SUMIFS(AD$19:AD$58,$C$19:$C$58,"Rentals",$D$19:$D$58,"Legacy")</f>
        <v>200.60336317662356</v>
      </c>
      <c r="AE71" s="28" cm="1">
        <f t="array" ref="AE71">K71+SUMPRODUCT(IF($U$63:$U$102="Rentals",IF($V$63:$V$102="Legacy",IF($C$19:$C$58="Rentals",IF($D$19:$D$58="Legacy",K$63:K$102*AE$19:AE$58)))))/SUMIFS(AE$19:AE$58,$C$19:$C$58,"Rentals",$D$19:$D$58,"Legacy")</f>
        <v>197.44174869471692</v>
      </c>
      <c r="AF71" s="28" cm="1">
        <f t="array" ref="AF71">L71+SUMPRODUCT(IF($U$63:$U$102="Rentals",IF($V$63:$V$102="Legacy",IF($C$19:$C$58="Rentals",IF($D$19:$D$58="Legacy",L$63:L$102*AF$19:AF$58)))))/SUMIFS(AF$19:AF$58,$C$19:$C$58,"Rentals",$D$19:$D$58,"Legacy")</f>
        <v>201.52482578147703</v>
      </c>
      <c r="AG71" s="28" cm="1">
        <f t="array" ref="AG71">M71+SUMPRODUCT(IF($U$63:$U$102="Rentals",IF($V$63:$V$102="Legacy",IF($C$19:$C$58="Rentals",IF($D$19:$D$58="Legacy",M$63:M$102*AG$19:AG$58)))))/SUMIFS(AG$19:AG$58,$C$19:$C$58,"Rentals",$D$19:$D$58,"Legacy")</f>
        <v>208.00365478132022</v>
      </c>
      <c r="AH71" s="28" cm="1">
        <f t="array" ref="AH71">N71+SUMPRODUCT(IF($U$63:$U$102="Rentals",IF($V$63:$V$102="Legacy",IF($C$19:$C$58="Rentals",IF($D$19:$D$58="Legacy",N$63:N$102*AH$19:AH$58)))))/SUMIFS(AH$19:AH$58,$C$19:$C$58,"Rentals",$D$19:$D$58,"Legacy")</f>
        <v>219.78599791336586</v>
      </c>
      <c r="AI71" s="28" cm="1">
        <f t="array" ref="AI71">O71+SUMPRODUCT(IF($U$63:$U$102="Rentals",IF($V$63:$V$102="Legacy",IF($C$19:$C$58="Rentals",IF($D$19:$D$58="Legacy",O$63:O$102*AI$19:AI$58)))))/SUMIFS(AI$19:AI$58,$C$19:$C$58,"Rentals",$D$19:$D$58,"Legacy")</f>
        <v>343.92130363514059</v>
      </c>
      <c r="AJ71" s="28" cm="1">
        <f t="array" ref="AJ71">P71+SUMPRODUCT(IF($U$63:$U$102="Rentals",IF($V$63:$V$102="Legacy",IF($C$19:$C$58="Rentals",IF($D$19:$D$58="Legacy",P$63:P$102*AJ$19:AJ$58)))))/SUMIFS(AJ$19:AJ$58,$C$19:$C$58,"Rentals",$D$19:$D$58,"Legacy")</f>
        <v>327.08542962805024</v>
      </c>
      <c r="AK71" s="28" cm="1">
        <f t="array" ref="AK71">Q71+IF(SUM(AK21:AK60)=0,0,SUMPRODUCT(IF($U$63:$U$102="Rentals",IF($V$63:$V$102="Legacy",IF($C$19:$C$58="Rentals",IF($D$19:$D$58="Legacy",Q$63:Q$102*AK$19:AK$58)))))/SUMIFS(AK$19:AK$58,$C$19:$C$58,"Rentals",$D$19:$D$58,"Legacy"))</f>
        <v>0</v>
      </c>
      <c r="AL71" s="28" cm="1">
        <f t="array" ref="AL71">R71+IF(SUM(AL21:AL60)=0,0,SUMPRODUCT(IF($U$63:$U$102="Rentals",IF($V$63:$V$102="Legacy",IF($C$19:$C$58="Rentals",IF($D$19:$D$58="Legacy",R$63:R$102*AL$19:AL$58)))))/SUMIFS(AL$19:AL$58,$C$19:$C$58,"Rentals",$D$19:$D$58,"Legacy"))</f>
        <v>0</v>
      </c>
      <c r="AM71" s="28" cm="1">
        <f t="array" ref="AM71">S71+IF(SUM(AM21:AM60)=0,0,SUMPRODUCT(IF($U$63:$U$102="Rentals",IF($V$63:$V$102="Legacy",IF($C$19:$C$58="Rentals",IF($D$19:$D$58="Legacy",S$63:S$102*AM$19:AM$58)))))/SUMIFS(AM$19:AM$58,$C$19:$C$58,"Rentals",$D$19:$D$58,"Legacy"))</f>
        <v>0</v>
      </c>
      <c r="AN71" s="28"/>
      <c r="AP71" t="str">
        <v/>
      </c>
      <c r="AQ71" t="s">
        <v>332</v>
      </c>
      <c r="AR71" s="109">
        <f t="shared" si="34"/>
        <v>41.566771189055672</v>
      </c>
      <c r="AS71">
        <f t="shared" si="29"/>
        <v>31781.634655907452</v>
      </c>
    </row>
    <row r="72" spans="1:45" ht="14.65" thickBot="1" x14ac:dyDescent="0.5">
      <c r="A72" s="9" t="str">
        <v>WX311</v>
      </c>
      <c r="B72" t="s">
        <v>284</v>
      </c>
      <c r="C72" s="25">
        <f>IF($B$2="Discounted",INDEX('Top Down inputs'!$D$50:$F$89,MATCH($A72,'Top Down inputs'!$A$50:$A$89,0),MATCH('Copper Weighted Price'!$B$62,'Top Down inputs'!$D$47:$F$47,0)),INDEX('Top Down inputs'!$D$5:$F$44,MATCH($A72,'Top Down inputs'!$A$5:$A$44,0),MATCH('Copper Weighted Price'!$B$62,'Top Down inputs'!$D$2:$F$2,0)))</f>
        <v>6.5000000000000002E-2</v>
      </c>
      <c r="D72" s="13">
        <f>IF($B$2="Headline",INDEX('Top Down inputs'!$J$5:$J$44,MATCH($A72,'Top Down inputs'!$H$5:$H$44,0)),INDEX('Top Down inputs'!$J$50:$J$89,MATCH($A72,'Top Down inputs'!$H$50:$H$89,0)))</f>
        <v>84.734806701698801</v>
      </c>
      <c r="E72" s="183">
        <v>49.862846956002535</v>
      </c>
      <c r="F72" s="183">
        <v>58.733926610756555</v>
      </c>
      <c r="G72" s="183">
        <v>74.81387309276414</v>
      </c>
      <c r="H72" s="19">
        <f>INDEX([4]StartPrices!$Q$10:$Q$609,MATCH($A72,[4]StartPrices!$B$10:$B$609,0))</f>
        <v>62.740901542756454</v>
      </c>
      <c r="I72" s="19">
        <f>INDEX([4]StartPrices!$U$10:$U$609,MATCH($A72,[4]StartPrices!$B$10:$B$609,0))</f>
        <v>71.870945717078158</v>
      </c>
      <c r="J72" s="30">
        <f t="shared" si="26"/>
        <v>92.091759447282897</v>
      </c>
      <c r="K72" s="30">
        <f t="shared" ref="K72:N72" si="38">J72*(1+($C72+K$62))</f>
        <v>99.913644958524017</v>
      </c>
      <c r="L72" s="30">
        <f t="shared" si="38"/>
        <v>108.5019620857134</v>
      </c>
      <c r="M72" s="30">
        <f t="shared" si="38"/>
        <v>117.7349191991771</v>
      </c>
      <c r="N72" s="30">
        <f t="shared" si="38"/>
        <v>127.74225386310638</v>
      </c>
      <c r="O72" s="103">
        <f t="shared" si="23"/>
        <v>0</v>
      </c>
      <c r="P72" s="103">
        <f t="shared" si="28"/>
        <v>0</v>
      </c>
      <c r="Q72" s="103">
        <f t="shared" si="28"/>
        <v>0</v>
      </c>
      <c r="R72" s="103">
        <f t="shared" si="28"/>
        <v>0</v>
      </c>
      <c r="S72" s="103">
        <f t="shared" si="28"/>
        <v>0</v>
      </c>
      <c r="U72" s="9" t="s">
        <v>275</v>
      </c>
      <c r="V72" s="9" t="s">
        <v>265</v>
      </c>
      <c r="W72" s="9" t="str">
        <v>WX311</v>
      </c>
      <c r="X72" t="s">
        <v>284</v>
      </c>
      <c r="Y72" s="28" cm="1">
        <f t="array" ref="Y72">E72+SUMPRODUCT(IF($U$63:$U$102="Rentals",IF($V$63:$V$102="Legacy",IF($C$19:$C$58="Rentals",IF($D$19:$D$58="Legacy",E$63:E$102*Y$19:Y$58)))))/SUMIFS(Y$19:Y$58,$C$19:$C$58,"Rentals",$D$19:$D$58,"Legacy")</f>
        <v>124.86976695901248</v>
      </c>
      <c r="Z72" s="28" cm="1">
        <f t="array" ref="Z72">F72+SUMPRODUCT(IF($U$63:$U$102="Rentals",IF($V$63:$V$102="Legacy",IF($C$19:$C$58="Rentals",IF($D$19:$D$58="Legacy",F$63:F$102*Z$19:Z$58)))))/SUMIFS(Z$19:Z$58,$C$19:$C$58,"Rentals",$D$19:$D$58,"Legacy")</f>
        <v>148.03584622332434</v>
      </c>
      <c r="AA72" s="28" cm="1">
        <f t="array" ref="AA72">G72+SUMPRODUCT(IF($U$63:$U$102="Rentals",IF($V$63:$V$102="Legacy",IF($C$19:$C$58="Rentals",IF($D$19:$D$58="Legacy",G$63:G$102*AA$19:AA$58)))))/SUMIFS(AA$19:AA$58,$C$19:$C$58,"Rentals",$D$19:$D$58,"Legacy")</f>
        <v>185.24018911204519</v>
      </c>
      <c r="AB72" s="28" cm="1">
        <f t="array" ref="AB72">H72+SUMPRODUCT(IF($U$63:$U$102="Rentals",IF($V$63:$V$102="Legacy",IF($C$19:$C$58="Rentals",IF($D$19:$D$58="Legacy",H$63:H$102*AB$19:AB$58)))))/SUMIFS(AB$19:AB$58,$C$19:$C$58,"Rentals",$D$19:$D$58,"Legacy")</f>
        <v>161.99912837295918</v>
      </c>
      <c r="AC72" s="28" cm="1">
        <f t="array" ref="AC72">I72+SUMPRODUCT(IF($U$63:$U$102="Rentals",IF($V$63:$V$102="Legacy",IF($C$19:$C$58="Rentals",IF($D$19:$D$58="Legacy",I$63:I$102*AC$19:AC$58)))))/SUMIFS(AC$19:AC$58,$C$19:$C$58,"Rentals",$D$19:$D$58,"Legacy")</f>
        <v>181.05182044044085</v>
      </c>
      <c r="AD72" s="28" cm="1">
        <f t="array" ref="AD72">J72+SUMPRODUCT(IF($U$63:$U$102="Rentals",IF($V$63:$V$102="Legacy",IF($C$19:$C$58="Rentals",IF($D$19:$D$58="Legacy",J$63:J$102*AD$19:AD$58)))))/SUMIFS(AD$19:AD$58,$C$19:$C$58,"Rentals",$D$19:$D$58,"Legacy")</f>
        <v>192.80051808057823</v>
      </c>
      <c r="AE72" s="28" cm="1">
        <f t="array" ref="AE72">K72+SUMPRODUCT(IF($U$63:$U$102="Rentals",IF($V$63:$V$102="Legacy",IF($C$19:$C$58="Rentals",IF($D$19:$D$58="Legacy",K$63:K$102*AE$19:AE$58)))))/SUMIFS(AE$19:AE$58,$C$19:$C$58,"Rentals",$D$19:$D$58,"Legacy")</f>
        <v>188.97616285650832</v>
      </c>
      <c r="AF72" s="28" cm="1">
        <f t="array" ref="AF72">L72+SUMPRODUCT(IF($U$63:$U$102="Rentals",IF($V$63:$V$102="Legacy",IF($C$19:$C$58="Rentals",IF($D$19:$D$58="Legacy",L$63:L$102*AF$19:AF$58)))))/SUMIFS(AF$19:AF$58,$C$19:$C$58,"Rentals",$D$19:$D$58,"Legacy")</f>
        <v>192.33156019666166</v>
      </c>
      <c r="AG72" s="28" cm="1">
        <f t="array" ref="AG72">M72+SUMPRODUCT(IF($U$63:$U$102="Rentals",IF($V$63:$V$102="Legacy",IF($C$19:$C$58="Rentals",IF($D$19:$D$58="Legacy",M$63:M$102*AG$19:AG$58)))))/SUMIFS(AG$19:AG$58,$C$19:$C$58,"Rentals",$D$19:$D$58,"Legacy")</f>
        <v>198.02808973163221</v>
      </c>
      <c r="AH72" s="28" cm="1">
        <f t="array" ref="AH72">N72+SUMPRODUCT(IF($U$63:$U$102="Rentals",IF($V$63:$V$102="Legacy",IF($C$19:$C$58="Rentals",IF($D$19:$D$58="Legacy",N$63:N$102*AH$19:AH$58)))))/SUMIFS(AH$19:AH$58,$C$19:$C$58,"Rentals",$D$19:$D$58,"Legacy")</f>
        <v>208.9625211430681</v>
      </c>
      <c r="AI72" s="28" cm="1">
        <f t="array" ref="AI72">O72+SUMPRODUCT(IF($U$63:$U$102="Rentals",IF($V$63:$V$102="Legacy",IF($C$19:$C$58="Rentals",IF($D$19:$D$58="Legacy",O$63:O$102*AI$19:AI$58)))))/SUMIFS(AI$19:AI$58,$C$19:$C$58,"Rentals",$D$19:$D$58,"Legacy")</f>
        <v>343.92130363514059</v>
      </c>
      <c r="AJ72" s="28" cm="1">
        <f t="array" ref="AJ72">P72+SUMPRODUCT(IF($U$63:$U$102="Rentals",IF($V$63:$V$102="Legacy",IF($C$19:$C$58="Rentals",IF($D$19:$D$58="Legacy",P$63:P$102*AJ$19:AJ$58)))))/SUMIFS(AJ$19:AJ$58,$C$19:$C$58,"Rentals",$D$19:$D$58,"Legacy")</f>
        <v>327.08542962805024</v>
      </c>
      <c r="AK72" s="28" cm="1">
        <f t="array" ref="AK72">Q72+IF(SUM(AK22:AK61)=0,0,SUMPRODUCT(IF($U$63:$U$102="Rentals",IF($V$63:$V$102="Legacy",IF($C$19:$C$58="Rentals",IF($D$19:$D$58="Legacy",Q$63:Q$102*AK$19:AK$58)))))/SUMIFS(AK$19:AK$58,$C$19:$C$58,"Rentals",$D$19:$D$58,"Legacy"))</f>
        <v>0</v>
      </c>
      <c r="AL72" s="28" cm="1">
        <f t="array" ref="AL72">R72+IF(SUM(AL22:AL61)=0,0,SUMPRODUCT(IF($U$63:$U$102="Rentals",IF($V$63:$V$102="Legacy",IF($C$19:$C$58="Rentals",IF($D$19:$D$58="Legacy",R$63:R$102*AL$19:AL$58)))))/SUMIFS(AL$19:AL$58,$C$19:$C$58,"Rentals",$D$19:$D$58,"Legacy"))</f>
        <v>0</v>
      </c>
      <c r="AM72" s="28" cm="1">
        <f t="array" ref="AM72">S72+IF(SUM(AM22:AM61)=0,0,SUMPRODUCT(IF($U$63:$U$102="Rentals",IF($V$63:$V$102="Legacy",IF($C$19:$C$58="Rentals",IF($D$19:$D$58="Legacy",S$63:S$102*AM$19:AM$58)))))/SUMIFS(AM$19:AM$58,$C$19:$C$58,"Rentals",$D$19:$D$58,"Legacy"))</f>
        <v>0</v>
      </c>
      <c r="AN72" s="28"/>
      <c r="AP72" t="str">
        <v/>
      </c>
      <c r="AQ72" t="s">
        <v>333</v>
      </c>
      <c r="AR72" s="109">
        <f t="shared" si="34"/>
        <v>40.614244207790321</v>
      </c>
      <c r="AS72">
        <f t="shared" si="29"/>
        <v>55693.195225537675</v>
      </c>
    </row>
    <row r="73" spans="1:45" ht="14.65" thickBot="1" x14ac:dyDescent="0.5">
      <c r="A73" s="9" t="str">
        <v>WN302</v>
      </c>
      <c r="B73" t="s">
        <v>285</v>
      </c>
      <c r="C73" s="25">
        <f>IF($B$2="Discounted",INDEX('Top Down inputs'!$D$50:$F$89,MATCH($A73,'Top Down inputs'!$A$50:$A$89,0),MATCH('Copper Weighted Price'!$B$62,'Top Down inputs'!$D$47:$F$47,0)),INDEX('Top Down inputs'!$D$5:$F$44,MATCH($A73,'Top Down inputs'!$A$5:$A$44,0),MATCH('Copper Weighted Price'!$B$62,'Top Down inputs'!$D$2:$F$2,0)))</f>
        <v>0.77500000000000002</v>
      </c>
      <c r="D73" s="13">
        <f>IF($B$2="Headline",INDEX('Top Down inputs'!$J$5:$J$44,MATCH($A73,'Top Down inputs'!$H$5:$H$44,0)),INDEX('Top Down inputs'!$J$50:$J$89,MATCH($A73,'Top Down inputs'!$H$50:$H$89,0)))</f>
        <v>122.7106396118904</v>
      </c>
      <c r="E73" s="183">
        <v>99.543068466897637</v>
      </c>
      <c r="F73" s="183">
        <v>92.092235599505486</v>
      </c>
      <c r="G73" s="183">
        <v>118.95722997866923</v>
      </c>
      <c r="H73" s="19">
        <f>INDEX([4]StartPrices!$Q$10:$Q$609,MATCH($A73,[4]StartPrices!$B$10:$B$609,0))</f>
        <v>95.951195902547084</v>
      </c>
      <c r="I73" s="19">
        <f>INDEX([4]StartPrices!$U$10:$U$609,MATCH($A73,[4]StartPrices!$B$10:$B$609,0))</f>
        <v>124.85281966200844</v>
      </c>
      <c r="J73" s="30">
        <f t="shared" si="26"/>
        <v>220.48933236183532</v>
      </c>
      <c r="K73" s="30">
        <f t="shared" ref="K73:N73" si="39">J73*(1+($C73+K$62))</f>
        <v>395.76419198247856</v>
      </c>
      <c r="L73" s="30">
        <f t="shared" si="39"/>
        <v>710.77562917477883</v>
      </c>
      <c r="M73" s="30">
        <f t="shared" si="39"/>
        <v>1275.9096643955218</v>
      </c>
      <c r="N73" s="30">
        <f t="shared" si="39"/>
        <v>2290.2564011787081</v>
      </c>
      <c r="O73" s="103">
        <f t="shared" si="23"/>
        <v>0</v>
      </c>
      <c r="P73" s="103">
        <f t="shared" si="28"/>
        <v>0</v>
      </c>
      <c r="Q73" s="103">
        <f t="shared" si="28"/>
        <v>0</v>
      </c>
      <c r="R73" s="103">
        <f t="shared" si="28"/>
        <v>0</v>
      </c>
      <c r="S73" s="103">
        <f t="shared" si="28"/>
        <v>0</v>
      </c>
      <c r="U73" s="9" t="s">
        <v>3</v>
      </c>
      <c r="V73" s="9" t="s">
        <v>265</v>
      </c>
      <c r="W73" s="9" t="str">
        <v>WN302</v>
      </c>
      <c r="X73" t="s">
        <v>285</v>
      </c>
      <c r="Y73" s="28">
        <f>E73</f>
        <v>99.543068466897637</v>
      </c>
      <c r="Z73" s="28">
        <f t="shared" ref="Z73:AM73" si="40">F73</f>
        <v>92.092235599505486</v>
      </c>
      <c r="AA73" s="28">
        <f t="shared" si="40"/>
        <v>118.95722997866923</v>
      </c>
      <c r="AB73" s="28">
        <f t="shared" si="40"/>
        <v>95.951195902547084</v>
      </c>
      <c r="AC73" s="28">
        <f t="shared" si="40"/>
        <v>124.85281966200844</v>
      </c>
      <c r="AD73" s="28">
        <f t="shared" si="40"/>
        <v>220.48933236183532</v>
      </c>
      <c r="AE73" s="28">
        <f t="shared" si="40"/>
        <v>395.76419198247856</v>
      </c>
      <c r="AF73" s="28">
        <f t="shared" si="40"/>
        <v>710.77562917477883</v>
      </c>
      <c r="AG73" s="28">
        <f t="shared" si="40"/>
        <v>1275.9096643955218</v>
      </c>
      <c r="AH73" s="28">
        <f t="shared" si="40"/>
        <v>2290.2564011787081</v>
      </c>
      <c r="AI73" s="28">
        <f t="shared" si="40"/>
        <v>0</v>
      </c>
      <c r="AJ73" s="28">
        <f t="shared" si="40"/>
        <v>0</v>
      </c>
      <c r="AK73" s="28">
        <f t="shared" si="40"/>
        <v>0</v>
      </c>
      <c r="AL73" s="28">
        <f t="shared" si="40"/>
        <v>0</v>
      </c>
      <c r="AM73" s="28">
        <f t="shared" si="40"/>
        <v>0</v>
      </c>
      <c r="AP73" t="str">
        <v>WN302</v>
      </c>
      <c r="AQ73" t="s">
        <v>334</v>
      </c>
      <c r="AR73" s="109">
        <f t="shared" si="34"/>
        <v>45.276715335996528</v>
      </c>
      <c r="AS73">
        <f t="shared" si="29"/>
        <v>3373.7309046304217</v>
      </c>
    </row>
    <row r="74" spans="1:45" ht="14.65" thickBot="1" x14ac:dyDescent="0.5">
      <c r="A74" s="9" t="str">
        <v>WX312</v>
      </c>
      <c r="B74" t="s">
        <v>286</v>
      </c>
      <c r="C74" s="25">
        <f>IF($B$2="Discounted",INDEX('Top Down inputs'!$D$50:$F$89,MATCH($A74,'Top Down inputs'!$A$50:$A$89,0),MATCH('Copper Weighted Price'!$B$62,'Top Down inputs'!$D$47:$F$47,0)),INDEX('Top Down inputs'!$D$5:$F$44,MATCH($A74,'Top Down inputs'!$A$5:$A$44,0),MATCH('Copper Weighted Price'!$B$62,'Top Down inputs'!$D$2:$F$2,0)))</f>
        <v>0.77500000000000002</v>
      </c>
      <c r="D74" s="13">
        <f>IF($B$2="Headline",INDEX('Top Down inputs'!$J$5:$J$44,MATCH($A74,'Top Down inputs'!$H$5:$H$44,0)),INDEX('Top Down inputs'!$J$50:$J$89,MATCH($A74,'Top Down inputs'!$H$50:$H$89,0)))</f>
        <v>125.61882004354661</v>
      </c>
      <c r="E74" s="183">
        <v>116.21335337007116</v>
      </c>
      <c r="F74" s="183">
        <v>77.742402294916545</v>
      </c>
      <c r="G74" s="183">
        <v>105.22768543318006</v>
      </c>
      <c r="H74" s="19">
        <f>INDEX([4]StartPrices!$Q$10:$Q$609,MATCH($A74,[4]StartPrices!$B$10:$B$609,0))</f>
        <v>109.59230515805507</v>
      </c>
      <c r="I74" s="19">
        <f>INDEX([4]StartPrices!$U$10:$U$609,MATCH($A74,[4]StartPrices!$B$10:$B$609,0))</f>
        <v>108.11122656405303</v>
      </c>
      <c r="J74" s="30">
        <f t="shared" si="26"/>
        <v>225.7148186260394</v>
      </c>
      <c r="K74" s="30">
        <f t="shared" ref="K74:N74" si="41">J74*(1+($C74+K$62))</f>
        <v>405.14360425116132</v>
      </c>
      <c r="L74" s="30">
        <f t="shared" si="41"/>
        <v>727.62065404468365</v>
      </c>
      <c r="M74" s="30">
        <f t="shared" si="41"/>
        <v>1306.1480816207265</v>
      </c>
      <c r="N74" s="30">
        <f t="shared" si="41"/>
        <v>2344.5343258187318</v>
      </c>
      <c r="O74" s="103">
        <f t="shared" si="23"/>
        <v>0</v>
      </c>
      <c r="P74" s="103">
        <f t="shared" si="28"/>
        <v>0</v>
      </c>
      <c r="Q74" s="103">
        <f t="shared" si="28"/>
        <v>0</v>
      </c>
      <c r="R74" s="103">
        <f t="shared" si="28"/>
        <v>0</v>
      </c>
      <c r="S74" s="103">
        <f t="shared" si="28"/>
        <v>0</v>
      </c>
      <c r="U74" s="9" t="s">
        <v>3</v>
      </c>
      <c r="V74" s="9" t="s">
        <v>265</v>
      </c>
      <c r="W74" s="9" t="str">
        <v>WX312</v>
      </c>
      <c r="X74" t="s">
        <v>286</v>
      </c>
      <c r="Y74" s="28">
        <f t="shared" ref="Y74:Y100" si="42">E74</f>
        <v>116.21335337007116</v>
      </c>
      <c r="Z74" s="28">
        <f t="shared" ref="Z74:Z101" si="43">F74</f>
        <v>77.742402294916545</v>
      </c>
      <c r="AA74" s="28">
        <f t="shared" ref="AA74:AA101" si="44">G74</f>
        <v>105.22768543318006</v>
      </c>
      <c r="AB74" s="28">
        <f t="shared" ref="AB74:AB101" si="45">H74</f>
        <v>109.59230515805507</v>
      </c>
      <c r="AC74" s="28">
        <f t="shared" ref="AC74:AC101" si="46">I74</f>
        <v>108.11122656405303</v>
      </c>
      <c r="AD74" s="28">
        <f t="shared" ref="AD74:AD101" si="47">J74</f>
        <v>225.7148186260394</v>
      </c>
      <c r="AE74" s="28">
        <f t="shared" ref="AE74:AE101" si="48">K74</f>
        <v>405.14360425116132</v>
      </c>
      <c r="AF74" s="28">
        <f t="shared" ref="AF74:AF101" si="49">L74</f>
        <v>727.62065404468365</v>
      </c>
      <c r="AG74" s="28">
        <f t="shared" ref="AG74:AG101" si="50">M74</f>
        <v>1306.1480816207265</v>
      </c>
      <c r="AH74" s="28">
        <f t="shared" ref="AH74:AH101" si="51">N74</f>
        <v>2344.5343258187318</v>
      </c>
      <c r="AI74" s="28">
        <f t="shared" ref="AI74:AI101" si="52">O74</f>
        <v>0</v>
      </c>
      <c r="AJ74" s="28">
        <f t="shared" ref="AJ74:AJ101" si="53">P74</f>
        <v>0</v>
      </c>
      <c r="AK74" s="28">
        <f t="shared" ref="AK74:AK101" si="54">Q74</f>
        <v>0</v>
      </c>
      <c r="AL74" s="28">
        <f t="shared" ref="AL74:AL101" si="55">R74</f>
        <v>0</v>
      </c>
      <c r="AM74" s="28">
        <f t="shared" ref="AM74:AM101" si="56">S74</f>
        <v>0</v>
      </c>
      <c r="AP74" t="str">
        <v>WX312</v>
      </c>
      <c r="AQ74" t="s">
        <v>335</v>
      </c>
      <c r="AR74" s="109">
        <f t="shared" si="34"/>
        <v>141.26175577181198</v>
      </c>
      <c r="AS74">
        <f t="shared" si="29"/>
        <v>4290.5731204407612</v>
      </c>
    </row>
    <row r="75" spans="1:45" ht="14.65" thickBot="1" x14ac:dyDescent="0.5">
      <c r="A75" s="9" t="str">
        <v>WX338</v>
      </c>
      <c r="B75" t="s">
        <v>287</v>
      </c>
      <c r="C75" s="25">
        <f>IF($B$2="Discounted",INDEX('Top Down inputs'!$D$50:$F$89,MATCH($A75,'Top Down inputs'!$A$50:$A$89,0),MATCH('Copper Weighted Price'!$B$62,'Top Down inputs'!$D$47:$F$47,0)),INDEX('Top Down inputs'!$D$5:$F$44,MATCH($A75,'Top Down inputs'!$A$5:$A$44,0),MATCH('Copper Weighted Price'!$B$62,'Top Down inputs'!$D$2:$F$2,0)))</f>
        <v>0.77500000000000002</v>
      </c>
      <c r="D75" s="13">
        <f>IF($B$2="Headline",INDEX('Top Down inputs'!$J$5:$J$44,MATCH($A75,'Top Down inputs'!$H$5:$H$44,0)),INDEX('Top Down inputs'!$J$50:$J$89,MATCH($A75,'Top Down inputs'!$H$50:$H$89,0)))</f>
        <v>113.12937660540808</v>
      </c>
      <c r="E75" s="183">
        <v>113.21479752300131</v>
      </c>
      <c r="F75" s="183">
        <v>99.33783104904586</v>
      </c>
      <c r="G75" s="183">
        <v>92.323124089314703</v>
      </c>
      <c r="H75" s="19">
        <f>INDEX([4]StartPrices!$Q$10:$Q$609,MATCH($A75,[4]StartPrices!$B$10:$B$609,0))</f>
        <v>97.879397113387384</v>
      </c>
      <c r="I75" s="19">
        <f>INDEX([4]StartPrices!$U$10:$U$609,MATCH($A75,[4]StartPrices!$B$10:$B$609,0))</f>
        <v>120.79796555692505</v>
      </c>
      <c r="J75" s="30">
        <f t="shared" ref="J75" si="57">D75*(1+($C75+J$62))</f>
        <v>203.27349606464</v>
      </c>
      <c r="K75" s="30">
        <f t="shared" ref="K75:N75" si="58">J75*(1+($C75+K$62))</f>
        <v>364.86287141300562</v>
      </c>
      <c r="L75" s="30">
        <f t="shared" si="58"/>
        <v>655.27817383381898</v>
      </c>
      <c r="M75" s="30">
        <f t="shared" si="58"/>
        <v>1176.2864686746714</v>
      </c>
      <c r="N75" s="30">
        <f t="shared" si="58"/>
        <v>2111.4328777957639</v>
      </c>
      <c r="O75" s="103">
        <f t="shared" si="23"/>
        <v>0</v>
      </c>
      <c r="P75" s="103">
        <f t="shared" si="28"/>
        <v>0</v>
      </c>
      <c r="Q75" s="103">
        <f t="shared" si="28"/>
        <v>0</v>
      </c>
      <c r="R75" s="103">
        <f t="shared" si="28"/>
        <v>0</v>
      </c>
      <c r="S75" s="103">
        <f t="shared" si="28"/>
        <v>0</v>
      </c>
      <c r="U75" s="9" t="s">
        <v>3</v>
      </c>
      <c r="V75" s="9" t="s">
        <v>265</v>
      </c>
      <c r="W75" s="9" t="str">
        <v>WX338</v>
      </c>
      <c r="X75" t="s">
        <v>287</v>
      </c>
      <c r="Y75" s="28">
        <f t="shared" si="42"/>
        <v>113.21479752300131</v>
      </c>
      <c r="Z75" s="28">
        <f t="shared" si="43"/>
        <v>99.33783104904586</v>
      </c>
      <c r="AA75" s="28">
        <f t="shared" si="44"/>
        <v>92.323124089314703</v>
      </c>
      <c r="AB75" s="28">
        <f t="shared" si="45"/>
        <v>97.879397113387384</v>
      </c>
      <c r="AC75" s="28">
        <f t="shared" si="46"/>
        <v>120.79796555692505</v>
      </c>
      <c r="AD75" s="28">
        <f t="shared" si="47"/>
        <v>203.27349606464</v>
      </c>
      <c r="AE75" s="28">
        <f t="shared" si="48"/>
        <v>364.86287141300562</v>
      </c>
      <c r="AF75" s="28">
        <f t="shared" si="49"/>
        <v>655.27817383381898</v>
      </c>
      <c r="AG75" s="28">
        <f t="shared" si="50"/>
        <v>1176.2864686746714</v>
      </c>
      <c r="AH75" s="28">
        <f t="shared" si="51"/>
        <v>2111.4328777957639</v>
      </c>
      <c r="AI75" s="28">
        <f t="shared" si="52"/>
        <v>0</v>
      </c>
      <c r="AJ75" s="28">
        <f t="shared" si="53"/>
        <v>0</v>
      </c>
      <c r="AK75" s="28">
        <f t="shared" si="54"/>
        <v>0</v>
      </c>
      <c r="AL75" s="28">
        <f t="shared" si="55"/>
        <v>0</v>
      </c>
      <c r="AM75" s="28">
        <f t="shared" si="56"/>
        <v>0</v>
      </c>
      <c r="AP75" t="str">
        <v>WX338</v>
      </c>
      <c r="AQ75" t="s">
        <v>336</v>
      </c>
      <c r="AR75" s="109">
        <f t="shared" si="34"/>
        <v>50.984995674377856</v>
      </c>
      <c r="AS75">
        <f t="shared" si="29"/>
        <v>62510.061393806565</v>
      </c>
    </row>
    <row r="76" spans="1:45" ht="14.65" thickBot="1" x14ac:dyDescent="0.5">
      <c r="A76" s="9" t="str">
        <v>WN336</v>
      </c>
      <c r="B76" t="s">
        <v>288</v>
      </c>
      <c r="C76" s="25">
        <f>IF($B$2="Discounted",INDEX('Top Down inputs'!$D$50:$F$89,MATCH($A76,'Top Down inputs'!$A$50:$A$89,0),MATCH('Copper Weighted Price'!$B$62,'Top Down inputs'!$D$47:$F$47,0)),INDEX('Top Down inputs'!$D$5:$F$44,MATCH($A76,'Top Down inputs'!$A$5:$A$44,0),MATCH('Copper Weighted Price'!$B$62,'Top Down inputs'!$D$2:$F$2,0)))</f>
        <v>0.77500000000000002</v>
      </c>
      <c r="D76" s="13">
        <f>IF($B$2="Headline",INDEX('Top Down inputs'!$J$5:$J$44,MATCH($A76,'Top Down inputs'!$H$5:$H$44,0)),INDEX('Top Down inputs'!$J$50:$J$89,MATCH($A76,'Top Down inputs'!$H$50:$H$89,0)))</f>
        <v>113.05610048895701</v>
      </c>
      <c r="E76" s="183">
        <v>101.28558029451823</v>
      </c>
      <c r="F76" s="183">
        <v>80.443748822735714</v>
      </c>
      <c r="G76" s="183">
        <v>102.9530474353063</v>
      </c>
      <c r="H76" s="19">
        <f>INDEX([4]StartPrices!$Q$10:$Q$609,MATCH($A76,[4]StartPrices!$B$10:$B$609,0))</f>
        <v>92.923752991023875</v>
      </c>
      <c r="I76" s="19">
        <f>INDEX([4]StartPrices!$U$10:$U$609,MATCH($A76,[4]StartPrices!$B$10:$B$609,0))</f>
        <v>131.1079809226386</v>
      </c>
      <c r="J76" s="30">
        <f t="shared" ref="J76:J102" si="59">D76*(1+($C76+J$62))</f>
        <v>203.14183183368607</v>
      </c>
      <c r="K76" s="30">
        <f t="shared" ref="K76:N76" si="60">J76*(1+($C76+K$62))</f>
        <v>364.62654257379012</v>
      </c>
      <c r="L76" s="30">
        <f t="shared" si="60"/>
        <v>654.85373730623905</v>
      </c>
      <c r="M76" s="30">
        <f t="shared" si="60"/>
        <v>1175.5245648540656</v>
      </c>
      <c r="N76" s="30">
        <f t="shared" si="60"/>
        <v>2110.065261301495</v>
      </c>
      <c r="O76" s="103">
        <f t="shared" si="23"/>
        <v>0</v>
      </c>
      <c r="P76" s="103">
        <f t="shared" si="28"/>
        <v>0</v>
      </c>
      <c r="Q76" s="103">
        <f t="shared" si="28"/>
        <v>0</v>
      </c>
      <c r="R76" s="103">
        <f t="shared" si="28"/>
        <v>0</v>
      </c>
      <c r="S76" s="103">
        <f t="shared" si="28"/>
        <v>0</v>
      </c>
      <c r="U76" s="9" t="s">
        <v>3</v>
      </c>
      <c r="V76" s="9" t="s">
        <v>265</v>
      </c>
      <c r="W76" s="9" t="str">
        <v>WN336</v>
      </c>
      <c r="X76" t="s">
        <v>288</v>
      </c>
      <c r="Y76" s="28">
        <f t="shared" si="42"/>
        <v>101.28558029451823</v>
      </c>
      <c r="Z76" s="28">
        <f t="shared" si="43"/>
        <v>80.443748822735714</v>
      </c>
      <c r="AA76" s="28">
        <f t="shared" si="44"/>
        <v>102.9530474353063</v>
      </c>
      <c r="AB76" s="28">
        <f t="shared" si="45"/>
        <v>92.923752991023875</v>
      </c>
      <c r="AC76" s="28">
        <f t="shared" si="46"/>
        <v>131.1079809226386</v>
      </c>
      <c r="AD76" s="28">
        <f t="shared" si="47"/>
        <v>203.14183183368607</v>
      </c>
      <c r="AE76" s="28">
        <f t="shared" si="48"/>
        <v>364.62654257379012</v>
      </c>
      <c r="AF76" s="28">
        <f t="shared" si="49"/>
        <v>654.85373730623905</v>
      </c>
      <c r="AG76" s="28">
        <f t="shared" si="50"/>
        <v>1175.5245648540656</v>
      </c>
      <c r="AH76" s="28">
        <f t="shared" si="51"/>
        <v>2110.065261301495</v>
      </c>
      <c r="AI76" s="28">
        <f t="shared" si="52"/>
        <v>0</v>
      </c>
      <c r="AJ76" s="28">
        <f t="shared" si="53"/>
        <v>0</v>
      </c>
      <c r="AK76" s="28">
        <f t="shared" si="54"/>
        <v>0</v>
      </c>
      <c r="AL76" s="28">
        <f t="shared" si="55"/>
        <v>0</v>
      </c>
      <c r="AM76" s="28">
        <f t="shared" si="56"/>
        <v>0</v>
      </c>
      <c r="AP76" t="str">
        <v>WN336</v>
      </c>
      <c r="AQ76" t="s">
        <v>337</v>
      </c>
      <c r="AR76" s="109">
        <f t="shared" si="34"/>
        <v>16.92577121680031</v>
      </c>
      <c r="AS76">
        <f t="shared" si="29"/>
        <v>100451.31301117252</v>
      </c>
    </row>
    <row r="77" spans="1:45" ht="14.65" thickBot="1" x14ac:dyDescent="0.5">
      <c r="A77" s="9" t="str">
        <v>WN303</v>
      </c>
      <c r="B77" t="s">
        <v>289</v>
      </c>
      <c r="C77" s="25">
        <f>IF($B$2="Discounted",INDEX('Top Down inputs'!$D$50:$F$89,MATCH($A77,'Top Down inputs'!$A$50:$A$89,0),MATCH('Copper Weighted Price'!$B$62,'Top Down inputs'!$D$47:$F$47,0)),INDEX('Top Down inputs'!$D$5:$F$44,MATCH($A77,'Top Down inputs'!$A$5:$A$44,0),MATCH('Copper Weighted Price'!$B$62,'Top Down inputs'!$D$2:$F$2,0)))</f>
        <v>0.77500000000000002</v>
      </c>
      <c r="D77" s="13">
        <f>IF($B$2="Headline",INDEX('Top Down inputs'!$J$5:$J$44,MATCH($A77,'Top Down inputs'!$H$5:$H$44,0)),INDEX('Top Down inputs'!$J$50:$J$89,MATCH($A77,'Top Down inputs'!$H$50:$H$89,0)))</f>
        <v>64.479073523605194</v>
      </c>
      <c r="E77" s="183">
        <v>48.233397613202214</v>
      </c>
      <c r="F77" s="183">
        <v>56.727372850158559</v>
      </c>
      <c r="G77" s="183">
        <v>61.063898432425646</v>
      </c>
      <c r="H77" s="19">
        <f>INDEX([4]StartPrices!$Q$10:$Q$609,MATCH($A77,[4]StartPrices!$B$10:$B$609,0))</f>
        <v>55.716637335406425</v>
      </c>
      <c r="I77" s="19">
        <f>INDEX([4]StartPrices!$U$10:$U$609,MATCH($A77,[4]StartPrices!$B$10:$B$609,0))</f>
        <v>60.642813579302988</v>
      </c>
      <c r="J77" s="30">
        <f t="shared" si="59"/>
        <v>115.85749954115478</v>
      </c>
      <c r="K77" s="30">
        <f t="shared" ref="K77:N77" si="61">J77*(1+($C77+K$62))</f>
        <v>207.95677142225364</v>
      </c>
      <c r="L77" s="30">
        <f t="shared" si="61"/>
        <v>373.481502478506</v>
      </c>
      <c r="M77" s="30">
        <f t="shared" si="61"/>
        <v>670.43471796935796</v>
      </c>
      <c r="N77" s="30">
        <f t="shared" si="61"/>
        <v>1203.4295587291526</v>
      </c>
      <c r="O77" s="103">
        <f t="shared" si="23"/>
        <v>0</v>
      </c>
      <c r="P77" s="103">
        <f t="shared" si="28"/>
        <v>0</v>
      </c>
      <c r="Q77" s="103">
        <f t="shared" si="28"/>
        <v>0</v>
      </c>
      <c r="R77" s="103">
        <f t="shared" si="28"/>
        <v>0</v>
      </c>
      <c r="S77" s="103">
        <f t="shared" si="28"/>
        <v>0</v>
      </c>
      <c r="U77" s="9" t="s">
        <v>3</v>
      </c>
      <c r="V77" s="9" t="s">
        <v>265</v>
      </c>
      <c r="W77" s="9" t="str">
        <v>WN303</v>
      </c>
      <c r="X77" t="s">
        <v>289</v>
      </c>
      <c r="Y77" s="28">
        <f t="shared" si="42"/>
        <v>48.233397613202214</v>
      </c>
      <c r="Z77" s="28">
        <f t="shared" si="43"/>
        <v>56.727372850158559</v>
      </c>
      <c r="AA77" s="28">
        <f t="shared" si="44"/>
        <v>61.063898432425646</v>
      </c>
      <c r="AB77" s="28">
        <f t="shared" si="45"/>
        <v>55.716637335406425</v>
      </c>
      <c r="AC77" s="28">
        <f t="shared" si="46"/>
        <v>60.642813579302988</v>
      </c>
      <c r="AD77" s="28">
        <f t="shared" si="47"/>
        <v>115.85749954115478</v>
      </c>
      <c r="AE77" s="28">
        <f t="shared" si="48"/>
        <v>207.95677142225364</v>
      </c>
      <c r="AF77" s="28">
        <f t="shared" si="49"/>
        <v>373.481502478506</v>
      </c>
      <c r="AG77" s="28">
        <f t="shared" si="50"/>
        <v>670.43471796935796</v>
      </c>
      <c r="AH77" s="28">
        <f t="shared" si="51"/>
        <v>1203.4295587291526</v>
      </c>
      <c r="AI77" s="28">
        <f t="shared" si="52"/>
        <v>0</v>
      </c>
      <c r="AJ77" s="28">
        <f t="shared" si="53"/>
        <v>0</v>
      </c>
      <c r="AK77" s="28">
        <f t="shared" si="54"/>
        <v>0</v>
      </c>
      <c r="AL77" s="28">
        <f t="shared" si="55"/>
        <v>0</v>
      </c>
      <c r="AM77" s="28">
        <f t="shared" si="56"/>
        <v>0</v>
      </c>
      <c r="AP77" t="str">
        <v>WN303</v>
      </c>
      <c r="AQ77" t="s">
        <v>338</v>
      </c>
      <c r="AR77" s="109">
        <f t="shared" si="34"/>
        <v>28.173779897771958</v>
      </c>
      <c r="AS77">
        <f t="shared" si="29"/>
        <v>29019.233731545784</v>
      </c>
    </row>
    <row r="78" spans="1:45" ht="14.65" thickBot="1" x14ac:dyDescent="0.5">
      <c r="A78" s="9" t="str">
        <v>WN337</v>
      </c>
      <c r="B78" t="s">
        <v>290</v>
      </c>
      <c r="C78" s="25">
        <f>IF($B$2="Discounted",INDEX('Top Down inputs'!$D$50:$F$89,MATCH($A78,'Top Down inputs'!$A$50:$A$89,0),MATCH('Copper Weighted Price'!$B$62,'Top Down inputs'!$D$47:$F$47,0)),INDEX('Top Down inputs'!$D$5:$F$44,MATCH($A78,'Top Down inputs'!$A$5:$A$44,0),MATCH('Copper Weighted Price'!$B$62,'Top Down inputs'!$D$2:$F$2,0)))</f>
        <v>0.77500000000000002</v>
      </c>
      <c r="D78" s="13">
        <f>IF($B$2="Headline",INDEX('Top Down inputs'!$J$5:$J$44,MATCH($A78,'Top Down inputs'!$H$5:$H$44,0)),INDEX('Top Down inputs'!$J$50:$J$89,MATCH($A78,'Top Down inputs'!$H$50:$H$89,0)))</f>
        <v>61.747118334499213</v>
      </c>
      <c r="E78" s="183">
        <v>44.177487566778908</v>
      </c>
      <c r="F78" s="183">
        <v>45.320185379199167</v>
      </c>
      <c r="G78" s="183">
        <v>61.332446839574942</v>
      </c>
      <c r="H78" s="19">
        <f>INDEX([4]StartPrices!$Q$10:$Q$609,MATCH($A78,[4]StartPrices!$B$10:$B$609,0))</f>
        <v>55.592460785298677</v>
      </c>
      <c r="I78" s="19">
        <f>INDEX([4]StartPrices!$U$10:$U$609,MATCH($A78,[4]StartPrices!$B$10:$B$609,0))</f>
        <v>63.004278185972325</v>
      </c>
      <c r="J78" s="30">
        <f t="shared" si="59"/>
        <v>110.94865889299585</v>
      </c>
      <c r="K78" s="30">
        <f t="shared" ref="K78:N78" si="62">J78*(1+($C78+K$62))</f>
        <v>199.14571769970343</v>
      </c>
      <c r="L78" s="30">
        <f t="shared" si="62"/>
        <v>357.65722534527902</v>
      </c>
      <c r="M78" s="30">
        <f t="shared" si="62"/>
        <v>642.02863973930016</v>
      </c>
      <c r="N78" s="30">
        <f t="shared" si="62"/>
        <v>1152.440680508221</v>
      </c>
      <c r="O78" s="103">
        <f t="shared" si="23"/>
        <v>0</v>
      </c>
      <c r="P78" s="103">
        <f t="shared" si="28"/>
        <v>0</v>
      </c>
      <c r="Q78" s="103">
        <f t="shared" si="28"/>
        <v>0</v>
      </c>
      <c r="R78" s="103">
        <f t="shared" si="28"/>
        <v>0</v>
      </c>
      <c r="S78" s="103">
        <f t="shared" si="28"/>
        <v>0</v>
      </c>
      <c r="U78" s="9" t="s">
        <v>3</v>
      </c>
      <c r="V78" s="9" t="s">
        <v>265</v>
      </c>
      <c r="W78" s="9" t="str">
        <v>WN337</v>
      </c>
      <c r="X78" t="s">
        <v>290</v>
      </c>
      <c r="Y78" s="28">
        <f t="shared" si="42"/>
        <v>44.177487566778908</v>
      </c>
      <c r="Z78" s="28">
        <f t="shared" si="43"/>
        <v>45.320185379199167</v>
      </c>
      <c r="AA78" s="28">
        <f t="shared" si="44"/>
        <v>61.332446839574942</v>
      </c>
      <c r="AB78" s="28">
        <f t="shared" si="45"/>
        <v>55.592460785298677</v>
      </c>
      <c r="AC78" s="28">
        <f t="shared" si="46"/>
        <v>63.004278185972325</v>
      </c>
      <c r="AD78" s="28">
        <f t="shared" si="47"/>
        <v>110.94865889299585</v>
      </c>
      <c r="AE78" s="28">
        <f t="shared" si="48"/>
        <v>199.14571769970343</v>
      </c>
      <c r="AF78" s="28">
        <f t="shared" si="49"/>
        <v>357.65722534527902</v>
      </c>
      <c r="AG78" s="28">
        <f t="shared" si="50"/>
        <v>642.02863973930016</v>
      </c>
      <c r="AH78" s="28">
        <f t="shared" si="51"/>
        <v>1152.440680508221</v>
      </c>
      <c r="AI78" s="28">
        <f t="shared" si="52"/>
        <v>0</v>
      </c>
      <c r="AJ78" s="28">
        <f t="shared" si="53"/>
        <v>0</v>
      </c>
      <c r="AK78" s="28">
        <f t="shared" si="54"/>
        <v>0</v>
      </c>
      <c r="AL78" s="28">
        <f t="shared" si="55"/>
        <v>0</v>
      </c>
      <c r="AM78" s="28">
        <f t="shared" si="56"/>
        <v>0</v>
      </c>
      <c r="AP78" t="str">
        <v>WN337</v>
      </c>
      <c r="AQ78" s="28" t="s">
        <v>339</v>
      </c>
      <c r="AR78" s="109">
        <f t="shared" si="34"/>
        <v>30.82996909151305</v>
      </c>
      <c r="AS78">
        <f t="shared" si="29"/>
        <v>3320.5096350279105</v>
      </c>
    </row>
    <row r="79" spans="1:45" ht="14.65" thickBot="1" x14ac:dyDescent="0.5">
      <c r="A79" s="9" t="str">
        <v>WX313</v>
      </c>
      <c r="B79" t="s">
        <v>291</v>
      </c>
      <c r="C79" s="25">
        <f>IF($B$2="Discounted",INDEX('Top Down inputs'!$D$50:$F$89,MATCH($A79,'Top Down inputs'!$A$50:$A$89,0),MATCH('Copper Weighted Price'!$B$62,'Top Down inputs'!$D$47:$F$47,0)),INDEX('Top Down inputs'!$D$5:$F$44,MATCH($A79,'Top Down inputs'!$A$5:$A$44,0),MATCH('Copper Weighted Price'!$B$62,'Top Down inputs'!$D$2:$F$2,0)))</f>
        <v>0.77500000000000002</v>
      </c>
      <c r="D79" s="13">
        <f>IF($B$2="Headline",INDEX('Top Down inputs'!$J$5:$J$44,MATCH($A79,'Top Down inputs'!$H$5:$H$44,0)),INDEX('Top Down inputs'!$J$50:$J$89,MATCH($A79,'Top Down inputs'!$H$50:$H$89,0)))</f>
        <v>55.228291739992947</v>
      </c>
      <c r="E79" s="183">
        <v>41.566771189055672</v>
      </c>
      <c r="F79" s="183">
        <v>56.036378576205593</v>
      </c>
      <c r="G79" s="183">
        <v>49.128128733571643</v>
      </c>
      <c r="H79" s="19">
        <f>INDEX([4]StartPrices!$Q$10:$Q$609,MATCH($A79,[4]StartPrices!$B$10:$B$609,0))</f>
        <v>56.204214314236495</v>
      </c>
      <c r="I79" s="19">
        <f>INDEX([4]StartPrices!$U$10:$U$609,MATCH($A79,[4]StartPrices!$B$10:$B$609,0))</f>
        <v>58.328258904722404</v>
      </c>
      <c r="J79" s="30">
        <f t="shared" si="59"/>
        <v>99.23547959451561</v>
      </c>
      <c r="K79" s="30">
        <f t="shared" ref="K79:N79" si="63">J79*(1+($C79+K$62))</f>
        <v>178.12131306772986</v>
      </c>
      <c r="L79" s="30">
        <f t="shared" si="63"/>
        <v>319.89829026967283</v>
      </c>
      <c r="M79" s="30">
        <f t="shared" si="63"/>
        <v>574.2477702176717</v>
      </c>
      <c r="N79" s="30">
        <f t="shared" si="63"/>
        <v>1030.7740965554196</v>
      </c>
      <c r="O79" s="103">
        <f t="shared" si="23"/>
        <v>0</v>
      </c>
      <c r="P79" s="103">
        <f t="shared" si="28"/>
        <v>0</v>
      </c>
      <c r="Q79" s="103">
        <f t="shared" si="28"/>
        <v>0</v>
      </c>
      <c r="R79" s="103">
        <f t="shared" si="28"/>
        <v>0</v>
      </c>
      <c r="S79" s="103">
        <f t="shared" si="28"/>
        <v>0</v>
      </c>
      <c r="U79" s="9" t="s">
        <v>3</v>
      </c>
      <c r="V79" s="9" t="s">
        <v>265</v>
      </c>
      <c r="W79" s="9" t="str">
        <v>WX313</v>
      </c>
      <c r="X79" t="s">
        <v>291</v>
      </c>
      <c r="Y79" s="28">
        <f t="shared" si="42"/>
        <v>41.566771189055672</v>
      </c>
      <c r="Z79" s="28">
        <f t="shared" si="43"/>
        <v>56.036378576205593</v>
      </c>
      <c r="AA79" s="28">
        <f t="shared" si="44"/>
        <v>49.128128733571643</v>
      </c>
      <c r="AB79" s="28">
        <f t="shared" si="45"/>
        <v>56.204214314236495</v>
      </c>
      <c r="AC79" s="28">
        <f t="shared" si="46"/>
        <v>58.328258904722404</v>
      </c>
      <c r="AD79" s="28">
        <f t="shared" si="47"/>
        <v>99.23547959451561</v>
      </c>
      <c r="AE79" s="28">
        <f t="shared" si="48"/>
        <v>178.12131306772986</v>
      </c>
      <c r="AF79" s="28">
        <f t="shared" si="49"/>
        <v>319.89829026967283</v>
      </c>
      <c r="AG79" s="28">
        <f t="shared" si="50"/>
        <v>574.2477702176717</v>
      </c>
      <c r="AH79" s="28">
        <f t="shared" si="51"/>
        <v>1030.7740965554196</v>
      </c>
      <c r="AI79" s="28">
        <f t="shared" si="52"/>
        <v>0</v>
      </c>
      <c r="AJ79" s="28">
        <f t="shared" si="53"/>
        <v>0</v>
      </c>
      <c r="AK79" s="28">
        <f t="shared" si="54"/>
        <v>0</v>
      </c>
      <c r="AL79" s="28">
        <f t="shared" si="55"/>
        <v>0</v>
      </c>
      <c r="AM79" s="28">
        <f t="shared" si="56"/>
        <v>0</v>
      </c>
      <c r="AP79" t="str">
        <v>WX313</v>
      </c>
      <c r="AQ79" s="28" t="s">
        <v>340</v>
      </c>
      <c r="AR79" s="109">
        <f t="shared" si="34"/>
        <v>32.4465314495474</v>
      </c>
      <c r="AS79">
        <f t="shared" si="29"/>
        <v>1729.6487988926058</v>
      </c>
    </row>
    <row r="80" spans="1:45" ht="14.65" thickBot="1" x14ac:dyDescent="0.5">
      <c r="A80" s="9" t="str">
        <v>WX339</v>
      </c>
      <c r="B80" t="s">
        <v>292</v>
      </c>
      <c r="C80" s="25">
        <f>IF($B$2="Discounted",INDEX('Top Down inputs'!$D$50:$F$89,MATCH($A80,'Top Down inputs'!$A$50:$A$89,0),MATCH('Copper Weighted Price'!$B$62,'Top Down inputs'!$D$47:$F$47,0)),INDEX('Top Down inputs'!$D$5:$F$44,MATCH($A80,'Top Down inputs'!$A$5:$A$44,0),MATCH('Copper Weighted Price'!$B$62,'Top Down inputs'!$D$2:$F$2,0)))</f>
        <v>0.77500000000000002</v>
      </c>
      <c r="D80" s="13">
        <f>IF($B$2="Headline",INDEX('Top Down inputs'!$J$5:$J$44,MATCH($A80,'Top Down inputs'!$H$5:$H$44,0)),INDEX('Top Down inputs'!$J$50:$J$89,MATCH($A80,'Top Down inputs'!$H$50:$H$89,0)))</f>
        <v>61.157003145331245</v>
      </c>
      <c r="E80" s="183">
        <v>40.614244207790321</v>
      </c>
      <c r="F80" s="183">
        <v>55.526859061661007</v>
      </c>
      <c r="G80" s="183">
        <v>54.983988567482086</v>
      </c>
      <c r="H80" s="19">
        <f>INDEX([4]StartPrices!$Q$10:$Q$609,MATCH($A80,[4]StartPrices!$B$10:$B$609,0))</f>
        <v>59.431091696980047</v>
      </c>
      <c r="I80" s="19">
        <f>INDEX([4]StartPrices!$U$10:$U$609,MATCH($A80,[4]StartPrices!$B$10:$B$609,0))</f>
        <v>56.61259765181353</v>
      </c>
      <c r="J80" s="30">
        <f t="shared" si="59"/>
        <v>109.8883261908948</v>
      </c>
      <c r="K80" s="30">
        <f t="shared" ref="K80:N80" si="64">J80*(1+($C80+K$62))</f>
        <v>197.24248859295022</v>
      </c>
      <c r="L80" s="30">
        <f t="shared" si="64"/>
        <v>354.23910694745246</v>
      </c>
      <c r="M80" s="30">
        <f t="shared" si="64"/>
        <v>635.89279304053457</v>
      </c>
      <c r="N80" s="30">
        <f t="shared" si="64"/>
        <v>1141.4268426397252</v>
      </c>
      <c r="O80" s="103">
        <f t="shared" si="23"/>
        <v>0</v>
      </c>
      <c r="P80" s="103">
        <f t="shared" si="28"/>
        <v>0</v>
      </c>
      <c r="Q80" s="103">
        <f t="shared" si="28"/>
        <v>0</v>
      </c>
      <c r="R80" s="103">
        <f t="shared" si="28"/>
        <v>0</v>
      </c>
      <c r="S80" s="103">
        <f t="shared" si="28"/>
        <v>0</v>
      </c>
      <c r="U80" s="9" t="s">
        <v>3</v>
      </c>
      <c r="V80" s="9" t="s">
        <v>265</v>
      </c>
      <c r="W80" s="9" t="str">
        <v>WX339</v>
      </c>
      <c r="X80" t="s">
        <v>292</v>
      </c>
      <c r="Y80" s="28">
        <f t="shared" si="42"/>
        <v>40.614244207790321</v>
      </c>
      <c r="Z80" s="28">
        <f t="shared" si="43"/>
        <v>55.526859061661007</v>
      </c>
      <c r="AA80" s="28">
        <f t="shared" si="44"/>
        <v>54.983988567482086</v>
      </c>
      <c r="AB80" s="28">
        <f t="shared" si="45"/>
        <v>59.431091696980047</v>
      </c>
      <c r="AC80" s="28">
        <f t="shared" si="46"/>
        <v>56.61259765181353</v>
      </c>
      <c r="AD80" s="28">
        <f t="shared" si="47"/>
        <v>109.8883261908948</v>
      </c>
      <c r="AE80" s="28">
        <f t="shared" si="48"/>
        <v>197.24248859295022</v>
      </c>
      <c r="AF80" s="28">
        <f t="shared" si="49"/>
        <v>354.23910694745246</v>
      </c>
      <c r="AG80" s="28">
        <f t="shared" si="50"/>
        <v>635.89279304053457</v>
      </c>
      <c r="AH80" s="28">
        <f t="shared" si="51"/>
        <v>1141.4268426397252</v>
      </c>
      <c r="AI80" s="28">
        <f t="shared" si="52"/>
        <v>0</v>
      </c>
      <c r="AJ80" s="28">
        <f t="shared" si="53"/>
        <v>0</v>
      </c>
      <c r="AK80" s="28">
        <f t="shared" si="54"/>
        <v>0</v>
      </c>
      <c r="AL80" s="28">
        <f t="shared" si="55"/>
        <v>0</v>
      </c>
      <c r="AM80" s="28">
        <f t="shared" si="56"/>
        <v>0</v>
      </c>
      <c r="AP80" t="str">
        <v>WX339</v>
      </c>
      <c r="AQ80" s="28" t="s">
        <v>341</v>
      </c>
      <c r="AR80" s="109">
        <f t="shared" si="34"/>
        <v>38.530750326863412</v>
      </c>
      <c r="AS80">
        <f t="shared" si="29"/>
        <v>28971.345764782607</v>
      </c>
    </row>
    <row r="81" spans="1:45" ht="14.65" thickBot="1" x14ac:dyDescent="0.5">
      <c r="A81" s="9" t="str">
        <v>WN332</v>
      </c>
      <c r="B81" t="s">
        <v>293</v>
      </c>
      <c r="C81" s="25">
        <f>IF($B$2="Discounted",INDEX('Top Down inputs'!$D$50:$F$89,MATCH($A81,'Top Down inputs'!$A$50:$A$89,0),MATCH('Copper Weighted Price'!$B$62,'Top Down inputs'!$D$47:$F$47,0)),INDEX('Top Down inputs'!$D$5:$F$44,MATCH($A81,'Top Down inputs'!$A$5:$A$44,0),MATCH('Copper Weighted Price'!$B$62,'Top Down inputs'!$D$2:$F$2,0)))</f>
        <v>6.5000000000000002E-2</v>
      </c>
      <c r="D81" s="13">
        <f>IF($B$2="Headline",INDEX('Top Down inputs'!$J$5:$J$44,MATCH($A81,'Top Down inputs'!$H$5:$H$44,0)),INDEX('Top Down inputs'!$J$50:$J$89,MATCH($A81,'Top Down inputs'!$H$50:$H$89,0)))</f>
        <v>203.73080523136048</v>
      </c>
      <c r="E81" s="183">
        <v>144.36432914912422</v>
      </c>
      <c r="F81" s="183">
        <v>120.70697828730721</v>
      </c>
      <c r="G81" s="183">
        <v>129.09584834765838</v>
      </c>
      <c r="H81" s="19">
        <f>INDEX([4]StartPrices!$Q$10:$Q$609,MATCH($A81,[4]StartPrices!$B$10:$B$609,0))</f>
        <v>200.82220702970179</v>
      </c>
      <c r="I81" s="19">
        <f>INDEX([4]StartPrices!$U$10:$U$609,MATCH($A81,[4]StartPrices!$B$10:$B$609,0))</f>
        <v>224.27271069303868</v>
      </c>
      <c r="J81" s="30">
        <f t="shared" si="59"/>
        <v>221.41937932799399</v>
      </c>
      <c r="K81" s="30">
        <f>J81*(1+($C81+K$62))</f>
        <v>240.22580723716058</v>
      </c>
      <c r="L81" s="30">
        <f t="shared" ref="L81:M81" si="65">K81*(1+($C81+L$62))</f>
        <v>260.87499299696589</v>
      </c>
      <c r="M81" s="30">
        <f t="shared" si="65"/>
        <v>283.07410881031279</v>
      </c>
      <c r="N81" s="30">
        <f>M81*(1+($C81+N$62))</f>
        <v>307.13508715749231</v>
      </c>
      <c r="O81" s="103">
        <f t="shared" si="23"/>
        <v>130.26850739059532</v>
      </c>
      <c r="P81" s="103">
        <f t="shared" si="28"/>
        <v>127.13383394256478</v>
      </c>
      <c r="Q81" s="103">
        <f t="shared" si="28"/>
        <v>0</v>
      </c>
      <c r="R81" s="103">
        <f t="shared" si="28"/>
        <v>0</v>
      </c>
      <c r="S81" s="103">
        <f t="shared" si="28"/>
        <v>0</v>
      </c>
      <c r="U81" s="9" t="s">
        <v>275</v>
      </c>
      <c r="V81" s="9" t="s">
        <v>294</v>
      </c>
      <c r="W81" s="9" t="str">
        <v>WN332</v>
      </c>
      <c r="X81" t="s">
        <v>293</v>
      </c>
      <c r="Y81" s="28">
        <f t="shared" si="42"/>
        <v>144.36432914912422</v>
      </c>
      <c r="Z81" s="28">
        <f t="shared" si="43"/>
        <v>120.70697828730721</v>
      </c>
      <c r="AA81" s="28">
        <f t="shared" si="44"/>
        <v>129.09584834765838</v>
      </c>
      <c r="AB81" s="28">
        <f t="shared" si="45"/>
        <v>200.82220702970179</v>
      </c>
      <c r="AC81" s="28">
        <f t="shared" si="46"/>
        <v>224.27271069303868</v>
      </c>
      <c r="AD81" s="28">
        <f t="shared" si="47"/>
        <v>221.41937932799399</v>
      </c>
      <c r="AE81" s="28">
        <f t="shared" si="48"/>
        <v>240.22580723716058</v>
      </c>
      <c r="AF81" s="28">
        <f t="shared" si="49"/>
        <v>260.87499299696589</v>
      </c>
      <c r="AG81" s="28">
        <f t="shared" si="50"/>
        <v>283.07410881031279</v>
      </c>
      <c r="AH81" s="28">
        <f t="shared" si="51"/>
        <v>307.13508715749231</v>
      </c>
      <c r="AI81" s="28">
        <f t="shared" si="52"/>
        <v>130.26850739059532</v>
      </c>
      <c r="AJ81" s="28">
        <f t="shared" si="53"/>
        <v>127.13383394256478</v>
      </c>
      <c r="AK81" s="28">
        <f t="shared" si="54"/>
        <v>0</v>
      </c>
      <c r="AL81" s="28">
        <f t="shared" si="55"/>
        <v>0</v>
      </c>
      <c r="AM81" s="28">
        <f t="shared" si="56"/>
        <v>0</v>
      </c>
      <c r="AP81" t="str">
        <v/>
      </c>
      <c r="AQ81" s="28" t="s">
        <v>342</v>
      </c>
      <c r="AR81" s="109">
        <f t="shared" si="34"/>
        <v>38.598923357464614</v>
      </c>
      <c r="AS81">
        <f t="shared" si="29"/>
        <v>6910.6018149414631</v>
      </c>
    </row>
    <row r="82" spans="1:45" ht="14.65" thickBot="1" x14ac:dyDescent="0.5">
      <c r="A82" s="9" t="str">
        <v>WX334</v>
      </c>
      <c r="B82" t="s">
        <v>295</v>
      </c>
      <c r="C82" s="25">
        <f>IF($B$2="Discounted",INDEX('Top Down inputs'!$D$50:$F$89,MATCH($A82,'Top Down inputs'!$A$50:$A$89,0),MATCH('Copper Weighted Price'!$B$62,'Top Down inputs'!$D$47:$F$47,0)),INDEX('Top Down inputs'!$D$5:$F$44,MATCH($A82,'Top Down inputs'!$A$5:$A$44,0),MATCH('Copper Weighted Price'!$B$62,'Top Down inputs'!$D$2:$F$2,0)))</f>
        <v>6.5000000000000002E-2</v>
      </c>
      <c r="D82" s="13">
        <f>IF($B$2="Headline",INDEX('Top Down inputs'!$J$5:$J$44,MATCH($A82,'Top Down inputs'!$H$5:$H$44,0)),INDEX('Top Down inputs'!$J$50:$J$89,MATCH($A82,'Top Down inputs'!$H$50:$H$89,0)))</f>
        <v>262.31744194658199</v>
      </c>
      <c r="E82" s="183">
        <v>146.39936507848677</v>
      </c>
      <c r="F82" s="183">
        <v>132.66982663698252</v>
      </c>
      <c r="G82" s="183">
        <v>148.13305019273034</v>
      </c>
      <c r="H82" s="19">
        <f>INDEX([4]StartPrices!$Q$10:$Q$609,MATCH($A82,[4]StartPrices!$B$10:$B$609,0))</f>
        <v>255.6685976390952</v>
      </c>
      <c r="I82" s="19">
        <f>INDEX([4]StartPrices!$U$10:$U$609,MATCH($A82,[4]StartPrices!$B$10:$B$609,0))</f>
        <v>266.34107343745904</v>
      </c>
      <c r="J82" s="30">
        <f t="shared" si="59"/>
        <v>285.09269924477104</v>
      </c>
      <c r="K82" s="30">
        <f t="shared" ref="K82:N82" si="66">J82*(1+($C82+K$62))</f>
        <v>309.30727030918661</v>
      </c>
      <c r="L82" s="30">
        <f t="shared" si="66"/>
        <v>335.89451901043572</v>
      </c>
      <c r="M82" s="30">
        <f t="shared" si="66"/>
        <v>364.4774093937537</v>
      </c>
      <c r="N82" s="30">
        <f t="shared" si="66"/>
        <v>395.45757600918847</v>
      </c>
      <c r="O82" s="103">
        <f t="shared" si="23"/>
        <v>125.18014604551666</v>
      </c>
      <c r="P82" s="103">
        <f t="shared" si="28"/>
        <v>122.16791470971958</v>
      </c>
      <c r="Q82" s="103">
        <f t="shared" si="28"/>
        <v>0</v>
      </c>
      <c r="R82" s="103">
        <f t="shared" si="28"/>
        <v>0</v>
      </c>
      <c r="S82" s="103">
        <f t="shared" si="28"/>
        <v>0</v>
      </c>
      <c r="U82" s="9" t="s">
        <v>275</v>
      </c>
      <c r="V82" s="9" t="s">
        <v>294</v>
      </c>
      <c r="W82" s="9" t="str">
        <v>WX334</v>
      </c>
      <c r="X82" t="s">
        <v>295</v>
      </c>
      <c r="Y82" s="28">
        <f t="shared" si="42"/>
        <v>146.39936507848677</v>
      </c>
      <c r="Z82" s="28">
        <f t="shared" si="43"/>
        <v>132.66982663698252</v>
      </c>
      <c r="AA82" s="28">
        <f t="shared" si="44"/>
        <v>148.13305019273034</v>
      </c>
      <c r="AB82" s="28">
        <f t="shared" si="45"/>
        <v>255.6685976390952</v>
      </c>
      <c r="AC82" s="28">
        <f t="shared" si="46"/>
        <v>266.34107343745904</v>
      </c>
      <c r="AD82" s="28">
        <f t="shared" si="47"/>
        <v>285.09269924477104</v>
      </c>
      <c r="AE82" s="28">
        <f t="shared" si="48"/>
        <v>309.30727030918661</v>
      </c>
      <c r="AF82" s="28">
        <f t="shared" si="49"/>
        <v>335.89451901043572</v>
      </c>
      <c r="AG82" s="28">
        <f t="shared" si="50"/>
        <v>364.4774093937537</v>
      </c>
      <c r="AH82" s="28">
        <f t="shared" si="51"/>
        <v>395.45757600918847</v>
      </c>
      <c r="AI82" s="28">
        <f t="shared" si="52"/>
        <v>125.18014604551666</v>
      </c>
      <c r="AJ82" s="28">
        <f t="shared" si="53"/>
        <v>122.16791470971958</v>
      </c>
      <c r="AK82" s="28">
        <f t="shared" si="54"/>
        <v>0</v>
      </c>
      <c r="AL82" s="28">
        <f t="shared" si="55"/>
        <v>0</v>
      </c>
      <c r="AM82" s="28">
        <f t="shared" si="56"/>
        <v>0</v>
      </c>
      <c r="AP82" t="str">
        <v/>
      </c>
      <c r="AQ82" t="s">
        <v>343</v>
      </c>
      <c r="AR82" s="109">
        <f t="shared" si="34"/>
        <v>41.750676448128331</v>
      </c>
      <c r="AS82">
        <f t="shared" si="29"/>
        <v>2545.8657335932585</v>
      </c>
    </row>
    <row r="83" spans="1:45" ht="14.65" thickBot="1" x14ac:dyDescent="0.5">
      <c r="A83" s="9" t="str">
        <v>WN333</v>
      </c>
      <c r="B83" t="s">
        <v>296</v>
      </c>
      <c r="C83" s="25">
        <f>IF($B$2="Discounted",INDEX('Top Down inputs'!$D$50:$F$89,MATCH($A83,'Top Down inputs'!$A$50:$A$89,0),MATCH('Copper Weighted Price'!$B$62,'Top Down inputs'!$D$47:$F$47,0)),INDEX('Top Down inputs'!$D$5:$F$44,MATCH($A83,'Top Down inputs'!$A$5:$A$44,0),MATCH('Copper Weighted Price'!$B$62,'Top Down inputs'!$D$2:$F$2,0)))</f>
        <v>0.77500000000000002</v>
      </c>
      <c r="D83" s="13">
        <f>IF($B$2="Headline",INDEX('Top Down inputs'!$J$5:$J$44,MATCH($A83,'Top Down inputs'!$H$5:$H$44,0)),INDEX('Top Down inputs'!$J$50:$J$89,MATCH($A83,'Top Down inputs'!$H$50:$H$89,0)))</f>
        <v>98.981248069018321</v>
      </c>
      <c r="E83" s="183">
        <v>45.276715335996528</v>
      </c>
      <c r="F83" s="183">
        <v>69.224229391678136</v>
      </c>
      <c r="G83" s="183">
        <v>93.869898633469944</v>
      </c>
      <c r="H83" s="19">
        <f>INDEX([4]StartPrices!$Q$10:$Q$609,MATCH($A83,[4]StartPrices!$B$10:$B$609,0))</f>
        <v>79.446489789519717</v>
      </c>
      <c r="I83" s="19">
        <f>INDEX([4]StartPrices!$U$10:$U$609,MATCH($A83,[4]StartPrices!$B$10:$B$609,0))</f>
        <v>116.81378766500012</v>
      </c>
      <c r="J83" s="30">
        <f t="shared" si="59"/>
        <v>177.85180952609363</v>
      </c>
      <c r="K83" s="30">
        <f t="shared" ref="K83:N83" si="67">J83*(1+($C83+K$62))</f>
        <v>319.23257663190032</v>
      </c>
      <c r="L83" s="30">
        <f t="shared" si="67"/>
        <v>573.32810826571767</v>
      </c>
      <c r="M83" s="30">
        <f t="shared" si="67"/>
        <v>1029.1783288280874</v>
      </c>
      <c r="N83" s="30">
        <f t="shared" si="67"/>
        <v>1847.3739335375517</v>
      </c>
      <c r="O83" s="103">
        <f t="shared" si="23"/>
        <v>3299.1566994717828</v>
      </c>
      <c r="P83" s="103">
        <f t="shared" si="28"/>
        <v>3219.7685256615332</v>
      </c>
      <c r="Q83" s="103">
        <f t="shared" si="28"/>
        <v>0</v>
      </c>
      <c r="R83" s="103">
        <f t="shared" si="28"/>
        <v>0</v>
      </c>
      <c r="S83" s="103">
        <f t="shared" si="28"/>
        <v>0</v>
      </c>
      <c r="U83" s="9" t="s">
        <v>3</v>
      </c>
      <c r="V83" s="9" t="s">
        <v>294</v>
      </c>
      <c r="W83" s="9" t="str">
        <v>WN333</v>
      </c>
      <c r="X83" t="s">
        <v>296</v>
      </c>
      <c r="Y83" s="28">
        <f t="shared" si="42"/>
        <v>45.276715335996528</v>
      </c>
      <c r="Z83" s="28">
        <f t="shared" si="43"/>
        <v>69.224229391678136</v>
      </c>
      <c r="AA83" s="28">
        <f t="shared" si="44"/>
        <v>93.869898633469944</v>
      </c>
      <c r="AB83" s="28">
        <f t="shared" si="45"/>
        <v>79.446489789519717</v>
      </c>
      <c r="AC83" s="28">
        <f t="shared" si="46"/>
        <v>116.81378766500012</v>
      </c>
      <c r="AD83" s="28">
        <f t="shared" si="47"/>
        <v>177.85180952609363</v>
      </c>
      <c r="AE83" s="28">
        <f t="shared" si="48"/>
        <v>319.23257663190032</v>
      </c>
      <c r="AF83" s="28">
        <f t="shared" si="49"/>
        <v>573.32810826571767</v>
      </c>
      <c r="AG83" s="28">
        <f t="shared" si="50"/>
        <v>1029.1783288280874</v>
      </c>
      <c r="AH83" s="28">
        <f t="shared" si="51"/>
        <v>1847.3739335375517</v>
      </c>
      <c r="AI83" s="28">
        <f t="shared" si="52"/>
        <v>3299.1566994717828</v>
      </c>
      <c r="AJ83" s="28">
        <f t="shared" si="53"/>
        <v>3219.7685256615332</v>
      </c>
      <c r="AK83" s="28">
        <f t="shared" si="54"/>
        <v>0</v>
      </c>
      <c r="AL83" s="28">
        <f t="shared" si="55"/>
        <v>0</v>
      </c>
      <c r="AM83" s="28">
        <f t="shared" si="56"/>
        <v>0</v>
      </c>
      <c r="AP83" t="str">
        <v>WN333</v>
      </c>
    </row>
    <row r="84" spans="1:45" ht="14.65" thickBot="1" x14ac:dyDescent="0.5">
      <c r="A84" s="9" t="str">
        <v>WX335</v>
      </c>
      <c r="B84" t="s">
        <v>297</v>
      </c>
      <c r="C84" s="25">
        <f>IF($B$2="Discounted",INDEX('Top Down inputs'!$D$50:$F$89,MATCH($A84,'Top Down inputs'!$A$50:$A$89,0),MATCH('Copper Weighted Price'!$B$62,'Top Down inputs'!$D$47:$F$47,0)),INDEX('Top Down inputs'!$D$5:$F$44,MATCH($A84,'Top Down inputs'!$A$5:$A$44,0),MATCH('Copper Weighted Price'!$B$62,'Top Down inputs'!$D$2:$F$2,0)))</f>
        <v>0.77500000000000002</v>
      </c>
      <c r="D84" s="13">
        <f>IF($B$2="Headline",INDEX('Top Down inputs'!$J$5:$J$44,MATCH($A84,'Top Down inputs'!$H$5:$H$44,0)),INDEX('Top Down inputs'!$J$50:$J$89,MATCH($A84,'Top Down inputs'!$H$50:$H$89,0)))</f>
        <v>112.39692291450467</v>
      </c>
      <c r="E84" s="183">
        <v>141.26175577181198</v>
      </c>
      <c r="F84" s="183">
        <v>129.3011405129219</v>
      </c>
      <c r="G84" s="183">
        <v>115.67189598600996</v>
      </c>
      <c r="H84" s="19">
        <f>INDEX([4]StartPrices!$Q$10:$Q$609,MATCH($A84,[4]StartPrices!$B$10:$B$609,0))</f>
        <v>110.23423835077756</v>
      </c>
      <c r="I84" s="19">
        <f>INDEX([4]StartPrices!$U$10:$U$609,MATCH($A84,[4]StartPrices!$B$10:$B$609,0))</f>
        <v>117.97931002202228</v>
      </c>
      <c r="J84" s="30">
        <f t="shared" si="59"/>
        <v>201.95740623083225</v>
      </c>
      <c r="K84" s="30">
        <f t="shared" ref="K84:N84" si="68">J84*(1+($C84+K$62))</f>
        <v>362.50057467930918</v>
      </c>
      <c r="L84" s="30">
        <f t="shared" si="68"/>
        <v>651.03558953436584</v>
      </c>
      <c r="M84" s="30">
        <f t="shared" si="68"/>
        <v>1168.6706274900635</v>
      </c>
      <c r="N84" s="30">
        <f t="shared" si="68"/>
        <v>2097.7624515029497</v>
      </c>
      <c r="O84" s="103">
        <f t="shared" si="23"/>
        <v>1472.4932639019783</v>
      </c>
      <c r="P84" s="103">
        <f t="shared" ref="P84:S102" si="69">IF(P40=0,0,P257/P40)</f>
        <v>1437.0604058059116</v>
      </c>
      <c r="Q84" s="103">
        <f t="shared" si="69"/>
        <v>0</v>
      </c>
      <c r="R84" s="103">
        <f t="shared" si="69"/>
        <v>0</v>
      </c>
      <c r="S84" s="103">
        <f t="shared" si="69"/>
        <v>0</v>
      </c>
      <c r="U84" s="9" t="s">
        <v>3</v>
      </c>
      <c r="V84" s="9" t="s">
        <v>294</v>
      </c>
      <c r="W84" s="9" t="str">
        <v>WX335</v>
      </c>
      <c r="X84" t="s">
        <v>297</v>
      </c>
      <c r="Y84" s="28">
        <f t="shared" si="42"/>
        <v>141.26175577181198</v>
      </c>
      <c r="Z84" s="28">
        <f t="shared" si="43"/>
        <v>129.3011405129219</v>
      </c>
      <c r="AA84" s="28">
        <f t="shared" si="44"/>
        <v>115.67189598600996</v>
      </c>
      <c r="AB84" s="28">
        <f t="shared" si="45"/>
        <v>110.23423835077756</v>
      </c>
      <c r="AC84" s="28">
        <f t="shared" si="46"/>
        <v>117.97931002202228</v>
      </c>
      <c r="AD84" s="28">
        <f t="shared" si="47"/>
        <v>201.95740623083225</v>
      </c>
      <c r="AE84" s="28">
        <f t="shared" si="48"/>
        <v>362.50057467930918</v>
      </c>
      <c r="AF84" s="28">
        <f t="shared" si="49"/>
        <v>651.03558953436584</v>
      </c>
      <c r="AG84" s="28">
        <f t="shared" si="50"/>
        <v>1168.6706274900635</v>
      </c>
      <c r="AH84" s="28">
        <f t="shared" si="51"/>
        <v>2097.7624515029497</v>
      </c>
      <c r="AI84" s="28">
        <f t="shared" si="52"/>
        <v>1472.4932639019783</v>
      </c>
      <c r="AJ84" s="28">
        <f t="shared" si="53"/>
        <v>1437.0604058059116</v>
      </c>
      <c r="AK84" s="28">
        <f t="shared" si="54"/>
        <v>0</v>
      </c>
      <c r="AL84" s="28">
        <f t="shared" si="55"/>
        <v>0</v>
      </c>
      <c r="AM84" s="28">
        <f t="shared" si="56"/>
        <v>0</v>
      </c>
      <c r="AP84" t="str">
        <v>WX335</v>
      </c>
    </row>
    <row r="85" spans="1:45" ht="14.65" thickBot="1" x14ac:dyDescent="0.5">
      <c r="A85" s="9" t="str">
        <v>WN348</v>
      </c>
      <c r="B85" t="s">
        <v>298</v>
      </c>
      <c r="C85" s="25">
        <f>IF($B$2="Discounted",INDEX('Top Down inputs'!$D$50:$F$89,MATCH($A85,'Top Down inputs'!$A$50:$A$89,0),MATCH('Copper Weighted Price'!$B$62,'Top Down inputs'!$D$47:$F$47,0)),INDEX('Top Down inputs'!$D$5:$F$44,MATCH($A85,'Top Down inputs'!$A$5:$A$44,0),MATCH('Copper Weighted Price'!$B$62,'Top Down inputs'!$D$2:$F$2,0)))</f>
        <v>6.5000000000000002E-2</v>
      </c>
      <c r="D85" s="13">
        <f>IF($B$2="Headline",INDEX('Top Down inputs'!$J$5:$J$44,MATCH($A85,'Top Down inputs'!$H$5:$H$44,0)),INDEX('Top Down inputs'!$J$50:$J$89,MATCH($A85,'Top Down inputs'!$H$50:$H$89,0)))</f>
        <v>209.80383408575128</v>
      </c>
      <c r="E85" s="183">
        <v>173.90369831818444</v>
      </c>
      <c r="F85" s="183">
        <v>135.16559567875632</v>
      </c>
      <c r="G85" s="183">
        <v>170.91135328578872</v>
      </c>
      <c r="H85" s="19">
        <f>INDEX([4]StartPrices!$Q$10:$Q$609,MATCH($A85,[4]StartPrices!$B$10:$B$609,0))</f>
        <v>197.52796118221636</v>
      </c>
      <c r="I85" s="19">
        <f>INDEX([4]StartPrices!$U$10:$U$609,MATCH($A85,[4]StartPrices!$B$10:$B$609,0))</f>
        <v>183.88956304011066</v>
      </c>
      <c r="J85" s="30">
        <f t="shared" si="59"/>
        <v>228.01968838804584</v>
      </c>
      <c r="K85" s="30">
        <f t="shared" ref="K85:N85" si="70">J85*(1+($C85+K$62))</f>
        <v>247.38671870199204</v>
      </c>
      <c r="L85" s="30">
        <f t="shared" si="70"/>
        <v>268.65143779165663</v>
      </c>
      <c r="M85" s="30">
        <f t="shared" si="70"/>
        <v>291.51228893130002</v>
      </c>
      <c r="N85" s="30">
        <f t="shared" si="70"/>
        <v>316.29050302297759</v>
      </c>
      <c r="O85" s="103">
        <f t="shared" si="23"/>
        <v>0</v>
      </c>
      <c r="P85" s="103">
        <f t="shared" si="69"/>
        <v>0</v>
      </c>
      <c r="Q85" s="103">
        <f t="shared" si="69"/>
        <v>0</v>
      </c>
      <c r="R85" s="103">
        <f t="shared" si="69"/>
        <v>0</v>
      </c>
      <c r="S85" s="103">
        <f t="shared" si="69"/>
        <v>0</v>
      </c>
      <c r="U85" s="9" t="s">
        <v>275</v>
      </c>
      <c r="V85" s="9" t="s">
        <v>299</v>
      </c>
      <c r="W85" s="9" t="str">
        <v>WN348</v>
      </c>
      <c r="X85" t="s">
        <v>298</v>
      </c>
      <c r="Y85" s="28">
        <f t="shared" si="42"/>
        <v>173.90369831818444</v>
      </c>
      <c r="Z85" s="28">
        <f t="shared" si="43"/>
        <v>135.16559567875632</v>
      </c>
      <c r="AA85" s="28">
        <f t="shared" si="44"/>
        <v>170.91135328578872</v>
      </c>
      <c r="AB85" s="28">
        <f t="shared" si="45"/>
        <v>197.52796118221636</v>
      </c>
      <c r="AC85" s="28">
        <f t="shared" si="46"/>
        <v>183.88956304011066</v>
      </c>
      <c r="AD85" s="28">
        <f t="shared" si="47"/>
        <v>228.01968838804584</v>
      </c>
      <c r="AE85" s="28">
        <f t="shared" si="48"/>
        <v>247.38671870199204</v>
      </c>
      <c r="AF85" s="28">
        <f t="shared" si="49"/>
        <v>268.65143779165663</v>
      </c>
      <c r="AG85" s="28">
        <f t="shared" si="50"/>
        <v>291.51228893130002</v>
      </c>
      <c r="AH85" s="28">
        <f t="shared" si="51"/>
        <v>316.29050302297759</v>
      </c>
      <c r="AI85" s="28">
        <f t="shared" si="52"/>
        <v>0</v>
      </c>
      <c r="AJ85" s="28">
        <f t="shared" si="53"/>
        <v>0</v>
      </c>
      <c r="AK85" s="28">
        <f t="shared" si="54"/>
        <v>0</v>
      </c>
      <c r="AL85" s="28">
        <f t="shared" si="55"/>
        <v>0</v>
      </c>
      <c r="AM85" s="28">
        <f t="shared" si="56"/>
        <v>0</v>
      </c>
      <c r="AP85" t="str">
        <v/>
      </c>
    </row>
    <row r="86" spans="1:45" ht="14.65" thickBot="1" x14ac:dyDescent="0.5">
      <c r="A86" s="9" t="str">
        <v>WN350</v>
      </c>
      <c r="B86" t="s">
        <v>300</v>
      </c>
      <c r="C86" s="25">
        <f>IF($B$2="Discounted",INDEX('Top Down inputs'!$D$50:$F$89,MATCH($A86,'Top Down inputs'!$A$50:$A$89,0),MATCH('Copper Weighted Price'!$B$62,'Top Down inputs'!$D$47:$F$47,0)),INDEX('Top Down inputs'!$D$5:$F$44,MATCH($A86,'Top Down inputs'!$A$5:$A$44,0),MATCH('Copper Weighted Price'!$B$62,'Top Down inputs'!$D$2:$F$2,0)))</f>
        <v>6.5000000000000002E-2</v>
      </c>
      <c r="D86" s="13">
        <f>IF($B$2="Headline",INDEX('Top Down inputs'!$J$5:$J$44,MATCH($A86,'Top Down inputs'!$H$5:$H$44,0)),INDEX('Top Down inputs'!$J$50:$J$89,MATCH($A86,'Top Down inputs'!$H$50:$H$89,0)))</f>
        <v>220.64503346601316</v>
      </c>
      <c r="E86" s="183">
        <v>165.38611998990447</v>
      </c>
      <c r="F86" s="183">
        <v>138.04282113019377</v>
      </c>
      <c r="G86" s="183">
        <v>216.64320414877386</v>
      </c>
      <c r="H86" s="19">
        <f>INDEX([4]StartPrices!$Q$10:$Q$609,MATCH($A86,[4]StartPrices!$B$10:$B$609,0))</f>
        <v>201.56882523923542</v>
      </c>
      <c r="I86" s="19">
        <f>INDEX([4]StartPrices!$U$10:$U$609,MATCH($A86,[4]StartPrices!$B$10:$B$609,0))</f>
        <v>215.9690940517936</v>
      </c>
      <c r="J86" s="30">
        <f t="shared" si="59"/>
        <v>239.802156116589</v>
      </c>
      <c r="K86" s="30">
        <f t="shared" ref="K86:N86" si="71">J86*(1+($C86+K$62))</f>
        <v>260.1699395290284</v>
      </c>
      <c r="L86" s="30">
        <f t="shared" si="71"/>
        <v>282.53347104231199</v>
      </c>
      <c r="M86" s="30">
        <f t="shared" si="71"/>
        <v>306.57561158158603</v>
      </c>
      <c r="N86" s="30">
        <f t="shared" si="71"/>
        <v>332.63419102228238</v>
      </c>
      <c r="O86" s="103">
        <f t="shared" si="23"/>
        <v>323.04258320862738</v>
      </c>
      <c r="P86" s="103">
        <f t="shared" si="69"/>
        <v>454.21281373310626</v>
      </c>
      <c r="Q86" s="103">
        <f t="shared" si="69"/>
        <v>0</v>
      </c>
      <c r="R86" s="103">
        <f t="shared" si="69"/>
        <v>0</v>
      </c>
      <c r="S86" s="103">
        <f t="shared" si="69"/>
        <v>0</v>
      </c>
      <c r="U86" s="9" t="s">
        <v>275</v>
      </c>
      <c r="V86" s="9" t="s">
        <v>299</v>
      </c>
      <c r="W86" s="9" t="str">
        <v>WN350</v>
      </c>
      <c r="X86" t="s">
        <v>300</v>
      </c>
      <c r="Y86" s="28">
        <f t="shared" si="42"/>
        <v>165.38611998990447</v>
      </c>
      <c r="Z86" s="28">
        <f t="shared" si="43"/>
        <v>138.04282113019377</v>
      </c>
      <c r="AA86" s="28">
        <f t="shared" si="44"/>
        <v>216.64320414877386</v>
      </c>
      <c r="AB86" s="28">
        <f t="shared" si="45"/>
        <v>201.56882523923542</v>
      </c>
      <c r="AC86" s="28">
        <f t="shared" si="46"/>
        <v>215.9690940517936</v>
      </c>
      <c r="AD86" s="28">
        <f t="shared" si="47"/>
        <v>239.802156116589</v>
      </c>
      <c r="AE86" s="28">
        <f t="shared" si="48"/>
        <v>260.1699395290284</v>
      </c>
      <c r="AF86" s="28">
        <f t="shared" si="49"/>
        <v>282.53347104231199</v>
      </c>
      <c r="AG86" s="28">
        <f t="shared" si="50"/>
        <v>306.57561158158603</v>
      </c>
      <c r="AH86" s="28">
        <f t="shared" si="51"/>
        <v>332.63419102228238</v>
      </c>
      <c r="AI86" s="28">
        <f t="shared" si="52"/>
        <v>323.04258320862738</v>
      </c>
      <c r="AJ86" s="28">
        <f t="shared" si="53"/>
        <v>454.21281373310626</v>
      </c>
      <c r="AK86" s="28">
        <f t="shared" si="54"/>
        <v>0</v>
      </c>
      <c r="AL86" s="28">
        <f t="shared" si="55"/>
        <v>0</v>
      </c>
      <c r="AM86" s="28">
        <f t="shared" si="56"/>
        <v>0</v>
      </c>
      <c r="AP86" t="str">
        <v/>
      </c>
    </row>
    <row r="87" spans="1:45" ht="14.65" thickBot="1" x14ac:dyDescent="0.5">
      <c r="A87" s="9" t="str">
        <v>WX349</v>
      </c>
      <c r="B87" t="s">
        <v>301</v>
      </c>
      <c r="C87" s="25">
        <f>IF($B$2="Discounted",INDEX('Top Down inputs'!$D$50:$F$89,MATCH($A87,'Top Down inputs'!$A$50:$A$89,0),MATCH('Copper Weighted Price'!$B$62,'Top Down inputs'!$D$47:$F$47,0)),INDEX('Top Down inputs'!$D$5:$F$44,MATCH($A87,'Top Down inputs'!$A$5:$A$44,0),MATCH('Copper Weighted Price'!$B$62,'Top Down inputs'!$D$2:$F$2,0)))</f>
        <v>6.5000000000000002E-2</v>
      </c>
      <c r="D87" s="13">
        <f>IF($B$2="Headline",INDEX('Top Down inputs'!$J$5:$J$44,MATCH($A87,'Top Down inputs'!$H$5:$H$44,0)),INDEX('Top Down inputs'!$J$50:$J$89,MATCH($A87,'Top Down inputs'!$H$50:$H$89,0)))</f>
        <v>176.58805191581328</v>
      </c>
      <c r="E87" s="183">
        <v>145.4565516059393</v>
      </c>
      <c r="F87" s="183">
        <v>172.6105277314191</v>
      </c>
      <c r="G87" s="183">
        <v>135.79740229493805</v>
      </c>
      <c r="H87" s="19">
        <f>INDEX([4]StartPrices!$Q$10:$Q$609,MATCH($A87,[4]StartPrices!$B$10:$B$609,0))</f>
        <v>170.12563405863042</v>
      </c>
      <c r="I87" s="19">
        <f>INDEX([4]StartPrices!$U$10:$U$609,MATCH($A87,[4]StartPrices!$B$10:$B$609,0))</f>
        <v>178.35483829354928</v>
      </c>
      <c r="J87" s="30">
        <f t="shared" si="59"/>
        <v>191.92000349449486</v>
      </c>
      <c r="K87" s="30">
        <f t="shared" ref="K87:N87" si="72">J87*(1+($C87+K$62))</f>
        <v>208.22087887857597</v>
      </c>
      <c r="L87" s="30">
        <f t="shared" si="72"/>
        <v>226.11900421524686</v>
      </c>
      <c r="M87" s="30">
        <f t="shared" si="72"/>
        <v>245.36056472093827</v>
      </c>
      <c r="N87" s="30">
        <f t="shared" si="72"/>
        <v>266.21593457377861</v>
      </c>
      <c r="O87" s="103">
        <f t="shared" si="23"/>
        <v>0</v>
      </c>
      <c r="P87" s="103">
        <f t="shared" si="69"/>
        <v>0</v>
      </c>
      <c r="Q87" s="103">
        <f t="shared" si="69"/>
        <v>0</v>
      </c>
      <c r="R87" s="103">
        <f t="shared" si="69"/>
        <v>0</v>
      </c>
      <c r="S87" s="103">
        <f t="shared" si="69"/>
        <v>0</v>
      </c>
      <c r="U87" s="9" t="s">
        <v>275</v>
      </c>
      <c r="V87" s="9" t="s">
        <v>299</v>
      </c>
      <c r="W87" s="9" t="str">
        <v>WX349</v>
      </c>
      <c r="X87" t="s">
        <v>301</v>
      </c>
      <c r="Y87" s="28">
        <f t="shared" si="42"/>
        <v>145.4565516059393</v>
      </c>
      <c r="Z87" s="28">
        <f t="shared" si="43"/>
        <v>172.6105277314191</v>
      </c>
      <c r="AA87" s="28">
        <f t="shared" si="44"/>
        <v>135.79740229493805</v>
      </c>
      <c r="AB87" s="28">
        <f t="shared" si="45"/>
        <v>170.12563405863042</v>
      </c>
      <c r="AC87" s="28">
        <f t="shared" si="46"/>
        <v>178.35483829354928</v>
      </c>
      <c r="AD87" s="28">
        <f t="shared" si="47"/>
        <v>191.92000349449486</v>
      </c>
      <c r="AE87" s="28">
        <f t="shared" si="48"/>
        <v>208.22087887857597</v>
      </c>
      <c r="AF87" s="28">
        <f t="shared" si="49"/>
        <v>226.11900421524686</v>
      </c>
      <c r="AG87" s="28">
        <f t="shared" si="50"/>
        <v>245.36056472093827</v>
      </c>
      <c r="AH87" s="28">
        <f t="shared" si="51"/>
        <v>266.21593457377861</v>
      </c>
      <c r="AI87" s="28">
        <f t="shared" si="52"/>
        <v>0</v>
      </c>
      <c r="AJ87" s="28">
        <f t="shared" si="53"/>
        <v>0</v>
      </c>
      <c r="AK87" s="28">
        <f t="shared" si="54"/>
        <v>0</v>
      </c>
      <c r="AL87" s="28">
        <f t="shared" si="55"/>
        <v>0</v>
      </c>
      <c r="AM87" s="28">
        <f t="shared" si="56"/>
        <v>0</v>
      </c>
      <c r="AP87" t="str">
        <v/>
      </c>
    </row>
    <row r="88" spans="1:45" ht="14.65" thickBot="1" x14ac:dyDescent="0.5">
      <c r="A88" s="9" t="str">
        <v>WX351</v>
      </c>
      <c r="B88" t="s">
        <v>302</v>
      </c>
      <c r="C88" s="25">
        <f>IF($B$2="Discounted",INDEX('Top Down inputs'!$D$50:$F$89,MATCH($A88,'Top Down inputs'!$A$50:$A$89,0),MATCH('Copper Weighted Price'!$B$62,'Top Down inputs'!$D$47:$F$47,0)),INDEX('Top Down inputs'!$D$5:$F$44,MATCH($A88,'Top Down inputs'!$A$5:$A$44,0),MATCH('Copper Weighted Price'!$B$62,'Top Down inputs'!$D$2:$F$2,0)))</f>
        <v>6.5000000000000002E-2</v>
      </c>
      <c r="D88" s="13">
        <f>IF($B$2="Headline",INDEX('Top Down inputs'!$J$5:$J$44,MATCH($A88,'Top Down inputs'!$H$5:$H$44,0)),INDEX('Top Down inputs'!$J$50:$J$89,MATCH($A88,'Top Down inputs'!$H$50:$H$89,0)))</f>
        <v>234.80405909790278</v>
      </c>
      <c r="E88" s="183">
        <v>138.56373194869053</v>
      </c>
      <c r="F88" s="183">
        <v>159.95215311000374</v>
      </c>
      <c r="G88" s="183">
        <v>177.17707957963754</v>
      </c>
      <c r="H88" s="19">
        <f>INDEX([4]StartPrices!$Q$10:$Q$609,MATCH($A88,[4]StartPrices!$B$10:$B$609,0))</f>
        <v>180.70452031567345</v>
      </c>
      <c r="I88" s="19">
        <f>INDEX([4]StartPrices!$U$10:$U$609,MATCH($A88,[4]StartPrices!$B$10:$B$609,0))</f>
        <v>176.43949826972155</v>
      </c>
      <c r="J88" s="30">
        <f t="shared" si="59"/>
        <v>255.1905146112305</v>
      </c>
      <c r="K88" s="30">
        <f t="shared" ref="K88:N88" si="73">J88*(1+($C88+K$62))</f>
        <v>276.86532027054011</v>
      </c>
      <c r="L88" s="30">
        <f t="shared" si="73"/>
        <v>300.6639433013716</v>
      </c>
      <c r="M88" s="30">
        <f t="shared" si="73"/>
        <v>326.24889347834142</v>
      </c>
      <c r="N88" s="30">
        <f t="shared" si="73"/>
        <v>353.979679578012</v>
      </c>
      <c r="O88" s="103">
        <f t="shared" si="23"/>
        <v>318.31576243583373</v>
      </c>
      <c r="P88" s="103">
        <f t="shared" si="69"/>
        <v>447.56668509613905</v>
      </c>
      <c r="Q88" s="103">
        <f t="shared" si="69"/>
        <v>0</v>
      </c>
      <c r="R88" s="103">
        <f t="shared" si="69"/>
        <v>0</v>
      </c>
      <c r="S88" s="103">
        <f t="shared" si="69"/>
        <v>0</v>
      </c>
      <c r="U88" s="9" t="s">
        <v>275</v>
      </c>
      <c r="V88" s="9" t="s">
        <v>299</v>
      </c>
      <c r="W88" s="9" t="str">
        <v>WX351</v>
      </c>
      <c r="X88" t="s">
        <v>302</v>
      </c>
      <c r="Y88" s="28">
        <f t="shared" si="42"/>
        <v>138.56373194869053</v>
      </c>
      <c r="Z88" s="28">
        <f t="shared" si="43"/>
        <v>159.95215311000374</v>
      </c>
      <c r="AA88" s="28">
        <f t="shared" si="44"/>
        <v>177.17707957963754</v>
      </c>
      <c r="AB88" s="28">
        <f t="shared" si="45"/>
        <v>180.70452031567345</v>
      </c>
      <c r="AC88" s="28">
        <f t="shared" si="46"/>
        <v>176.43949826972155</v>
      </c>
      <c r="AD88" s="28">
        <f t="shared" si="47"/>
        <v>255.1905146112305</v>
      </c>
      <c r="AE88" s="28">
        <f t="shared" si="48"/>
        <v>276.86532027054011</v>
      </c>
      <c r="AF88" s="28">
        <f t="shared" si="49"/>
        <v>300.6639433013716</v>
      </c>
      <c r="AG88" s="28">
        <f t="shared" si="50"/>
        <v>326.24889347834142</v>
      </c>
      <c r="AH88" s="28">
        <f t="shared" si="51"/>
        <v>353.979679578012</v>
      </c>
      <c r="AI88" s="28">
        <f t="shared" si="52"/>
        <v>318.31576243583373</v>
      </c>
      <c r="AJ88" s="28">
        <f t="shared" si="53"/>
        <v>447.56668509613905</v>
      </c>
      <c r="AK88" s="28">
        <f t="shared" si="54"/>
        <v>0</v>
      </c>
      <c r="AL88" s="28">
        <f t="shared" si="55"/>
        <v>0</v>
      </c>
      <c r="AM88" s="28">
        <f t="shared" si="56"/>
        <v>0</v>
      </c>
      <c r="AP88" t="str">
        <v/>
      </c>
    </row>
    <row r="89" spans="1:45" ht="14.65" thickBot="1" x14ac:dyDescent="0.5">
      <c r="A89" s="9" t="str">
        <v>WX355</v>
      </c>
      <c r="B89" t="s">
        <v>303</v>
      </c>
      <c r="C89" s="25">
        <f>IF($B$2="Discounted",INDEX('Top Down inputs'!$D$50:$F$89,MATCH($A89,'Top Down inputs'!$A$50:$A$89,0),MATCH('Copper Weighted Price'!$B$62,'Top Down inputs'!$D$47:$F$47,0)),INDEX('Top Down inputs'!$D$5:$F$44,MATCH($A89,'Top Down inputs'!$A$5:$A$44,0),MATCH('Copper Weighted Price'!$B$62,'Top Down inputs'!$D$2:$F$2,0)))</f>
        <v>0.77500000000000002</v>
      </c>
      <c r="D89" s="13">
        <f>IF($B$2="Headline",INDEX('Top Down inputs'!$J$5:$J$44,MATCH($A89,'Top Down inputs'!$H$5:$H$44,0)),INDEX('Top Down inputs'!$J$50:$J$89,MATCH($A89,'Top Down inputs'!$H$50:$H$89,0)))</f>
        <v>48.288224428923911</v>
      </c>
      <c r="E89" s="183">
        <v>50.984995674377856</v>
      </c>
      <c r="F89" s="183">
        <v>33.419546301259587</v>
      </c>
      <c r="G89" s="183">
        <v>33.389996491467969</v>
      </c>
      <c r="H89" s="19">
        <f>INDEX([4]StartPrices!$Q$10:$Q$609,MATCH($A89,[4]StartPrices!$B$10:$B$609,0))</f>
        <v>31.273932726621325</v>
      </c>
      <c r="I89" s="19">
        <f>INDEX([4]StartPrices!$U$10:$U$609,MATCH($A89,[4]StartPrices!$B$10:$B$609,0))</f>
        <v>45.355787185237716</v>
      </c>
      <c r="J89" s="30">
        <f t="shared" si="59"/>
        <v>86.765405175511972</v>
      </c>
      <c r="K89" s="30">
        <f t="shared" ref="K89:N89" si="74">J89*(1+($C89+K$62))</f>
        <v>155.73833030147341</v>
      </c>
      <c r="L89" s="30">
        <f t="shared" si="74"/>
        <v>279.69940674056744</v>
      </c>
      <c r="M89" s="30">
        <f t="shared" si="74"/>
        <v>502.08696181707404</v>
      </c>
      <c r="N89" s="30">
        <f t="shared" si="74"/>
        <v>901.24552728010474</v>
      </c>
      <c r="O89" s="103">
        <f t="shared" si="23"/>
        <v>0</v>
      </c>
      <c r="P89" s="103">
        <f t="shared" si="69"/>
        <v>0</v>
      </c>
      <c r="Q89" s="103">
        <f t="shared" si="69"/>
        <v>0</v>
      </c>
      <c r="R89" s="103">
        <f t="shared" si="69"/>
        <v>0</v>
      </c>
      <c r="S89" s="103">
        <f t="shared" si="69"/>
        <v>0</v>
      </c>
      <c r="U89" s="9" t="s">
        <v>3</v>
      </c>
      <c r="V89" s="9" t="s">
        <v>299</v>
      </c>
      <c r="W89" s="9" t="str">
        <v>WX355</v>
      </c>
      <c r="X89" t="s">
        <v>303</v>
      </c>
      <c r="Y89" s="28">
        <f>E89</f>
        <v>50.984995674377856</v>
      </c>
      <c r="Z89" s="28">
        <f t="shared" si="43"/>
        <v>33.419546301259587</v>
      </c>
      <c r="AA89" s="28">
        <f t="shared" si="44"/>
        <v>33.389996491467969</v>
      </c>
      <c r="AB89" s="28">
        <f t="shared" si="45"/>
        <v>31.273932726621325</v>
      </c>
      <c r="AC89" s="28">
        <f t="shared" si="46"/>
        <v>45.355787185237716</v>
      </c>
      <c r="AD89" s="28">
        <f t="shared" si="47"/>
        <v>86.765405175511972</v>
      </c>
      <c r="AE89" s="28">
        <f t="shared" si="48"/>
        <v>155.73833030147341</v>
      </c>
      <c r="AF89" s="28">
        <f t="shared" si="49"/>
        <v>279.69940674056744</v>
      </c>
      <c r="AG89" s="28">
        <f t="shared" si="50"/>
        <v>502.08696181707404</v>
      </c>
      <c r="AH89" s="28">
        <f t="shared" si="51"/>
        <v>901.24552728010474</v>
      </c>
      <c r="AI89" s="28">
        <f t="shared" si="52"/>
        <v>0</v>
      </c>
      <c r="AJ89" s="28">
        <f t="shared" si="53"/>
        <v>0</v>
      </c>
      <c r="AK89" s="28">
        <f t="shared" si="54"/>
        <v>0</v>
      </c>
      <c r="AL89" s="28">
        <f t="shared" si="55"/>
        <v>0</v>
      </c>
      <c r="AM89" s="28">
        <f t="shared" si="56"/>
        <v>0</v>
      </c>
      <c r="AP89" t="str">
        <v>WX355</v>
      </c>
    </row>
    <row r="90" spans="1:45" ht="14.65" thickBot="1" x14ac:dyDescent="0.5">
      <c r="A90" s="9" t="str">
        <v>WN354</v>
      </c>
      <c r="B90" t="s">
        <v>304</v>
      </c>
      <c r="C90" s="25">
        <f>IF($B$2="Discounted",INDEX('Top Down inputs'!$D$50:$F$89,MATCH($A90,'Top Down inputs'!$A$50:$A$89,0),MATCH('Copper Weighted Price'!$B$62,'Top Down inputs'!$D$47:$F$47,0)),INDEX('Top Down inputs'!$D$5:$F$44,MATCH($A90,'Top Down inputs'!$A$5:$A$44,0),MATCH('Copper Weighted Price'!$B$62,'Top Down inputs'!$D$2:$F$2,0)))</f>
        <v>0.77500000000000002</v>
      </c>
      <c r="D90" s="13">
        <f>IF($B$2="Headline",INDEX('Top Down inputs'!$J$5:$J$44,MATCH($A90,'Top Down inputs'!$H$5:$H$44,0)),INDEX('Top Down inputs'!$J$50:$J$89,MATCH($A90,'Top Down inputs'!$H$50:$H$89,0)))</f>
        <v>53.605404041605752</v>
      </c>
      <c r="E90" s="183">
        <v>16.92577121680031</v>
      </c>
      <c r="F90" s="183">
        <v>32.709812337904751</v>
      </c>
      <c r="G90" s="183">
        <v>30.408724173639566</v>
      </c>
      <c r="H90" s="19">
        <f>INDEX([4]StartPrices!$Q$10:$Q$609,MATCH($A90,[4]StartPrices!$B$10:$B$609,0))</f>
        <v>31.339039097179224</v>
      </c>
      <c r="I90" s="19">
        <f>INDEX([4]StartPrices!$U$10:$U$609,MATCH($A90,[4]StartPrices!$B$10:$B$609,0))</f>
        <v>37.205135094451819</v>
      </c>
      <c r="J90" s="30">
        <f t="shared" si="59"/>
        <v>96.319437218342102</v>
      </c>
      <c r="K90" s="30">
        <f t="shared" ref="K90:N90" si="75">J90*(1+($C90+K$62))</f>
        <v>172.8872042678579</v>
      </c>
      <c r="L90" s="30">
        <f t="shared" si="75"/>
        <v>310.49805383907898</v>
      </c>
      <c r="M90" s="30">
        <f t="shared" si="75"/>
        <v>557.37345430545827</v>
      </c>
      <c r="N90" s="30">
        <f t="shared" si="75"/>
        <v>1000.4847186222507</v>
      </c>
      <c r="O90" s="103">
        <f t="shared" si="23"/>
        <v>0</v>
      </c>
      <c r="P90" s="103">
        <f t="shared" si="69"/>
        <v>0</v>
      </c>
      <c r="Q90" s="103">
        <f t="shared" si="69"/>
        <v>0</v>
      </c>
      <c r="R90" s="103">
        <f t="shared" si="69"/>
        <v>0</v>
      </c>
      <c r="S90" s="103">
        <f t="shared" si="69"/>
        <v>0</v>
      </c>
      <c r="U90" s="9" t="s">
        <v>3</v>
      </c>
      <c r="V90" s="9" t="s">
        <v>299</v>
      </c>
      <c r="W90" s="9" t="str">
        <v>WN354</v>
      </c>
      <c r="X90" t="s">
        <v>304</v>
      </c>
      <c r="Y90" s="28">
        <f t="shared" si="42"/>
        <v>16.92577121680031</v>
      </c>
      <c r="Z90" s="28">
        <f t="shared" si="43"/>
        <v>32.709812337904751</v>
      </c>
      <c r="AA90" s="28">
        <f t="shared" si="44"/>
        <v>30.408724173639566</v>
      </c>
      <c r="AB90" s="28">
        <f t="shared" si="45"/>
        <v>31.339039097179224</v>
      </c>
      <c r="AC90" s="28">
        <f t="shared" si="46"/>
        <v>37.205135094451819</v>
      </c>
      <c r="AD90" s="28">
        <f t="shared" si="47"/>
        <v>96.319437218342102</v>
      </c>
      <c r="AE90" s="28">
        <f t="shared" si="48"/>
        <v>172.8872042678579</v>
      </c>
      <c r="AF90" s="28">
        <f t="shared" si="49"/>
        <v>310.49805383907898</v>
      </c>
      <c r="AG90" s="28">
        <f t="shared" si="50"/>
        <v>557.37345430545827</v>
      </c>
      <c r="AH90" s="28">
        <f t="shared" si="51"/>
        <v>1000.4847186222507</v>
      </c>
      <c r="AI90" s="28">
        <f t="shared" si="52"/>
        <v>0</v>
      </c>
      <c r="AJ90" s="28">
        <f t="shared" si="53"/>
        <v>0</v>
      </c>
      <c r="AK90" s="28">
        <f t="shared" si="54"/>
        <v>0</v>
      </c>
      <c r="AL90" s="28">
        <f t="shared" si="55"/>
        <v>0</v>
      </c>
      <c r="AM90" s="28">
        <f t="shared" si="56"/>
        <v>0</v>
      </c>
      <c r="AP90" t="str">
        <v>WN354</v>
      </c>
    </row>
    <row r="91" spans="1:45" ht="14.65" thickBot="1" x14ac:dyDescent="0.5">
      <c r="A91" s="9" t="str">
        <v>WN158</v>
      </c>
      <c r="B91" t="s">
        <v>305</v>
      </c>
      <c r="C91" s="25">
        <f>IF($B$2="Discounted",INDEX('Top Down inputs'!$D$50:$F$89,MATCH($A91,'Top Down inputs'!$A$50:$A$89,0),MATCH('Copper Weighted Price'!$B$62,'Top Down inputs'!$D$47:$F$47,0)),INDEX('Top Down inputs'!$D$5:$F$44,MATCH($A91,'Top Down inputs'!$A$5:$A$44,0),MATCH('Copper Weighted Price'!$B$62,'Top Down inputs'!$D$2:$F$2,0)))</f>
        <v>-0.02</v>
      </c>
      <c r="D91" s="13">
        <f>IF($B$2="Headline",INDEX('Top Down inputs'!$J$5:$J$44,MATCH($A91,'Top Down inputs'!$H$5:$H$44,0)),INDEX('Top Down inputs'!$J$50:$J$89,MATCH($A91,'Top Down inputs'!$H$50:$H$89,0)))</f>
        <v>8.1915891862328358</v>
      </c>
      <c r="E91" s="183">
        <v>6.2421874880663033</v>
      </c>
      <c r="F91" s="183">
        <v>8.1716227619916832</v>
      </c>
      <c r="G91" s="183">
        <v>8.500107286152792</v>
      </c>
      <c r="H91" s="19">
        <f>INDEX([4]StartPrices!$Q$10:$Q$609,MATCH($A91,[4]StartPrices!$B$10:$B$609,0))</f>
        <v>7.880076014122583</v>
      </c>
      <c r="I91" s="19">
        <f>INDEX([4]StartPrices!$U$10:$U$609,MATCH($A91,[4]StartPrices!$B$10:$B$609,0))</f>
        <v>7.2668138842427537</v>
      </c>
      <c r="J91" s="30">
        <f t="shared" si="59"/>
        <v>8.2065246403894605</v>
      </c>
      <c r="K91" s="30">
        <f t="shared" ref="K91:N91" si="76">J91*(1+($C91+K$62))</f>
        <v>8.2059976254875178</v>
      </c>
      <c r="L91" s="30">
        <f t="shared" si="76"/>
        <v>8.213854046138394</v>
      </c>
      <c r="M91" s="30">
        <f t="shared" si="76"/>
        <v>8.2146330488202572</v>
      </c>
      <c r="N91" s="30">
        <f t="shared" si="76"/>
        <v>8.21462373645433</v>
      </c>
      <c r="O91" s="103">
        <f t="shared" si="23"/>
        <v>0</v>
      </c>
      <c r="P91" s="103">
        <f t="shared" si="69"/>
        <v>0</v>
      </c>
      <c r="Q91" s="103">
        <f t="shared" si="69"/>
        <v>0</v>
      </c>
      <c r="R91" s="103">
        <f t="shared" si="69"/>
        <v>0</v>
      </c>
      <c r="S91" s="103">
        <f t="shared" si="69"/>
        <v>0</v>
      </c>
      <c r="U91" s="9" t="s">
        <v>275</v>
      </c>
      <c r="V91" s="9" t="s">
        <v>261</v>
      </c>
      <c r="W91" s="9" t="str">
        <v>WN158</v>
      </c>
      <c r="X91" t="s">
        <v>305</v>
      </c>
      <c r="Y91" s="28">
        <f t="shared" si="42"/>
        <v>6.2421874880663033</v>
      </c>
      <c r="Z91" s="28">
        <f t="shared" si="43"/>
        <v>8.1716227619916832</v>
      </c>
      <c r="AA91" s="28">
        <f t="shared" si="44"/>
        <v>8.500107286152792</v>
      </c>
      <c r="AB91" s="28">
        <f t="shared" si="45"/>
        <v>7.880076014122583</v>
      </c>
      <c r="AC91" s="28">
        <f t="shared" si="46"/>
        <v>7.2668138842427537</v>
      </c>
      <c r="AD91" s="28">
        <f t="shared" si="47"/>
        <v>8.2065246403894605</v>
      </c>
      <c r="AE91" s="28">
        <f t="shared" si="48"/>
        <v>8.2059976254875178</v>
      </c>
      <c r="AF91" s="28">
        <f t="shared" si="49"/>
        <v>8.213854046138394</v>
      </c>
      <c r="AG91" s="28">
        <f t="shared" si="50"/>
        <v>8.2146330488202572</v>
      </c>
      <c r="AH91" s="28">
        <f t="shared" si="51"/>
        <v>8.21462373645433</v>
      </c>
      <c r="AI91" s="28">
        <f t="shared" si="52"/>
        <v>0</v>
      </c>
      <c r="AJ91" s="28">
        <f t="shared" si="53"/>
        <v>0</v>
      </c>
      <c r="AK91" s="28">
        <f t="shared" si="54"/>
        <v>0</v>
      </c>
      <c r="AL91" s="28">
        <f t="shared" si="55"/>
        <v>0</v>
      </c>
      <c r="AM91" s="28">
        <f t="shared" si="56"/>
        <v>0</v>
      </c>
      <c r="AP91" t="str">
        <v/>
      </c>
    </row>
    <row r="92" spans="1:45" ht="14.65" thickBot="1" x14ac:dyDescent="0.5">
      <c r="A92" s="9" t="str">
        <v>WX135</v>
      </c>
      <c r="B92" t="s">
        <v>306</v>
      </c>
      <c r="C92" s="25">
        <f>IF($B$2="Discounted",INDEX('Top Down inputs'!$D$50:$F$89,MATCH($A92,'Top Down inputs'!$A$50:$A$89,0),MATCH('Copper Weighted Price'!$B$62,'Top Down inputs'!$D$47:$F$47,0)),INDEX('Top Down inputs'!$D$5:$F$44,MATCH($A92,'Top Down inputs'!$A$5:$A$44,0),MATCH('Copper Weighted Price'!$B$62,'Top Down inputs'!$D$2:$F$2,0)))</f>
        <v>-0.02</v>
      </c>
      <c r="D92" s="13">
        <f>IF($B$2="Headline",INDEX('Top Down inputs'!$J$5:$J$44,MATCH($A92,'Top Down inputs'!$H$5:$H$44,0)),INDEX('Top Down inputs'!$J$50:$J$89,MATCH($A92,'Top Down inputs'!$H$50:$H$89,0)))</f>
        <v>7.4645364398022611</v>
      </c>
      <c r="E92" s="183">
        <v>5.8419307046279014</v>
      </c>
      <c r="F92" s="183">
        <v>5.7308412796625747</v>
      </c>
      <c r="G92" s="183">
        <v>8.7535972896096901</v>
      </c>
      <c r="H92" s="19">
        <f>INDEX([4]StartPrices!$Q$10:$Q$609,MATCH($A92,[4]StartPrices!$B$10:$B$609,0))</f>
        <v>6.4516190562049429</v>
      </c>
      <c r="I92" s="19">
        <f>INDEX([4]StartPrices!$U$10:$U$609,MATCH($A92,[4]StartPrices!$B$10:$B$609,0))</f>
        <v>8.1913477350862181</v>
      </c>
      <c r="J92" s="30">
        <f t="shared" si="59"/>
        <v>7.4781462826865317</v>
      </c>
      <c r="K92" s="30">
        <f t="shared" ref="K92:N92" si="77">J92*(1+($C92+K$62))</f>
        <v>7.4776660435228681</v>
      </c>
      <c r="L92" s="30">
        <f t="shared" si="77"/>
        <v>7.484825159648155</v>
      </c>
      <c r="M92" s="30">
        <f t="shared" si="77"/>
        <v>7.4855350211626028</v>
      </c>
      <c r="N92" s="30">
        <f t="shared" si="77"/>
        <v>7.4855265353250893</v>
      </c>
      <c r="O92" s="103">
        <f t="shared" si="23"/>
        <v>0</v>
      </c>
      <c r="P92" s="103">
        <f t="shared" si="69"/>
        <v>0</v>
      </c>
      <c r="Q92" s="103">
        <f t="shared" si="69"/>
        <v>0</v>
      </c>
      <c r="R92" s="103">
        <f t="shared" si="69"/>
        <v>0</v>
      </c>
      <c r="S92" s="103">
        <f t="shared" si="69"/>
        <v>0</v>
      </c>
      <c r="U92" s="9" t="s">
        <v>275</v>
      </c>
      <c r="V92" s="9" t="s">
        <v>261</v>
      </c>
      <c r="W92" s="9" t="str">
        <v>WX135</v>
      </c>
      <c r="X92" t="s">
        <v>306</v>
      </c>
      <c r="Y92" s="28">
        <f t="shared" si="42"/>
        <v>5.8419307046279014</v>
      </c>
      <c r="Z92" s="28">
        <f t="shared" si="43"/>
        <v>5.7308412796625747</v>
      </c>
      <c r="AA92" s="28">
        <f t="shared" si="44"/>
        <v>8.7535972896096901</v>
      </c>
      <c r="AB92" s="28">
        <f t="shared" si="45"/>
        <v>6.4516190562049429</v>
      </c>
      <c r="AC92" s="28">
        <f t="shared" si="46"/>
        <v>8.1913477350862181</v>
      </c>
      <c r="AD92" s="28">
        <f t="shared" si="47"/>
        <v>7.4781462826865317</v>
      </c>
      <c r="AE92" s="28">
        <f t="shared" si="48"/>
        <v>7.4776660435228681</v>
      </c>
      <c r="AF92" s="28">
        <f t="shared" si="49"/>
        <v>7.484825159648155</v>
      </c>
      <c r="AG92" s="28">
        <f t="shared" si="50"/>
        <v>7.4855350211626028</v>
      </c>
      <c r="AH92" s="28">
        <f t="shared" si="51"/>
        <v>7.4855265353250893</v>
      </c>
      <c r="AI92" s="28">
        <f t="shared" si="52"/>
        <v>0</v>
      </c>
      <c r="AJ92" s="28">
        <f t="shared" si="53"/>
        <v>0</v>
      </c>
      <c r="AK92" s="28">
        <f t="shared" si="54"/>
        <v>0</v>
      </c>
      <c r="AL92" s="28">
        <f t="shared" si="55"/>
        <v>0</v>
      </c>
      <c r="AM92" s="28">
        <f t="shared" si="56"/>
        <v>0</v>
      </c>
      <c r="AP92" t="str">
        <v/>
      </c>
    </row>
    <row r="93" spans="1:45" ht="14.65" thickBot="1" x14ac:dyDescent="0.5">
      <c r="A93" s="9" t="str">
        <v>WN138</v>
      </c>
      <c r="B93" t="s">
        <v>307</v>
      </c>
      <c r="C93" s="25">
        <f>IF($B$2="Discounted",INDEX('Top Down inputs'!$D$50:$F$89,MATCH($A93,'Top Down inputs'!$A$50:$A$89,0),MATCH('Copper Weighted Price'!$B$62,'Top Down inputs'!$D$47:$F$47,0)),INDEX('Top Down inputs'!$D$5:$F$44,MATCH($A93,'Top Down inputs'!$A$5:$A$44,0),MATCH('Copper Weighted Price'!$B$62,'Top Down inputs'!$D$2:$F$2,0)))</f>
        <v>0.1825</v>
      </c>
      <c r="D93" s="13">
        <f>IF($B$2="Headline",INDEX('Top Down inputs'!$J$5:$J$44,MATCH($A93,'Top Down inputs'!$H$5:$H$44,0)),INDEX('Top Down inputs'!$J$50:$J$89,MATCH($A93,'Top Down inputs'!$H$50:$H$89,0)))</f>
        <v>36.903122828170901</v>
      </c>
      <c r="E93" s="183">
        <v>28.173779897771958</v>
      </c>
      <c r="F93" s="183">
        <v>20.784573326782187</v>
      </c>
      <c r="G93" s="183">
        <v>35.214890286332299</v>
      </c>
      <c r="H93" s="19">
        <f>INDEX([4]StartPrices!$Q$10:$Q$609,MATCH($A93,[4]StartPrices!$B$10:$B$609,0))</f>
        <v>38.879325444222857</v>
      </c>
      <c r="I93" s="19">
        <f>INDEX([4]StartPrices!$U$10:$U$609,MATCH($A93,[4]StartPrices!$B$10:$B$609,0))</f>
        <v>32.608528260625313</v>
      </c>
      <c r="J93" s="30">
        <f t="shared" si="59"/>
        <v>44.443289446545784</v>
      </c>
      <c r="K93" s="30">
        <f t="shared" ref="K93:N93" si="78">J93*(1+($C93+K$62))</f>
        <v>53.440201455346099</v>
      </c>
      <c r="L93" s="30">
        <f t="shared" si="78"/>
        <v>64.313005889316358</v>
      </c>
      <c r="M93" s="30">
        <f t="shared" si="78"/>
        <v>77.342489033364458</v>
      </c>
      <c r="N93" s="30">
        <f t="shared" si="78"/>
        <v>93.004255384746969</v>
      </c>
      <c r="O93" s="103">
        <f t="shared" si="23"/>
        <v>0</v>
      </c>
      <c r="P93" s="103">
        <f t="shared" si="69"/>
        <v>0</v>
      </c>
      <c r="Q93" s="103">
        <f t="shared" si="69"/>
        <v>0</v>
      </c>
      <c r="R93" s="103">
        <f t="shared" si="69"/>
        <v>0</v>
      </c>
      <c r="S93" s="103">
        <f t="shared" si="69"/>
        <v>0</v>
      </c>
      <c r="U93" s="9" t="s">
        <v>3</v>
      </c>
      <c r="V93" s="9" t="s">
        <v>261</v>
      </c>
      <c r="W93" s="9" t="str">
        <v>WN138</v>
      </c>
      <c r="X93" t="s">
        <v>307</v>
      </c>
      <c r="Y93" s="28">
        <f t="shared" si="42"/>
        <v>28.173779897771958</v>
      </c>
      <c r="Z93" s="28">
        <f t="shared" si="43"/>
        <v>20.784573326782187</v>
      </c>
      <c r="AA93" s="28">
        <f t="shared" si="44"/>
        <v>35.214890286332299</v>
      </c>
      <c r="AB93" s="28">
        <f t="shared" si="45"/>
        <v>38.879325444222857</v>
      </c>
      <c r="AC93" s="28">
        <f t="shared" si="46"/>
        <v>32.608528260625313</v>
      </c>
      <c r="AD93" s="28">
        <f t="shared" si="47"/>
        <v>44.443289446545784</v>
      </c>
      <c r="AE93" s="28">
        <f t="shared" si="48"/>
        <v>53.440201455346099</v>
      </c>
      <c r="AF93" s="28">
        <f t="shared" si="49"/>
        <v>64.313005889316358</v>
      </c>
      <c r="AG93" s="28">
        <f t="shared" si="50"/>
        <v>77.342489033364458</v>
      </c>
      <c r="AH93" s="28">
        <f t="shared" si="51"/>
        <v>93.004255384746969</v>
      </c>
      <c r="AI93" s="28">
        <f t="shared" si="52"/>
        <v>0</v>
      </c>
      <c r="AJ93" s="28">
        <f t="shared" si="53"/>
        <v>0</v>
      </c>
      <c r="AK93" s="28">
        <f t="shared" si="54"/>
        <v>0</v>
      </c>
      <c r="AL93" s="28">
        <f t="shared" si="55"/>
        <v>0</v>
      </c>
      <c r="AM93" s="28">
        <f t="shared" si="56"/>
        <v>0</v>
      </c>
      <c r="AP93" t="str">
        <v>WN138</v>
      </c>
    </row>
    <row r="94" spans="1:45" ht="14.65" thickBot="1" x14ac:dyDescent="0.5">
      <c r="A94" s="9" t="str">
        <v>WX134</v>
      </c>
      <c r="B94" t="s">
        <v>308</v>
      </c>
      <c r="C94" s="25">
        <f>IF($B$2="Discounted",INDEX('Top Down inputs'!$D$50:$F$89,MATCH($A94,'Top Down inputs'!$A$50:$A$89,0),MATCH('Copper Weighted Price'!$B$62,'Top Down inputs'!$D$47:$F$47,0)),INDEX('Top Down inputs'!$D$5:$F$44,MATCH($A94,'Top Down inputs'!$A$5:$A$44,0),MATCH('Copper Weighted Price'!$B$62,'Top Down inputs'!$D$2:$F$2,0)))</f>
        <v>0.1825</v>
      </c>
      <c r="D94" s="13">
        <f>IF($B$2="Headline",INDEX('Top Down inputs'!$J$5:$J$44,MATCH($A94,'Top Down inputs'!$H$5:$H$44,0)),INDEX('Top Down inputs'!$J$50:$J$89,MATCH($A94,'Top Down inputs'!$H$50:$H$89,0)))</f>
        <v>33.780700386211755</v>
      </c>
      <c r="E94" s="183">
        <v>30.82996909151305</v>
      </c>
      <c r="F94" s="183">
        <v>28.317983447398539</v>
      </c>
      <c r="G94" s="183">
        <v>37.762647947589976</v>
      </c>
      <c r="H94" s="19">
        <f>INDEX([4]StartPrices!$Q$10:$Q$609,MATCH($A94,[4]StartPrices!$B$10:$B$609,0))</f>
        <v>36.121227611053683</v>
      </c>
      <c r="I94" s="19">
        <f>INDEX([4]StartPrices!$U$10:$U$609,MATCH($A94,[4]StartPrices!$B$10:$B$609,0))</f>
        <v>33.713914366721959</v>
      </c>
      <c r="J94" s="30">
        <f t="shared" si="59"/>
        <v>40.682883450323516</v>
      </c>
      <c r="K94" s="30">
        <f t="shared" ref="K94:N94" si="79">J94*(1+($C94+K$62))</f>
        <v>48.918554734445514</v>
      </c>
      <c r="L94" s="30">
        <f t="shared" si="79"/>
        <v>58.871396683675989</v>
      </c>
      <c r="M94" s="30">
        <f t="shared" si="79"/>
        <v>70.798437880858629</v>
      </c>
      <c r="N94" s="30">
        <f t="shared" si="79"/>
        <v>85.135041292400544</v>
      </c>
      <c r="O94" s="103">
        <f t="shared" si="23"/>
        <v>0</v>
      </c>
      <c r="P94" s="103">
        <f t="shared" si="69"/>
        <v>0</v>
      </c>
      <c r="Q94" s="103">
        <f t="shared" si="69"/>
        <v>0</v>
      </c>
      <c r="R94" s="103">
        <f t="shared" si="69"/>
        <v>0</v>
      </c>
      <c r="S94" s="103">
        <f t="shared" si="69"/>
        <v>0</v>
      </c>
      <c r="U94" s="9" t="s">
        <v>3</v>
      </c>
      <c r="V94" s="9" t="s">
        <v>261</v>
      </c>
      <c r="W94" s="9" t="str">
        <v>WX134</v>
      </c>
      <c r="X94" t="s">
        <v>308</v>
      </c>
      <c r="Y94" s="28">
        <f t="shared" si="42"/>
        <v>30.82996909151305</v>
      </c>
      <c r="Z94" s="28">
        <f t="shared" si="43"/>
        <v>28.317983447398539</v>
      </c>
      <c r="AA94" s="28">
        <f t="shared" si="44"/>
        <v>37.762647947589976</v>
      </c>
      <c r="AB94" s="28">
        <f t="shared" si="45"/>
        <v>36.121227611053683</v>
      </c>
      <c r="AC94" s="28">
        <f t="shared" si="46"/>
        <v>33.713914366721959</v>
      </c>
      <c r="AD94" s="28">
        <f t="shared" si="47"/>
        <v>40.682883450323516</v>
      </c>
      <c r="AE94" s="28">
        <f t="shared" si="48"/>
        <v>48.918554734445514</v>
      </c>
      <c r="AF94" s="28">
        <f t="shared" si="49"/>
        <v>58.871396683675989</v>
      </c>
      <c r="AG94" s="28">
        <f t="shared" si="50"/>
        <v>70.798437880858629</v>
      </c>
      <c r="AH94" s="28">
        <f t="shared" si="51"/>
        <v>85.135041292400544</v>
      </c>
      <c r="AI94" s="28">
        <f t="shared" si="52"/>
        <v>0</v>
      </c>
      <c r="AJ94" s="28">
        <f t="shared" si="53"/>
        <v>0</v>
      </c>
      <c r="AK94" s="28">
        <f t="shared" si="54"/>
        <v>0</v>
      </c>
      <c r="AL94" s="28">
        <f t="shared" si="55"/>
        <v>0</v>
      </c>
      <c r="AM94" s="28">
        <f t="shared" si="56"/>
        <v>0</v>
      </c>
      <c r="AP94" t="str">
        <v>WX134</v>
      </c>
    </row>
    <row r="95" spans="1:45" ht="14.65" thickBot="1" x14ac:dyDescent="0.5">
      <c r="A95" s="9" t="str">
        <v>SL121</v>
      </c>
      <c r="B95" t="s">
        <v>309</v>
      </c>
      <c r="C95" s="25">
        <f>IF($B$2="Discounted",INDEX('Top Down inputs'!$D$50:$F$89,MATCH($A95,'Top Down inputs'!$A$50:$A$89,0),MATCH('Copper Weighted Price'!$B$62,'Top Down inputs'!$D$47:$F$47,0)),INDEX('Top Down inputs'!$D$5:$F$44,MATCH($A95,'Top Down inputs'!$A$5:$A$44,0),MATCH('Copper Weighted Price'!$B$62,'Top Down inputs'!$D$2:$F$2,0)))</f>
        <v>-0.1075</v>
      </c>
      <c r="D95" s="13">
        <f>IF($B$2="Headline",INDEX('Top Down inputs'!$J$5:$J$44,MATCH($A95,'Top Down inputs'!$H$5:$H$44,0)),INDEX('Top Down inputs'!$J$50:$J$89,MATCH($A95,'Top Down inputs'!$H$50:$H$89,0)))</f>
        <v>177.02226088708801</v>
      </c>
      <c r="E95" s="183">
        <v>139.77560949312738</v>
      </c>
      <c r="F95" s="183">
        <v>106.50753503040416</v>
      </c>
      <c r="G95" s="183">
        <v>117.73571159088019</v>
      </c>
      <c r="H95" s="19">
        <f>INDEX([4]StartPrices!$Q$10:$Q$609,MATCH($A95,[4]StartPrices!$B$10:$B$609,0))</f>
        <v>121.41766927478932</v>
      </c>
      <c r="I95" s="19">
        <f>INDEX([4]StartPrices!$U$10:$U$609,MATCH($A95,[4]StartPrices!$B$10:$B$609,0))</f>
        <v>160.92508479937368</v>
      </c>
      <c r="J95" s="30">
        <f t="shared" si="59"/>
        <v>161.85557190418922</v>
      </c>
      <c r="K95" s="30">
        <f t="shared" ref="K95:N95" si="80">J95*(1+($C95+K$62))</f>
        <v>147.68281515770593</v>
      </c>
      <c r="L95" s="30">
        <f t="shared" si="80"/>
        <v>134.9019603320794</v>
      </c>
      <c r="M95" s="30">
        <f t="shared" si="80"/>
        <v>123.11083291749016</v>
      </c>
      <c r="N95" s="30">
        <f t="shared" si="80"/>
        <v>112.33849547490442</v>
      </c>
      <c r="O95" s="103">
        <f t="shared" si="23"/>
        <v>922.45762768362727</v>
      </c>
      <c r="P95" s="103">
        <f t="shared" si="69"/>
        <v>1000.929802659224</v>
      </c>
      <c r="Q95" s="103">
        <f t="shared" si="69"/>
        <v>0</v>
      </c>
      <c r="R95" s="103">
        <f t="shared" si="69"/>
        <v>0</v>
      </c>
      <c r="S95" s="103">
        <f t="shared" si="69"/>
        <v>0</v>
      </c>
      <c r="U95" s="9" t="s">
        <v>275</v>
      </c>
      <c r="V95" s="9" t="s">
        <v>261</v>
      </c>
      <c r="W95" s="9" t="str">
        <v>SL121</v>
      </c>
      <c r="X95" t="s">
        <v>309</v>
      </c>
      <c r="Y95" s="28">
        <f t="shared" si="42"/>
        <v>139.77560949312738</v>
      </c>
      <c r="Z95" s="28">
        <f t="shared" si="43"/>
        <v>106.50753503040416</v>
      </c>
      <c r="AA95" s="28">
        <f t="shared" si="44"/>
        <v>117.73571159088019</v>
      </c>
      <c r="AB95" s="28">
        <f t="shared" si="45"/>
        <v>121.41766927478932</v>
      </c>
      <c r="AC95" s="28">
        <f t="shared" si="46"/>
        <v>160.92508479937368</v>
      </c>
      <c r="AD95" s="28">
        <f t="shared" si="47"/>
        <v>161.85557190418922</v>
      </c>
      <c r="AE95" s="28">
        <f t="shared" si="48"/>
        <v>147.68281515770593</v>
      </c>
      <c r="AF95" s="28">
        <f t="shared" si="49"/>
        <v>134.9019603320794</v>
      </c>
      <c r="AG95" s="28">
        <f t="shared" si="50"/>
        <v>123.11083291749016</v>
      </c>
      <c r="AH95" s="28">
        <f t="shared" si="51"/>
        <v>112.33849547490442</v>
      </c>
      <c r="AI95" s="28">
        <f t="shared" si="52"/>
        <v>922.45762768362727</v>
      </c>
      <c r="AJ95" s="28">
        <f t="shared" si="53"/>
        <v>1000.929802659224</v>
      </c>
      <c r="AK95" s="28">
        <f t="shared" si="54"/>
        <v>0</v>
      </c>
      <c r="AL95" s="28">
        <f t="shared" si="55"/>
        <v>0</v>
      </c>
      <c r="AM95" s="28">
        <f t="shared" si="56"/>
        <v>0</v>
      </c>
      <c r="AP95" t="str">
        <v/>
      </c>
    </row>
    <row r="96" spans="1:45" ht="14.65" thickBot="1" x14ac:dyDescent="0.5">
      <c r="A96" s="9" t="str">
        <v>SL122</v>
      </c>
      <c r="B96" t="s">
        <v>310</v>
      </c>
      <c r="C96" s="25">
        <f>IF($B$2="Discounted",INDEX('Top Down inputs'!$D$50:$F$89,MATCH($A96,'Top Down inputs'!$A$50:$A$89,0),MATCH('Copper Weighted Price'!$B$62,'Top Down inputs'!$D$47:$F$47,0)),INDEX('Top Down inputs'!$D$5:$F$44,MATCH($A96,'Top Down inputs'!$A$5:$A$44,0),MATCH('Copper Weighted Price'!$B$62,'Top Down inputs'!$D$2:$F$2,0)))</f>
        <v>-0.1075</v>
      </c>
      <c r="D96" s="13">
        <f>IF($B$2="Headline",INDEX('Top Down inputs'!$J$5:$J$44,MATCH($A96,'Top Down inputs'!$H$5:$H$44,0)),INDEX('Top Down inputs'!$J$50:$J$89,MATCH($A96,'Top Down inputs'!$H$50:$H$89,0)))</f>
        <v>108.86685334062551</v>
      </c>
      <c r="E96" s="183">
        <v>77.151641489501145</v>
      </c>
      <c r="F96" s="183">
        <v>119.16353890930178</v>
      </c>
      <c r="G96" s="183">
        <v>125.79071662287359</v>
      </c>
      <c r="H96" s="19">
        <f>INDEX([4]StartPrices!$Q$10:$Q$609,MATCH($A96,[4]StartPrices!$B$10:$B$609,0))</f>
        <v>101.0470379752699</v>
      </c>
      <c r="I96" s="19">
        <f>INDEX([4]StartPrices!$U$10:$U$609,MATCH($A96,[4]StartPrices!$B$10:$B$609,0))</f>
        <v>139.33147102653632</v>
      </c>
      <c r="J96" s="30">
        <f t="shared" si="59"/>
        <v>99.539497013291665</v>
      </c>
      <c r="K96" s="30">
        <f t="shared" ref="K96:N96" si="81">J96*(1+($C96+K$62))</f>
        <v>90.823398696504782</v>
      </c>
      <c r="L96" s="30">
        <f t="shared" si="81"/>
        <v>82.963305616138982</v>
      </c>
      <c r="M96" s="30">
        <f t="shared" si="81"/>
        <v>75.711884622349459</v>
      </c>
      <c r="N96" s="30">
        <f t="shared" si="81"/>
        <v>69.087008888524451</v>
      </c>
      <c r="O96" s="103">
        <f t="shared" si="23"/>
        <v>929.19560621538687</v>
      </c>
      <c r="P96" s="103">
        <f t="shared" si="69"/>
        <v>1008.2409715625065</v>
      </c>
      <c r="Q96" s="103">
        <f t="shared" si="69"/>
        <v>0</v>
      </c>
      <c r="R96" s="103">
        <f t="shared" si="69"/>
        <v>0</v>
      </c>
      <c r="S96" s="103">
        <f t="shared" si="69"/>
        <v>0</v>
      </c>
      <c r="U96" s="9" t="s">
        <v>275</v>
      </c>
      <c r="V96" s="9" t="s">
        <v>261</v>
      </c>
      <c r="W96" s="9" t="str">
        <v>SL122</v>
      </c>
      <c r="X96" t="s">
        <v>310</v>
      </c>
      <c r="Y96" s="28">
        <f t="shared" si="42"/>
        <v>77.151641489501145</v>
      </c>
      <c r="Z96" s="28">
        <f t="shared" si="43"/>
        <v>119.16353890930178</v>
      </c>
      <c r="AA96" s="28">
        <f t="shared" si="44"/>
        <v>125.79071662287359</v>
      </c>
      <c r="AB96" s="28">
        <f t="shared" si="45"/>
        <v>101.0470379752699</v>
      </c>
      <c r="AC96" s="28">
        <f t="shared" si="46"/>
        <v>139.33147102653632</v>
      </c>
      <c r="AD96" s="28">
        <f t="shared" si="47"/>
        <v>99.539497013291665</v>
      </c>
      <c r="AE96" s="28">
        <f t="shared" si="48"/>
        <v>90.823398696504782</v>
      </c>
      <c r="AF96" s="28">
        <f t="shared" si="49"/>
        <v>82.963305616138982</v>
      </c>
      <c r="AG96" s="28">
        <f t="shared" si="50"/>
        <v>75.711884622349459</v>
      </c>
      <c r="AH96" s="28">
        <f t="shared" si="51"/>
        <v>69.087008888524451</v>
      </c>
      <c r="AI96" s="28">
        <f t="shared" si="52"/>
        <v>929.19560621538687</v>
      </c>
      <c r="AJ96" s="28">
        <f t="shared" si="53"/>
        <v>1008.2409715625065</v>
      </c>
      <c r="AK96" s="28">
        <f t="shared" si="54"/>
        <v>0</v>
      </c>
      <c r="AL96" s="28">
        <f t="shared" si="55"/>
        <v>0</v>
      </c>
      <c r="AM96" s="28">
        <f t="shared" si="56"/>
        <v>0</v>
      </c>
      <c r="AP96" t="str">
        <v/>
      </c>
    </row>
    <row r="97" spans="1:42" ht="14.65" thickBot="1" x14ac:dyDescent="0.5">
      <c r="A97" s="9" t="str">
        <v>SL150</v>
      </c>
      <c r="B97" t="s">
        <v>311</v>
      </c>
      <c r="C97" s="25">
        <f>IF($B$2="Discounted",INDEX('Top Down inputs'!$D$50:$F$89,MATCH($A97,'Top Down inputs'!$A$50:$A$89,0),MATCH('Copper Weighted Price'!$B$62,'Top Down inputs'!$D$47:$F$47,0)),INDEX('Top Down inputs'!$D$5:$F$44,MATCH($A97,'Top Down inputs'!$A$5:$A$44,0),MATCH('Copper Weighted Price'!$B$62,'Top Down inputs'!$D$2:$F$2,0)))</f>
        <v>-0.1075</v>
      </c>
      <c r="D97" s="13">
        <f>IF($B$2="Headline",INDEX('Top Down inputs'!$J$5:$J$44,MATCH($A97,'Top Down inputs'!$H$5:$H$44,0)),INDEX('Top Down inputs'!$J$50:$J$89,MATCH($A97,'Top Down inputs'!$H$50:$H$89,0)))</f>
        <v>175.44301879380498</v>
      </c>
      <c r="E97" s="183">
        <v>116.88318523763766</v>
      </c>
      <c r="F97" s="183">
        <v>118.30062978770599</v>
      </c>
      <c r="G97" s="183">
        <v>114.66526632763443</v>
      </c>
      <c r="H97" s="19">
        <f>INDEX([4]StartPrices!$Q$10:$Q$609,MATCH($A97,[4]StartPrices!$B$10:$B$609,0))</f>
        <v>167.51184256730423</v>
      </c>
      <c r="I97" s="19">
        <f>INDEX([4]StartPrices!$U$10:$U$609,MATCH($A97,[4]StartPrices!$B$10:$B$609,0))</f>
        <v>125.07266408969942</v>
      </c>
      <c r="J97" s="30">
        <f t="shared" si="59"/>
        <v>160.41163411409102</v>
      </c>
      <c r="K97" s="30">
        <f t="shared" ref="K97:N97" si="82">J97*(1+($C97+K$62))</f>
        <v>146.36531465249917</v>
      </c>
      <c r="L97" s="30">
        <f t="shared" si="82"/>
        <v>133.69847974633149</v>
      </c>
      <c r="M97" s="30">
        <f t="shared" si="82"/>
        <v>122.01254274478448</v>
      </c>
      <c r="N97" s="30">
        <f t="shared" si="82"/>
        <v>111.33630693736671</v>
      </c>
      <c r="O97" s="103">
        <f t="shared" si="23"/>
        <v>973.51584113348156</v>
      </c>
      <c r="P97" s="103">
        <f t="shared" si="69"/>
        <v>1056.3314666259757</v>
      </c>
      <c r="Q97" s="103">
        <f t="shared" si="69"/>
        <v>0</v>
      </c>
      <c r="R97" s="103">
        <f t="shared" si="69"/>
        <v>0</v>
      </c>
      <c r="S97" s="103">
        <f t="shared" si="69"/>
        <v>0</v>
      </c>
      <c r="U97" s="9" t="s">
        <v>275</v>
      </c>
      <c r="V97" s="9" t="s">
        <v>261</v>
      </c>
      <c r="W97" s="9" t="str">
        <v>SL150</v>
      </c>
      <c r="X97" t="s">
        <v>311</v>
      </c>
      <c r="Y97" s="28">
        <f t="shared" si="42"/>
        <v>116.88318523763766</v>
      </c>
      <c r="Z97" s="28">
        <f t="shared" si="43"/>
        <v>118.30062978770599</v>
      </c>
      <c r="AA97" s="28">
        <f t="shared" si="44"/>
        <v>114.66526632763443</v>
      </c>
      <c r="AB97" s="28">
        <f t="shared" si="45"/>
        <v>167.51184256730423</v>
      </c>
      <c r="AC97" s="28">
        <f t="shared" si="46"/>
        <v>125.07266408969942</v>
      </c>
      <c r="AD97" s="28">
        <f t="shared" si="47"/>
        <v>160.41163411409102</v>
      </c>
      <c r="AE97" s="28">
        <f t="shared" si="48"/>
        <v>146.36531465249917</v>
      </c>
      <c r="AF97" s="28">
        <f t="shared" si="49"/>
        <v>133.69847974633149</v>
      </c>
      <c r="AG97" s="28">
        <f t="shared" si="50"/>
        <v>122.01254274478448</v>
      </c>
      <c r="AH97" s="28">
        <f t="shared" si="51"/>
        <v>111.33630693736671</v>
      </c>
      <c r="AI97" s="28">
        <f t="shared" si="52"/>
        <v>973.51584113348156</v>
      </c>
      <c r="AJ97" s="28">
        <f t="shared" si="53"/>
        <v>1056.3314666259757</v>
      </c>
      <c r="AK97" s="28">
        <f t="shared" si="54"/>
        <v>0</v>
      </c>
      <c r="AL97" s="28">
        <f t="shared" si="55"/>
        <v>0</v>
      </c>
      <c r="AM97" s="28">
        <f t="shared" si="56"/>
        <v>0</v>
      </c>
      <c r="AP97" t="str">
        <v/>
      </c>
    </row>
    <row r="98" spans="1:42" ht="14.65" thickBot="1" x14ac:dyDescent="0.5">
      <c r="A98" s="9" t="str">
        <v>SL151</v>
      </c>
      <c r="B98" t="s">
        <v>312</v>
      </c>
      <c r="C98" s="25">
        <f>IF($B$2="Discounted",INDEX('Top Down inputs'!$D$50:$F$89,MATCH($A98,'Top Down inputs'!$A$50:$A$89,0),MATCH('Copper Weighted Price'!$B$62,'Top Down inputs'!$D$47:$F$47,0)),INDEX('Top Down inputs'!$D$5:$F$44,MATCH($A98,'Top Down inputs'!$A$5:$A$44,0),MATCH('Copper Weighted Price'!$B$62,'Top Down inputs'!$D$2:$F$2,0)))</f>
        <v>-0.1075</v>
      </c>
      <c r="D98" s="13">
        <f>IF($B$2="Headline",INDEX('Top Down inputs'!$J$5:$J$44,MATCH($A98,'Top Down inputs'!$H$5:$H$44,0)),INDEX('Top Down inputs'!$J$50:$J$89,MATCH($A98,'Top Down inputs'!$H$50:$H$89,0)))</f>
        <v>148.86055769458213</v>
      </c>
      <c r="E98" s="183">
        <v>77.591048142416369</v>
      </c>
      <c r="F98" s="183">
        <v>87.145226603104348</v>
      </c>
      <c r="G98" s="183">
        <v>107.66663912228933</v>
      </c>
      <c r="H98" s="19">
        <f>INDEX([4]StartPrices!$Q$10:$Q$609,MATCH($A98,[4]StartPrices!$B$10:$B$609,0))</f>
        <v>123.03864418355158</v>
      </c>
      <c r="I98" s="19">
        <f>INDEX([4]StartPrices!$U$10:$U$609,MATCH($A98,[4]StartPrices!$B$10:$B$609,0))</f>
        <v>141.77943619531189</v>
      </c>
      <c r="J98" s="30">
        <f t="shared" si="59"/>
        <v>136.10667143722236</v>
      </c>
      <c r="K98" s="30">
        <f t="shared" ref="K98:N98" si="83">J98*(1+($C98+K$62))</f>
        <v>124.18859705053917</v>
      </c>
      <c r="L98" s="30">
        <f t="shared" si="83"/>
        <v>113.44099294909913</v>
      </c>
      <c r="M98" s="30">
        <f t="shared" si="83"/>
        <v>103.52566482037757</v>
      </c>
      <c r="N98" s="30">
        <f t="shared" si="83"/>
        <v>94.467051788650636</v>
      </c>
      <c r="O98" s="103">
        <f t="shared" si="23"/>
        <v>897.09809943831101</v>
      </c>
      <c r="P98" s="103">
        <f t="shared" si="69"/>
        <v>973.41297495857975</v>
      </c>
      <c r="Q98" s="103">
        <f t="shared" si="69"/>
        <v>0</v>
      </c>
      <c r="R98" s="103">
        <f t="shared" si="69"/>
        <v>0</v>
      </c>
      <c r="S98" s="103">
        <f t="shared" si="69"/>
        <v>0</v>
      </c>
      <c r="U98" s="9" t="s">
        <v>275</v>
      </c>
      <c r="V98" s="9" t="s">
        <v>261</v>
      </c>
      <c r="W98" s="9" t="str">
        <v>SL151</v>
      </c>
      <c r="X98" t="s">
        <v>312</v>
      </c>
      <c r="Y98" s="28">
        <f t="shared" si="42"/>
        <v>77.591048142416369</v>
      </c>
      <c r="Z98" s="28">
        <f t="shared" si="43"/>
        <v>87.145226603104348</v>
      </c>
      <c r="AA98" s="28">
        <f t="shared" si="44"/>
        <v>107.66663912228933</v>
      </c>
      <c r="AB98" s="28">
        <f t="shared" si="45"/>
        <v>123.03864418355158</v>
      </c>
      <c r="AC98" s="28">
        <f t="shared" si="46"/>
        <v>141.77943619531189</v>
      </c>
      <c r="AD98" s="28">
        <f t="shared" si="47"/>
        <v>136.10667143722236</v>
      </c>
      <c r="AE98" s="28">
        <f t="shared" si="48"/>
        <v>124.18859705053917</v>
      </c>
      <c r="AF98" s="28">
        <f t="shared" si="49"/>
        <v>113.44099294909913</v>
      </c>
      <c r="AG98" s="28">
        <f t="shared" si="50"/>
        <v>103.52566482037757</v>
      </c>
      <c r="AH98" s="28">
        <f t="shared" si="51"/>
        <v>94.467051788650636</v>
      </c>
      <c r="AI98" s="28">
        <f t="shared" si="52"/>
        <v>897.09809943831101</v>
      </c>
      <c r="AJ98" s="28">
        <f t="shared" si="53"/>
        <v>973.41297495857975</v>
      </c>
      <c r="AK98" s="28">
        <f t="shared" si="54"/>
        <v>0</v>
      </c>
      <c r="AL98" s="28">
        <f t="shared" si="55"/>
        <v>0</v>
      </c>
      <c r="AM98" s="28">
        <f t="shared" si="56"/>
        <v>0</v>
      </c>
      <c r="AP98" t="str">
        <v/>
      </c>
    </row>
    <row r="99" spans="1:42" ht="14.65" thickBot="1" x14ac:dyDescent="0.5">
      <c r="A99" s="9" t="str">
        <v>SL111</v>
      </c>
      <c r="B99" t="s">
        <v>313</v>
      </c>
      <c r="C99" s="25">
        <f>IF($B$2="Discounted",INDEX('Top Down inputs'!$D$50:$F$89,MATCH($A99,'Top Down inputs'!$A$50:$A$89,0),MATCH('Copper Weighted Price'!$B$62,'Top Down inputs'!$D$47:$F$47,0)),INDEX('Top Down inputs'!$D$5:$F$44,MATCH($A99,'Top Down inputs'!$A$5:$A$44,0),MATCH('Copper Weighted Price'!$B$62,'Top Down inputs'!$D$2:$F$2,0)))</f>
        <v>-0.1075</v>
      </c>
      <c r="D99" s="13">
        <f>IF($B$2="Headline",INDEX('Top Down inputs'!$J$5:$J$44,MATCH($A99,'Top Down inputs'!$H$5:$H$44,0)),INDEX('Top Down inputs'!$J$50:$J$89,MATCH($A99,'Top Down inputs'!$H$50:$H$89,0)))</f>
        <v>107.08785148909189</v>
      </c>
      <c r="E99" s="183">
        <v>32.4465314495474</v>
      </c>
      <c r="F99" s="183">
        <v>73.825060599802697</v>
      </c>
      <c r="G99" s="183">
        <v>81.71202707495685</v>
      </c>
      <c r="H99" s="19">
        <f>INDEX([4]StartPrices!$Q$10:$Q$609,MATCH($A99,[4]StartPrices!$B$10:$B$609,0))</f>
        <v>71.871665095799841</v>
      </c>
      <c r="I99" s="19">
        <f>INDEX([4]StartPrices!$U$10:$U$609,MATCH($A99,[4]StartPrices!$B$10:$B$609,0))</f>
        <v>95.607057290980478</v>
      </c>
      <c r="J99" s="30">
        <f t="shared" si="59"/>
        <v>97.912914228416682</v>
      </c>
      <c r="K99" s="30">
        <f t="shared" ref="K99:N99" si="84">J99*(1+($C99+K$62))</f>
        <v>89.339246362845259</v>
      </c>
      <c r="L99" s="30">
        <f t="shared" si="84"/>
        <v>81.607595684497326</v>
      </c>
      <c r="M99" s="30">
        <f t="shared" si="84"/>
        <v>74.474670734070415</v>
      </c>
      <c r="N99" s="30">
        <f t="shared" si="84"/>
        <v>67.958052618014321</v>
      </c>
      <c r="O99" s="103">
        <f t="shared" si="23"/>
        <v>0</v>
      </c>
      <c r="P99" s="103">
        <f t="shared" si="69"/>
        <v>0</v>
      </c>
      <c r="Q99" s="103">
        <f t="shared" si="69"/>
        <v>0</v>
      </c>
      <c r="R99" s="103">
        <f t="shared" si="69"/>
        <v>0</v>
      </c>
      <c r="S99" s="103">
        <f t="shared" si="69"/>
        <v>0</v>
      </c>
      <c r="U99" s="9" t="s">
        <v>3</v>
      </c>
      <c r="V99" s="9" t="s">
        <v>261</v>
      </c>
      <c r="W99" s="9" t="str">
        <v>SL111</v>
      </c>
      <c r="X99" t="s">
        <v>313</v>
      </c>
      <c r="Y99" s="28">
        <f t="shared" si="42"/>
        <v>32.4465314495474</v>
      </c>
      <c r="Z99" s="28">
        <f t="shared" si="43"/>
        <v>73.825060599802697</v>
      </c>
      <c r="AA99" s="28">
        <f t="shared" si="44"/>
        <v>81.71202707495685</v>
      </c>
      <c r="AB99" s="28">
        <f t="shared" si="45"/>
        <v>71.871665095799841</v>
      </c>
      <c r="AC99" s="28">
        <f t="shared" si="46"/>
        <v>95.607057290980478</v>
      </c>
      <c r="AD99" s="28">
        <f t="shared" si="47"/>
        <v>97.912914228416682</v>
      </c>
      <c r="AE99" s="28">
        <f t="shared" si="48"/>
        <v>89.339246362845259</v>
      </c>
      <c r="AF99" s="28">
        <f t="shared" si="49"/>
        <v>81.607595684497326</v>
      </c>
      <c r="AG99" s="28">
        <f t="shared" si="50"/>
        <v>74.474670734070415</v>
      </c>
      <c r="AH99" s="28">
        <f t="shared" si="51"/>
        <v>67.958052618014321</v>
      </c>
      <c r="AI99" s="28">
        <f t="shared" si="52"/>
        <v>0</v>
      </c>
      <c r="AJ99" s="28">
        <f t="shared" si="53"/>
        <v>0</v>
      </c>
      <c r="AK99" s="28">
        <f t="shared" si="54"/>
        <v>0</v>
      </c>
      <c r="AL99" s="28">
        <f t="shared" si="55"/>
        <v>0</v>
      </c>
      <c r="AM99" s="28">
        <f t="shared" si="56"/>
        <v>0</v>
      </c>
      <c r="AP99" t="str">
        <v>SL111</v>
      </c>
    </row>
    <row r="100" spans="1:42" ht="14.65" thickBot="1" x14ac:dyDescent="0.5">
      <c r="A100" s="9" t="str">
        <v>SL112</v>
      </c>
      <c r="B100" t="s">
        <v>314</v>
      </c>
      <c r="C100" s="25">
        <f>IF($B$2="Discounted",INDEX('Top Down inputs'!$D$50:$F$89,MATCH($A100,'Top Down inputs'!$A$50:$A$89,0),MATCH('Copper Weighted Price'!$B$62,'Top Down inputs'!$D$47:$F$47,0)),INDEX('Top Down inputs'!$D$5:$F$44,MATCH($A100,'Top Down inputs'!$A$5:$A$44,0),MATCH('Copper Weighted Price'!$B$62,'Top Down inputs'!$D$2:$F$2,0)))</f>
        <v>-0.1075</v>
      </c>
      <c r="D100" s="13">
        <f>IF($B$2="Headline",INDEX('Top Down inputs'!$J$5:$J$44,MATCH($A100,'Top Down inputs'!$H$5:$H$44,0)),INDEX('Top Down inputs'!$J$50:$J$89,MATCH($A100,'Top Down inputs'!$H$50:$H$89,0)))</f>
        <v>29.702573594346283</v>
      </c>
      <c r="E100" s="183">
        <v>38.530750326863412</v>
      </c>
      <c r="F100" s="183">
        <v>56.080141297430487</v>
      </c>
      <c r="G100" s="183">
        <v>62.243685177793864</v>
      </c>
      <c r="H100" s="19">
        <f>INDEX([4]StartPrices!$Q$10:$Q$609,MATCH($A100,[4]StartPrices!$B$10:$B$609,0))</f>
        <v>39.103529865147479</v>
      </c>
      <c r="I100" s="19">
        <f>INDEX([4]StartPrices!$U$10:$U$609,MATCH($A100,[4]StartPrices!$B$10:$B$609,0))</f>
        <v>33.977113774545415</v>
      </c>
      <c r="J100" s="30">
        <f t="shared" si="59"/>
        <v>27.157754126785349</v>
      </c>
      <c r="K100" s="30">
        <f t="shared" ref="K100:N100" si="85">J100*(1+($C100+K$62))</f>
        <v>24.779706596561468</v>
      </c>
      <c r="L100" s="30">
        <f t="shared" si="85"/>
        <v>22.635206356001508</v>
      </c>
      <c r="M100" s="30">
        <f t="shared" si="85"/>
        <v>20.656772524927913</v>
      </c>
      <c r="N100" s="30">
        <f t="shared" si="85"/>
        <v>18.849281511830853</v>
      </c>
      <c r="O100" s="103">
        <f t="shared" si="23"/>
        <v>0</v>
      </c>
      <c r="P100" s="103">
        <f t="shared" si="69"/>
        <v>0</v>
      </c>
      <c r="Q100" s="103">
        <f t="shared" si="69"/>
        <v>0</v>
      </c>
      <c r="R100" s="103">
        <f t="shared" si="69"/>
        <v>0</v>
      </c>
      <c r="S100" s="103">
        <f t="shared" si="69"/>
        <v>0</v>
      </c>
      <c r="U100" s="9" t="s">
        <v>3</v>
      </c>
      <c r="V100" s="9" t="s">
        <v>261</v>
      </c>
      <c r="W100" s="9" t="str">
        <v>SL112</v>
      </c>
      <c r="X100" t="s">
        <v>314</v>
      </c>
      <c r="Y100" s="28">
        <f t="shared" si="42"/>
        <v>38.530750326863412</v>
      </c>
      <c r="Z100" s="28">
        <f t="shared" si="43"/>
        <v>56.080141297430487</v>
      </c>
      <c r="AA100" s="28">
        <f t="shared" si="44"/>
        <v>62.243685177793864</v>
      </c>
      <c r="AB100" s="28">
        <f t="shared" si="45"/>
        <v>39.103529865147479</v>
      </c>
      <c r="AC100" s="28">
        <f t="shared" si="46"/>
        <v>33.977113774545415</v>
      </c>
      <c r="AD100" s="28">
        <f t="shared" si="47"/>
        <v>27.157754126785349</v>
      </c>
      <c r="AE100" s="28">
        <f t="shared" si="48"/>
        <v>24.779706596561468</v>
      </c>
      <c r="AF100" s="28">
        <f t="shared" si="49"/>
        <v>22.635206356001508</v>
      </c>
      <c r="AG100" s="28">
        <f t="shared" si="50"/>
        <v>20.656772524927913</v>
      </c>
      <c r="AH100" s="28">
        <f t="shared" si="51"/>
        <v>18.849281511830853</v>
      </c>
      <c r="AI100" s="28">
        <f t="shared" si="52"/>
        <v>0</v>
      </c>
      <c r="AJ100" s="28">
        <f t="shared" si="53"/>
        <v>0</v>
      </c>
      <c r="AK100" s="28">
        <f t="shared" si="54"/>
        <v>0</v>
      </c>
      <c r="AL100" s="28">
        <f t="shared" si="55"/>
        <v>0</v>
      </c>
      <c r="AM100" s="28">
        <f t="shared" si="56"/>
        <v>0</v>
      </c>
      <c r="AP100" t="str">
        <v>SL112</v>
      </c>
    </row>
    <row r="101" spans="1:42" ht="14.65" thickBot="1" x14ac:dyDescent="0.5">
      <c r="A101" s="9" t="str">
        <v>SL140</v>
      </c>
      <c r="B101" t="s">
        <v>315</v>
      </c>
      <c r="C101" s="25">
        <f>IF($B$2="Discounted",INDEX('Top Down inputs'!$D$50:$F$89,MATCH($A101,'Top Down inputs'!$A$50:$A$89,0),MATCH('Copper Weighted Price'!$B$62,'Top Down inputs'!$D$47:$F$47,0)),INDEX('Top Down inputs'!$D$5:$F$44,MATCH($A101,'Top Down inputs'!$A$5:$A$44,0),MATCH('Copper Weighted Price'!$B$62,'Top Down inputs'!$D$2:$F$2,0)))</f>
        <v>-0.1075</v>
      </c>
      <c r="D101" s="13">
        <f>IF($B$2="Headline",INDEX('Top Down inputs'!$J$5:$J$44,MATCH($A101,'Top Down inputs'!$H$5:$H$44,0)),INDEX('Top Down inputs'!$J$50:$J$89,MATCH($A101,'Top Down inputs'!$H$50:$H$89,0)))</f>
        <v>44.266012163056857</v>
      </c>
      <c r="E101" s="183">
        <v>38.598923357464614</v>
      </c>
      <c r="F101" s="183">
        <v>52.905294855247334</v>
      </c>
      <c r="G101" s="183">
        <v>50.227283250017997</v>
      </c>
      <c r="H101" s="19">
        <f>INDEX([4]StartPrices!$Q$10:$Q$609,MATCH($A101,[4]StartPrices!$B$10:$B$609,0))</f>
        <v>50.951403834171202</v>
      </c>
      <c r="I101" s="19">
        <f>INDEX([4]StartPrices!$U$10:$U$609,MATCH($A101,[4]StartPrices!$B$10:$B$609,0))</f>
        <v>33.438495427051549</v>
      </c>
      <c r="J101" s="30">
        <f t="shared" si="59"/>
        <v>40.473444857532925</v>
      </c>
      <c r="K101" s="30">
        <f t="shared" ref="K101:N101" si="86">J101*(1+($C101+K$62))</f>
        <v>36.929419267869726</v>
      </c>
      <c r="L101" s="30">
        <f t="shared" si="86"/>
        <v>33.733451301296803</v>
      </c>
      <c r="M101" s="30">
        <f t="shared" si="86"/>
        <v>30.784973596092943</v>
      </c>
      <c r="N101" s="30">
        <f t="shared" si="86"/>
        <v>28.091253507622227</v>
      </c>
      <c r="O101" s="103">
        <f t="shared" si="23"/>
        <v>0</v>
      </c>
      <c r="P101" s="103">
        <f t="shared" si="69"/>
        <v>0</v>
      </c>
      <c r="Q101" s="103">
        <f t="shared" si="69"/>
        <v>0</v>
      </c>
      <c r="R101" s="103">
        <f t="shared" si="69"/>
        <v>0</v>
      </c>
      <c r="S101" s="103">
        <f t="shared" si="69"/>
        <v>0</v>
      </c>
      <c r="U101" s="9" t="s">
        <v>3</v>
      </c>
      <c r="V101" s="9" t="s">
        <v>261</v>
      </c>
      <c r="W101" s="9" t="str">
        <v>SL140</v>
      </c>
      <c r="X101" t="s">
        <v>315</v>
      </c>
      <c r="Y101" s="28">
        <f>E101</f>
        <v>38.598923357464614</v>
      </c>
      <c r="Z101" s="28">
        <f t="shared" si="43"/>
        <v>52.905294855247334</v>
      </c>
      <c r="AA101" s="28">
        <f t="shared" si="44"/>
        <v>50.227283250017997</v>
      </c>
      <c r="AB101" s="28">
        <f t="shared" si="45"/>
        <v>50.951403834171202</v>
      </c>
      <c r="AC101" s="28">
        <f t="shared" si="46"/>
        <v>33.438495427051549</v>
      </c>
      <c r="AD101" s="28">
        <f t="shared" si="47"/>
        <v>40.473444857532925</v>
      </c>
      <c r="AE101" s="28">
        <f t="shared" si="48"/>
        <v>36.929419267869726</v>
      </c>
      <c r="AF101" s="28">
        <f t="shared" si="49"/>
        <v>33.733451301296803</v>
      </c>
      <c r="AG101" s="28">
        <f t="shared" si="50"/>
        <v>30.784973596092943</v>
      </c>
      <c r="AH101" s="28">
        <f t="shared" si="51"/>
        <v>28.091253507622227</v>
      </c>
      <c r="AI101" s="28">
        <f t="shared" si="52"/>
        <v>0</v>
      </c>
      <c r="AJ101" s="28">
        <f t="shared" si="53"/>
        <v>0</v>
      </c>
      <c r="AK101" s="28">
        <f t="shared" si="54"/>
        <v>0</v>
      </c>
      <c r="AL101" s="28">
        <f t="shared" si="55"/>
        <v>0</v>
      </c>
      <c r="AM101" s="28">
        <f t="shared" si="56"/>
        <v>0</v>
      </c>
      <c r="AP101" t="str">
        <v>SL140</v>
      </c>
    </row>
    <row r="102" spans="1:42" x14ac:dyDescent="0.45">
      <c r="A102" s="9" t="str">
        <v>SL144</v>
      </c>
      <c r="B102" t="s">
        <v>316</v>
      </c>
      <c r="C102" s="25">
        <f>IF($B$2="Discounted",INDEX('Top Down inputs'!$D$50:$F$89,MATCH($A102,'Top Down inputs'!$A$50:$A$89,0),MATCH('Copper Weighted Price'!$B$62,'Top Down inputs'!$D$47:$F$47,0)),INDEX('Top Down inputs'!$D$5:$F$44,MATCH($A102,'Top Down inputs'!$A$5:$A$44,0),MATCH('Copper Weighted Price'!$B$62,'Top Down inputs'!$D$2:$F$2,0)))</f>
        <v>-0.1075</v>
      </c>
      <c r="D102" s="13">
        <f>IF($B$2="Headline",INDEX('Top Down inputs'!$J$5:$J$44,MATCH($A102,'Top Down inputs'!$H$5:$H$44,0)),INDEX('Top Down inputs'!$J$50:$J$89,MATCH($A102,'Top Down inputs'!$H$50:$H$89,0)))</f>
        <v>81.194323027702026</v>
      </c>
      <c r="E102" s="183">
        <v>41.750676448128331</v>
      </c>
      <c r="F102" s="183">
        <v>69.116814415746404</v>
      </c>
      <c r="G102" s="183">
        <v>69.792192688992287</v>
      </c>
      <c r="H102" s="19">
        <f>INDEX([4]StartPrices!$Q$10:$Q$609,MATCH($A102,[4]StartPrices!$B$10:$B$609,0))</f>
        <v>96.208004969468064</v>
      </c>
      <c r="I102" s="19">
        <f>INDEX([4]StartPrices!$U$10:$U$609,MATCH($A102,[4]StartPrices!$B$10:$B$609,0))</f>
        <v>80.275819394120987</v>
      </c>
      <c r="J102" s="30">
        <f t="shared" si="59"/>
        <v>74.237858691707345</v>
      </c>
      <c r="K102" s="30">
        <f t="shared" ref="K102:N102" si="87">J102*(1+($C102+K$62))</f>
        <v>67.737278574266639</v>
      </c>
      <c r="L102" s="30">
        <f t="shared" si="87"/>
        <v>61.875118357343453</v>
      </c>
      <c r="M102" s="30">
        <f t="shared" si="87"/>
        <v>56.466913743057098</v>
      </c>
      <c r="N102" s="30">
        <f t="shared" si="87"/>
        <v>51.525994777873365</v>
      </c>
      <c r="O102" s="103">
        <f t="shared" si="23"/>
        <v>0</v>
      </c>
      <c r="P102" s="103">
        <f t="shared" si="69"/>
        <v>0</v>
      </c>
      <c r="Q102" s="103">
        <f t="shared" si="69"/>
        <v>0</v>
      </c>
      <c r="R102" s="103">
        <f t="shared" si="69"/>
        <v>0</v>
      </c>
      <c r="S102" s="103">
        <f t="shared" si="69"/>
        <v>0</v>
      </c>
      <c r="U102" s="9" t="s">
        <v>3</v>
      </c>
      <c r="V102" s="9" t="s">
        <v>261</v>
      </c>
      <c r="W102" s="9" t="str">
        <v>SL144</v>
      </c>
      <c r="X102" t="s">
        <v>316</v>
      </c>
      <c r="Y102" s="28">
        <f t="shared" ref="Y102" si="88">E102</f>
        <v>41.750676448128331</v>
      </c>
      <c r="Z102" s="28">
        <f t="shared" ref="Z102" si="89">F102</f>
        <v>69.116814415746404</v>
      </c>
      <c r="AA102" s="28">
        <f t="shared" ref="AA102" si="90">G102</f>
        <v>69.792192688992287</v>
      </c>
      <c r="AB102" s="28">
        <f t="shared" ref="AB102" si="91">H102</f>
        <v>96.208004969468064</v>
      </c>
      <c r="AC102" s="28">
        <f t="shared" ref="AC102" si="92">I102</f>
        <v>80.275819394120987</v>
      </c>
      <c r="AD102" s="28">
        <f t="shared" ref="AD102" si="93">J102</f>
        <v>74.237858691707345</v>
      </c>
      <c r="AE102" s="28">
        <f t="shared" ref="AE102" si="94">K102</f>
        <v>67.737278574266639</v>
      </c>
      <c r="AF102" s="28">
        <f t="shared" ref="AF102" si="95">L102</f>
        <v>61.875118357343453</v>
      </c>
      <c r="AG102" s="28">
        <f t="shared" ref="AG102" si="96">M102</f>
        <v>56.466913743057098</v>
      </c>
      <c r="AH102" s="28">
        <f t="shared" ref="AH102" si="97">N102</f>
        <v>51.525994777873365</v>
      </c>
      <c r="AI102" s="28">
        <f t="shared" ref="AI102" si="98">O102</f>
        <v>0</v>
      </c>
      <c r="AJ102" s="28">
        <f t="shared" ref="AJ102" si="99">P102</f>
        <v>0</v>
      </c>
      <c r="AK102" s="28">
        <f t="shared" ref="AK102" si="100">Q102</f>
        <v>0</v>
      </c>
      <c r="AL102" s="28">
        <f t="shared" ref="AL102" si="101">R102</f>
        <v>0</v>
      </c>
      <c r="AM102" s="28">
        <f t="shared" ref="AM102" si="102">S102</f>
        <v>0</v>
      </c>
      <c r="AP102" t="str">
        <v>SL144</v>
      </c>
    </row>
    <row r="103" spans="1:42" x14ac:dyDescent="0.45">
      <c r="A103" s="9"/>
      <c r="X103" s="5" t="s">
        <v>344</v>
      </c>
      <c r="Y103" s="128" cm="1">
        <f t="array" ref="Y103">SUMPRODUCT(IF($U$63:$U$102="Connections",IF($C$19:$C$58="Connections",(Y$19:Y$58*Y$63:Y$102)/SUMIF($C$19:$C$58,"Connections",Y$19:Y$58))))</f>
        <v>35.688688292515245</v>
      </c>
      <c r="Z103" s="128" cm="1">
        <f t="array" ref="Z103">SUMPRODUCT(IF($U$63:$U$102="Connections",IF($C$19:$C$58="Connections",(Z$19:Z$58*Z$63:Z$102)/SUMIF($C$19:$C$58,"Connections",Z$19:Z$58))))</f>
        <v>43.21827533044852</v>
      </c>
      <c r="AA103" s="128" cm="1">
        <f t="array" ref="AA103">SUMPRODUCT(IF($U$63:$U$102="Connections",IF($C$19:$C$58="Connections",(AA$19:AA$58*AA$63:AA$102)/SUMIF($C$19:$C$58,"Connections",AA$19:AA$58))))</f>
        <v>39.608104856754764</v>
      </c>
      <c r="AB103" s="128" cm="1">
        <f t="array" ref="AB103">SUMPRODUCT(IF($U$63:$U$102="Connections",IF($C$19:$C$58="Connections",(AB$19:AB$58*AB$63:AB$102)/SUMIF($C$19:$C$58,"Connections",AB$19:AB$58))))</f>
        <v>34.878090127696083</v>
      </c>
      <c r="AC103" s="128" cm="1">
        <f t="array" ref="AC103">SUMPRODUCT(IF($U$63:$U$102="Connections",IF($C$19:$C$58="Connections",(AC$19:AC$58*AC$63:AC$102)/SUMIF($C$19:$C$58,"Connections",AC$19:AC$58))))</f>
        <v>41.907066262622386</v>
      </c>
      <c r="AD103" s="128" cm="1">
        <f t="array" ref="AD103">SUMPRODUCT(IF($U$63:$U$102="Connections",IF($C$19:$C$58="Connections",(AD$19:AD$58*AD$63:AD$102)/SUMIF($C$19:$C$58,"Connections",AD$19:AD$58))))</f>
        <v>88.71552348163776</v>
      </c>
      <c r="AE103" s="128" cm="1">
        <f t="array" ref="AE103">SUMPRODUCT(IF($U$63:$U$102="Connections",IF($C$19:$C$58="Connections",(AE$19:AE$58*AE$63:AE$102)/SUMIF($C$19:$C$58,"Connections",AE$19:AE$58))))</f>
        <v>159.36025293001327</v>
      </c>
      <c r="AF103" s="128" cm="1">
        <f t="array" ref="AF103">SUMPRODUCT(IF($U$63:$U$102="Connections",IF($C$19:$C$58="Connections",(AF$19:AF$58*AF$63:AF$102)/SUMIF($C$19:$C$58,"Connections",AF$19:AF$58))))</f>
        <v>288.73885684738536</v>
      </c>
      <c r="AG103" s="128" cm="1">
        <f t="array" ref="AG103">SUMPRODUCT(IF($U$63:$U$102="Connections",IF($C$19:$C$58="Connections",(AG$19:AG$58*AG$63:AG$102)/SUMIF($C$19:$C$58,"Connections",AG$19:AG$58))))</f>
        <v>520.40678018840345</v>
      </c>
      <c r="AH103" s="128" cm="1">
        <f t="array" ref="AH103">SUMPRODUCT(IF($U$63:$U$102="Connections",IF($C$19:$C$58="Connections",(AH$19:AH$58*AH$63:AH$102)/SUMIF($C$19:$C$58,"Connections",AH$19:AH$58))))</f>
        <v>575.26873795642223</v>
      </c>
      <c r="AI103" s="128" cm="1">
        <f t="array" ref="AI103">SUMPRODUCT(IF($U$63:$U$102="Connections",IF($C$19:$C$58="Connections",(AI$19:AI$58*AI$63:AI$102)/SUMIF($C$19:$C$58,"Connections",AI$19:AI$58))))</f>
        <v>1638.0499342065177</v>
      </c>
      <c r="AJ103" s="128" cm="1">
        <f t="array" ref="AJ103">SUMPRODUCT(IF($U$63:$U$102="Connections",IF($C$19:$C$58="Connections",(AJ$19:AJ$58*AJ$63:AJ$102)/SUMIF($C$19:$C$58,"Connections",AJ$19:AJ$58))))</f>
        <v>1598.633257542607</v>
      </c>
      <c r="AK103" s="128" t="e" cm="1">
        <f t="array" ref="AK103">SUMPRODUCT(IF($U$63:$U$102="Connections",IF($C$19:$C$58="Connections",(AK$19:AK$58*AK$63:AK$102)/SUMIF($C$19:$C$58,"Connections",AK$19:AK$58))))</f>
        <v>#DIV/0!</v>
      </c>
      <c r="AL103" s="128" t="e" cm="1">
        <f t="array" ref="AL103">SUMPRODUCT(IF($U$63:$U$102="Connections",IF($C$19:$C$58="Connections",(AL$19:AL$58*AL$63:AL$102)/SUMIF($C$19:$C$58,"Connections",AL$19:AL$58))))</f>
        <v>#DIV/0!</v>
      </c>
      <c r="AM103" s="128" t="e" cm="1">
        <f t="array" ref="AM103">SUMPRODUCT(IF($U$63:$U$102="Connections",IF($C$19:$C$58="Connections",(AM$19:AM$58*AM$63:AM$102)/SUMIF($C$19:$C$58,"Connections",AM$19:AM$58))))</f>
        <v>#DIV/0!</v>
      </c>
    </row>
    <row r="104" spans="1:42" x14ac:dyDescent="0.45">
      <c r="A104" s="9"/>
      <c r="X104" s="5" t="s">
        <v>345</v>
      </c>
      <c r="Y104" s="128">
        <f>SUMPRODUCT(Y47:Y48,Y91:Y92)/SUM(Y47:Y48)</f>
        <v>6.1822411096298717</v>
      </c>
      <c r="Z104" s="128">
        <f t="shared" ref="Z104:AM104" si="103">SUMPRODUCT(Z47:Z48,Z91:Z92)/SUM(Z47:Z48)</f>
        <v>7.8323859480401667</v>
      </c>
      <c r="AA104" s="128">
        <f t="shared" si="103"/>
        <v>8.5305939360046654</v>
      </c>
      <c r="AB104" s="128">
        <f t="shared" si="103"/>
        <v>7.7078831225019275</v>
      </c>
      <c r="AC104" s="128">
        <f t="shared" si="103"/>
        <v>7.3828167955186972</v>
      </c>
      <c r="AD104" s="128">
        <f t="shared" si="103"/>
        <v>8.1151337087033522</v>
      </c>
      <c r="AE104" s="128">
        <f t="shared" si="103"/>
        <v>8.1146125628367205</v>
      </c>
      <c r="AF104" s="128">
        <f t="shared" si="103"/>
        <v>8.1223814914450507</v>
      </c>
      <c r="AG104" s="128">
        <f t="shared" si="103"/>
        <v>8.1231518188613183</v>
      </c>
      <c r="AH104" s="128">
        <f t="shared" si="103"/>
        <v>8.1231426102013842</v>
      </c>
      <c r="AI104" s="128" t="e">
        <f t="shared" si="103"/>
        <v>#DIV/0!</v>
      </c>
      <c r="AJ104" s="128" t="e">
        <f t="shared" si="103"/>
        <v>#DIV/0!</v>
      </c>
      <c r="AK104" s="128" t="e">
        <f t="shared" si="103"/>
        <v>#DIV/0!</v>
      </c>
      <c r="AL104" s="128" t="e">
        <f t="shared" si="103"/>
        <v>#DIV/0!</v>
      </c>
      <c r="AM104" s="128" t="e">
        <f t="shared" si="103"/>
        <v>#DIV/0!</v>
      </c>
    </row>
    <row r="105" spans="1:42" ht="14.65" thickBot="1" x14ac:dyDescent="0.5">
      <c r="A105" s="10" t="s">
        <v>346</v>
      </c>
      <c r="B105" s="5" t="s">
        <v>347</v>
      </c>
      <c r="C105" t="s">
        <v>321</v>
      </c>
      <c r="D105" t="s">
        <v>322</v>
      </c>
      <c r="E105" s="31">
        <f t="shared" ref="E105:E145" si="104">E62</f>
        <v>3.9909153378664852E-2</v>
      </c>
      <c r="F105" s="31">
        <f t="shared" ref="F105:S105" si="105">F62</f>
        <v>0.10036409874522789</v>
      </c>
      <c r="G105" s="31">
        <f t="shared" si="105"/>
        <v>5.6703919580784135E-2</v>
      </c>
      <c r="H105" s="31">
        <f t="shared" si="105"/>
        <v>2.3545128743536425E-2</v>
      </c>
      <c r="I105" s="31">
        <f t="shared" si="105"/>
        <v>3.5422237353326391E-2</v>
      </c>
      <c r="J105" s="31">
        <f t="shared" si="105"/>
        <v>2.1823266989722256E-2</v>
      </c>
      <c r="K105" s="31">
        <f t="shared" si="105"/>
        <v>1.9935780988294516E-2</v>
      </c>
      <c r="L105" s="31">
        <f t="shared" si="105"/>
        <v>2.0957399820160205E-2</v>
      </c>
      <c r="M105" s="31">
        <f t="shared" si="105"/>
        <v>2.0094840093029198E-2</v>
      </c>
      <c r="N105" s="31">
        <f t="shared" si="105"/>
        <v>1.9998866368604373E-2</v>
      </c>
      <c r="O105" s="31">
        <f t="shared" si="105"/>
        <v>0.02</v>
      </c>
      <c r="P105" s="31">
        <f t="shared" si="105"/>
        <v>0.02</v>
      </c>
      <c r="Q105" s="31">
        <f t="shared" si="105"/>
        <v>0.02</v>
      </c>
      <c r="R105" s="31">
        <f t="shared" si="105"/>
        <v>0.02</v>
      </c>
      <c r="S105" s="31">
        <f t="shared" si="105"/>
        <v>0.02</v>
      </c>
      <c r="W105" s="10" t="s">
        <v>348</v>
      </c>
    </row>
    <row r="106" spans="1:42" ht="14.65" thickBot="1" x14ac:dyDescent="0.5">
      <c r="A106" s="9" t="str" cm="1">
        <f t="array" ref="A106:A145">TD_service_codes</f>
        <v>WN127</v>
      </c>
      <c r="B106" t="s">
        <v>274</v>
      </c>
      <c r="C106" s="25">
        <f>IF($B$2="Discounted",INDEX('Top Down inputs'!$D$50:$F$89,MATCH($A106,'Top Down inputs'!$A$50:$A$89,0),MATCH('Copper Weighted Price'!$B$105,'Top Down inputs'!$D$47:$F$47,0)),INDEX('Top Down inputs'!$D$5:$F$44,MATCH($A106,'Top Down inputs'!$A$5:$A$44,0),MATCH('Copper Weighted Price'!$B$105,'Top Down inputs'!$D$2:$F$2,0)))</f>
        <v>1.2500000000000001E-2</v>
      </c>
      <c r="D106" s="13">
        <f>IF($B$2="Headline",INDEX('Top Down inputs'!$J$5:$J$44,MATCH($A106,'Top Down inputs'!$H$5:$H$44,0)),INDEX('Top Down inputs'!$J$50:$J$89,MATCH($A106,'Top Down inputs'!$H$50:$H$89,0)))</f>
        <v>110.06830674793559</v>
      </c>
      <c r="E106" s="183">
        <f t="shared" si="104"/>
        <v>103.08914332438485</v>
      </c>
      <c r="F106" s="183">
        <f t="shared" ref="F106:I125" si="106">F63</f>
        <v>95.824976573109652</v>
      </c>
      <c r="G106" s="183">
        <f t="shared" si="106"/>
        <v>84.833600714106851</v>
      </c>
      <c r="H106" s="19">
        <f t="shared" si="106"/>
        <v>95.806738716664029</v>
      </c>
      <c r="I106" s="19">
        <f t="shared" si="106"/>
        <v>102.26141062544374</v>
      </c>
      <c r="J106" s="30">
        <f t="shared" ref="J106:J117" si="107">D106*(1+($C106+J$62))</f>
        <v>113.84621062755163</v>
      </c>
      <c r="K106" s="30">
        <f>J106*(1+($C106+K$62))</f>
        <v>117.53890138181413</v>
      </c>
      <c r="L106" s="30">
        <f>K106*(1+($C106+L$62))</f>
        <v>121.47144739976785</v>
      </c>
      <c r="M106" s="30">
        <f>L106*(1+($C106+M$62))</f>
        <v>125.43078980363209</v>
      </c>
      <c r="N106" s="30">
        <f>M106*(1+($C106+N$62))</f>
        <v>129.50714827996885</v>
      </c>
      <c r="O106" s="102">
        <f t="shared" ref="O106:O145" si="108">IF(O19=0,0,O324/O19)</f>
        <v>403.77401478399895</v>
      </c>
      <c r="P106" s="102">
        <f t="shared" ref="P106:S106" si="109">IF(P19=0,0,P324/P19)</f>
        <v>390.9743790994994</v>
      </c>
      <c r="Q106" s="102">
        <f t="shared" ref="Q106:Q145" si="110">IF(Q19=0,0,Q324/Q19)</f>
        <v>0</v>
      </c>
      <c r="R106" s="102">
        <f t="shared" si="109"/>
        <v>0</v>
      </c>
      <c r="S106" s="102">
        <f t="shared" si="109"/>
        <v>0</v>
      </c>
      <c r="U106" s="9" t="s">
        <v>275</v>
      </c>
      <c r="V106" s="9" t="s">
        <v>261</v>
      </c>
      <c r="W106" s="9" t="str" cm="1">
        <f t="array" ref="W106:W145">TD_service_codes</f>
        <v>WN127</v>
      </c>
      <c r="X106" t="s">
        <v>274</v>
      </c>
      <c r="Y106" s="28">
        <f>E106</f>
        <v>103.08914332438485</v>
      </c>
      <c r="Z106" s="28">
        <f t="shared" ref="Z106:Z111" si="111">F106</f>
        <v>95.824976573109652</v>
      </c>
      <c r="AA106" s="28">
        <f t="shared" ref="AA106:AA111" si="112">G106</f>
        <v>84.833600714106851</v>
      </c>
      <c r="AB106" s="28">
        <f t="shared" ref="AB106:AB111" si="113">H106</f>
        <v>95.806738716664029</v>
      </c>
      <c r="AC106" s="28">
        <f t="shared" ref="AC106:AC111" si="114">I106</f>
        <v>102.26141062544374</v>
      </c>
      <c r="AD106" s="28">
        <f t="shared" ref="AD106:AD111" si="115">J106</f>
        <v>113.84621062755163</v>
      </c>
      <c r="AE106" s="28">
        <f t="shared" ref="AE106:AE111" si="116">K106</f>
        <v>117.53890138181413</v>
      </c>
      <c r="AF106" s="28">
        <f t="shared" ref="AF106:AF111" si="117">L106</f>
        <v>121.47144739976785</v>
      </c>
      <c r="AG106" s="28">
        <f t="shared" ref="AG106:AG111" si="118">M106</f>
        <v>125.43078980363209</v>
      </c>
      <c r="AH106" s="28">
        <f t="shared" ref="AH106:AH111" si="119">N106</f>
        <v>129.50714827996885</v>
      </c>
      <c r="AI106" s="28">
        <f t="shared" ref="AI106:AI111" si="120">O106</f>
        <v>403.77401478399895</v>
      </c>
      <c r="AJ106" s="28">
        <f t="shared" ref="AJ106:AJ111" si="121">P106</f>
        <v>390.9743790994994</v>
      </c>
      <c r="AK106" s="28">
        <f>Q106</f>
        <v>0</v>
      </c>
      <c r="AL106" s="28">
        <f t="shared" ref="AL106:AL111" si="122">R106</f>
        <v>0</v>
      </c>
      <c r="AM106" s="28">
        <f t="shared" ref="AM106:AM111" si="123">S106</f>
        <v>0</v>
      </c>
    </row>
    <row r="107" spans="1:42" ht="14.65" thickBot="1" x14ac:dyDescent="0.5">
      <c r="A107" s="9" t="str">
        <v>WN346</v>
      </c>
      <c r="B107" t="s">
        <v>276</v>
      </c>
      <c r="C107" s="25">
        <f>IF($B$2="Discounted",INDEX('Top Down inputs'!$D$50:$F$89,MATCH($A107,'Top Down inputs'!$A$50:$A$89,0),MATCH('Copper Weighted Price'!$B$105,'Top Down inputs'!$D$47:$F$47,0)),INDEX('Top Down inputs'!$D$5:$F$44,MATCH($A107,'Top Down inputs'!$A$5:$A$44,0),MATCH('Copper Weighted Price'!$B$105,'Top Down inputs'!$D$2:$F$2,0)))</f>
        <v>1.2500000000000001E-2</v>
      </c>
      <c r="D107" s="13">
        <f>IF($B$2="Headline",INDEX('Top Down inputs'!$J$5:$J$44,MATCH($A107,'Top Down inputs'!$H$5:$H$44,0)),INDEX('Top Down inputs'!$J$50:$J$89,MATCH($A107,'Top Down inputs'!$H$50:$H$89,0)))</f>
        <v>131.3244088721178</v>
      </c>
      <c r="E107" s="183">
        <f t="shared" si="104"/>
        <v>71.257925430332065</v>
      </c>
      <c r="F107" s="183">
        <f t="shared" si="106"/>
        <v>81.778653674130211</v>
      </c>
      <c r="G107" s="183">
        <f t="shared" si="106"/>
        <v>79.768444897152406</v>
      </c>
      <c r="H107" s="19">
        <f t="shared" si="106"/>
        <v>112.16497348351244</v>
      </c>
      <c r="I107" s="19">
        <f t="shared" si="106"/>
        <v>118.6091703962627</v>
      </c>
      <c r="J107" s="30">
        <f t="shared" si="107"/>
        <v>135.83189162010294</v>
      </c>
      <c r="K107" s="30">
        <f t="shared" ref="K107:N107" si="124">J107*(1+($C107+K$62))</f>
        <v>140.23770510791834</v>
      </c>
      <c r="L107" s="30">
        <f t="shared" si="124"/>
        <v>144.92969407757568</v>
      </c>
      <c r="M107" s="30">
        <f t="shared" si="124"/>
        <v>149.65365428076589</v>
      </c>
      <c r="N107" s="30">
        <f t="shared" si="124"/>
        <v>154.51722839280981</v>
      </c>
      <c r="O107" s="102">
        <f t="shared" si="108"/>
        <v>389.65209609931105</v>
      </c>
      <c r="P107" s="102">
        <f t="shared" ref="P107:P145" si="125">IF(P20=0,0,P325/P20)</f>
        <v>377.30012521668539</v>
      </c>
      <c r="Q107" s="102">
        <f t="shared" si="110"/>
        <v>0</v>
      </c>
      <c r="R107" s="102">
        <f t="shared" ref="R107:S126" si="126">IF(R20=0,0,R325/R20)</f>
        <v>0</v>
      </c>
      <c r="S107" s="102">
        <f t="shared" si="126"/>
        <v>0</v>
      </c>
      <c r="U107" s="9" t="s">
        <v>275</v>
      </c>
      <c r="V107" s="9" t="s">
        <v>261</v>
      </c>
      <c r="W107" s="9" t="str">
        <v>WN346</v>
      </c>
      <c r="X107" t="s">
        <v>276</v>
      </c>
      <c r="Y107" s="28">
        <f>E107</f>
        <v>71.257925430332065</v>
      </c>
      <c r="Z107" s="28">
        <f t="shared" si="111"/>
        <v>81.778653674130211</v>
      </c>
      <c r="AA107" s="28">
        <f t="shared" si="112"/>
        <v>79.768444897152406</v>
      </c>
      <c r="AB107" s="28">
        <f t="shared" si="113"/>
        <v>112.16497348351244</v>
      </c>
      <c r="AC107" s="28">
        <f t="shared" si="114"/>
        <v>118.6091703962627</v>
      </c>
      <c r="AD107" s="28">
        <f t="shared" si="115"/>
        <v>135.83189162010294</v>
      </c>
      <c r="AE107" s="28">
        <f t="shared" si="116"/>
        <v>140.23770510791834</v>
      </c>
      <c r="AF107" s="28">
        <f t="shared" si="117"/>
        <v>144.92969407757568</v>
      </c>
      <c r="AG107" s="28">
        <f t="shared" si="118"/>
        <v>149.65365428076589</v>
      </c>
      <c r="AH107" s="28">
        <f t="shared" si="119"/>
        <v>154.51722839280981</v>
      </c>
      <c r="AI107" s="28">
        <f t="shared" si="120"/>
        <v>389.65209609931105</v>
      </c>
      <c r="AJ107" s="28">
        <f t="shared" si="121"/>
        <v>377.30012521668539</v>
      </c>
      <c r="AK107" s="28">
        <f t="shared" ref="AK107:AK111" si="127">Q107</f>
        <v>0</v>
      </c>
      <c r="AL107" s="28">
        <f t="shared" si="122"/>
        <v>0</v>
      </c>
      <c r="AM107" s="28">
        <f t="shared" si="123"/>
        <v>0</v>
      </c>
    </row>
    <row r="108" spans="1:42" ht="14.65" thickBot="1" x14ac:dyDescent="0.5">
      <c r="A108" s="9" t="str">
        <v>WX130</v>
      </c>
      <c r="B108" t="s">
        <v>277</v>
      </c>
      <c r="C108" s="25">
        <f>IF($B$2="Discounted",INDEX('Top Down inputs'!$D$50:$F$89,MATCH($A108,'Top Down inputs'!$A$50:$A$89,0),MATCH('Copper Weighted Price'!$B$105,'Top Down inputs'!$D$47:$F$47,0)),INDEX('Top Down inputs'!$D$5:$F$44,MATCH($A108,'Top Down inputs'!$A$5:$A$44,0),MATCH('Copper Weighted Price'!$B$105,'Top Down inputs'!$D$2:$F$2,0)))</f>
        <v>1.2500000000000001E-2</v>
      </c>
      <c r="D108" s="13">
        <f>IF($B$2="Headline",INDEX('Top Down inputs'!$J$5:$J$44,MATCH($A108,'Top Down inputs'!$H$5:$H$44,0)),INDEX('Top Down inputs'!$J$50:$J$89,MATCH($A108,'Top Down inputs'!$H$50:$H$89,0)))</f>
        <v>131.25682711340249</v>
      </c>
      <c r="E108" s="183">
        <f t="shared" si="104"/>
        <v>100.61520918241411</v>
      </c>
      <c r="F108" s="183">
        <f t="shared" si="106"/>
        <v>105.33538132509327</v>
      </c>
      <c r="G108" s="183">
        <f t="shared" si="106"/>
        <v>102.28080425913539</v>
      </c>
      <c r="H108" s="19">
        <f t="shared" si="106"/>
        <v>103.33120397059598</v>
      </c>
      <c r="I108" s="19">
        <f t="shared" si="106"/>
        <v>87.061401500010106</v>
      </c>
      <c r="J108" s="30">
        <f t="shared" si="107"/>
        <v>135.76199023463963</v>
      </c>
      <c r="K108" s="30">
        <f t="shared" ref="K108:N108" si="128">J108*(1+($C108+K$62))</f>
        <v>140.16553641642537</v>
      </c>
      <c r="L108" s="30">
        <f t="shared" si="128"/>
        <v>144.85511080931693</v>
      </c>
      <c r="M108" s="30">
        <f t="shared" si="128"/>
        <v>149.57663998280464</v>
      </c>
      <c r="N108" s="30">
        <f t="shared" si="128"/>
        <v>154.43771121747065</v>
      </c>
      <c r="O108" s="102">
        <f t="shared" si="108"/>
        <v>376.74092827327922</v>
      </c>
      <c r="P108" s="102">
        <f t="shared" si="125"/>
        <v>364.79824139205988</v>
      </c>
      <c r="Q108" s="102">
        <f t="shared" si="110"/>
        <v>0</v>
      </c>
      <c r="R108" s="102">
        <f t="shared" si="126"/>
        <v>0</v>
      </c>
      <c r="S108" s="102">
        <f t="shared" si="126"/>
        <v>0</v>
      </c>
      <c r="U108" s="9" t="s">
        <v>275</v>
      </c>
      <c r="V108" s="9" t="s">
        <v>261</v>
      </c>
      <c r="W108" s="9" t="str">
        <v>WX130</v>
      </c>
      <c r="X108" t="s">
        <v>277</v>
      </c>
      <c r="Y108" s="28">
        <f>E108</f>
        <v>100.61520918241411</v>
      </c>
      <c r="Z108" s="28">
        <f t="shared" si="111"/>
        <v>105.33538132509327</v>
      </c>
      <c r="AA108" s="28">
        <f t="shared" si="112"/>
        <v>102.28080425913539</v>
      </c>
      <c r="AB108" s="28">
        <f t="shared" si="113"/>
        <v>103.33120397059598</v>
      </c>
      <c r="AC108" s="28">
        <f t="shared" si="114"/>
        <v>87.061401500010106</v>
      </c>
      <c r="AD108" s="28">
        <f t="shared" si="115"/>
        <v>135.76199023463963</v>
      </c>
      <c r="AE108" s="28">
        <f t="shared" si="116"/>
        <v>140.16553641642537</v>
      </c>
      <c r="AF108" s="28">
        <f t="shared" si="117"/>
        <v>144.85511080931693</v>
      </c>
      <c r="AG108" s="28">
        <f t="shared" si="118"/>
        <v>149.57663998280464</v>
      </c>
      <c r="AH108" s="28">
        <f t="shared" si="119"/>
        <v>154.43771121747065</v>
      </c>
      <c r="AI108" s="28">
        <f t="shared" si="120"/>
        <v>376.74092827327922</v>
      </c>
      <c r="AJ108" s="28">
        <f t="shared" si="121"/>
        <v>364.79824139205988</v>
      </c>
      <c r="AK108" s="28">
        <f t="shared" si="127"/>
        <v>0</v>
      </c>
      <c r="AL108" s="28">
        <f t="shared" si="122"/>
        <v>0</v>
      </c>
      <c r="AM108" s="28">
        <f t="shared" si="123"/>
        <v>0</v>
      </c>
    </row>
    <row r="109" spans="1:42" ht="14.65" thickBot="1" x14ac:dyDescent="0.5">
      <c r="A109" s="9" t="str">
        <v>WX347</v>
      </c>
      <c r="B109" t="s">
        <v>278</v>
      </c>
      <c r="C109" s="25">
        <f>IF($B$2="Discounted",INDEX('Top Down inputs'!$D$50:$F$89,MATCH($A109,'Top Down inputs'!$A$50:$A$89,0),MATCH('Copper Weighted Price'!$B$105,'Top Down inputs'!$D$47:$F$47,0)),INDEX('Top Down inputs'!$D$5:$F$44,MATCH($A109,'Top Down inputs'!$A$5:$A$44,0),MATCH('Copper Weighted Price'!$B$105,'Top Down inputs'!$D$2:$F$2,0)))</f>
        <v>1.2500000000000001E-2</v>
      </c>
      <c r="D109" s="13">
        <f>IF($B$2="Headline",INDEX('Top Down inputs'!$J$5:$J$44,MATCH($A109,'Top Down inputs'!$H$5:$H$44,0)),INDEX('Top Down inputs'!$J$50:$J$89,MATCH($A109,'Top Down inputs'!$H$50:$H$89,0)))</f>
        <v>117.09723373760681</v>
      </c>
      <c r="E109" s="183">
        <f t="shared" si="104"/>
        <v>82.346982379430798</v>
      </c>
      <c r="F109" s="183">
        <f t="shared" si="106"/>
        <v>72.933095164197184</v>
      </c>
      <c r="G109" s="183">
        <f t="shared" si="106"/>
        <v>119.16245088756362</v>
      </c>
      <c r="H109" s="19">
        <f t="shared" si="106"/>
        <v>108.19661705918604</v>
      </c>
      <c r="I109" s="19">
        <f t="shared" si="106"/>
        <v>97.026432436910142</v>
      </c>
      <c r="J109" s="30">
        <f t="shared" si="107"/>
        <v>121.1163933549406</v>
      </c>
      <c r="K109" s="30">
        <f t="shared" ref="K109:N109" si="129">J109*(1+($C109+K$62))</f>
        <v>125.04489816389358</v>
      </c>
      <c r="L109" s="30">
        <f t="shared" si="129"/>
        <v>129.22857531723417</v>
      </c>
      <c r="M109" s="30">
        <f t="shared" si="129"/>
        <v>133.44076006514939</v>
      </c>
      <c r="N109" s="30">
        <f t="shared" si="129"/>
        <v>137.77743349463168</v>
      </c>
      <c r="O109" s="102">
        <f t="shared" si="108"/>
        <v>326.32834775083313</v>
      </c>
      <c r="P109" s="102">
        <f t="shared" si="125"/>
        <v>315.98373959924169</v>
      </c>
      <c r="Q109" s="102">
        <f t="shared" si="110"/>
        <v>0</v>
      </c>
      <c r="R109" s="102">
        <f t="shared" si="126"/>
        <v>0</v>
      </c>
      <c r="S109" s="102">
        <f t="shared" si="126"/>
        <v>0</v>
      </c>
      <c r="U109" s="9" t="s">
        <v>275</v>
      </c>
      <c r="V109" s="9" t="s">
        <v>261</v>
      </c>
      <c r="W109" s="9" t="str">
        <v>WX347</v>
      </c>
      <c r="X109" t="s">
        <v>278</v>
      </c>
      <c r="Y109" s="28">
        <f t="shared" ref="Y109:Y111" si="130">E109</f>
        <v>82.346982379430798</v>
      </c>
      <c r="Z109" s="28">
        <f t="shared" si="111"/>
        <v>72.933095164197184</v>
      </c>
      <c r="AA109" s="28">
        <f t="shared" si="112"/>
        <v>119.16245088756362</v>
      </c>
      <c r="AB109" s="28">
        <f t="shared" si="113"/>
        <v>108.19661705918604</v>
      </c>
      <c r="AC109" s="28">
        <f t="shared" si="114"/>
        <v>97.026432436910142</v>
      </c>
      <c r="AD109" s="28">
        <f t="shared" si="115"/>
        <v>121.1163933549406</v>
      </c>
      <c r="AE109" s="28">
        <f t="shared" si="116"/>
        <v>125.04489816389358</v>
      </c>
      <c r="AF109" s="28">
        <f t="shared" si="117"/>
        <v>129.22857531723417</v>
      </c>
      <c r="AG109" s="28">
        <f t="shared" si="118"/>
        <v>133.44076006514939</v>
      </c>
      <c r="AH109" s="28">
        <f t="shared" si="119"/>
        <v>137.77743349463168</v>
      </c>
      <c r="AI109" s="28">
        <f t="shared" si="120"/>
        <v>326.32834775083313</v>
      </c>
      <c r="AJ109" s="28">
        <f t="shared" si="121"/>
        <v>315.98373959924169</v>
      </c>
      <c r="AK109" s="28">
        <f t="shared" si="127"/>
        <v>0</v>
      </c>
      <c r="AL109" s="28">
        <f t="shared" si="122"/>
        <v>0</v>
      </c>
      <c r="AM109" s="28">
        <f t="shared" si="123"/>
        <v>0</v>
      </c>
    </row>
    <row r="110" spans="1:42" ht="14.65" thickBot="1" x14ac:dyDescent="0.5">
      <c r="A110" s="9" t="str">
        <v>WX129</v>
      </c>
      <c r="B110" t="s">
        <v>279</v>
      </c>
      <c r="C110" s="25">
        <f>IF($B$2="Discounted",INDEX('Top Down inputs'!$D$50:$F$89,MATCH($A110,'Top Down inputs'!$A$50:$A$89,0),MATCH('Copper Weighted Price'!$B$105,'Top Down inputs'!$D$47:$F$47,0)),INDEX('Top Down inputs'!$D$5:$F$44,MATCH($A110,'Top Down inputs'!$A$5:$A$44,0),MATCH('Copper Weighted Price'!$B$105,'Top Down inputs'!$D$2:$F$2,0)))</f>
        <v>0.22</v>
      </c>
      <c r="D110" s="13">
        <f>IF($B$2="Headline",INDEX('Top Down inputs'!$J$5:$J$44,MATCH($A110,'Top Down inputs'!$H$5:$H$44,0)),INDEX('Top Down inputs'!$J$50:$J$89,MATCH($A110,'Top Down inputs'!$H$50:$H$89,0)))</f>
        <v>33.575930968968088</v>
      </c>
      <c r="E110" s="183">
        <f t="shared" si="104"/>
        <v>25.335818221461203</v>
      </c>
      <c r="F110" s="183">
        <f t="shared" si="106"/>
        <v>36.632542437658792</v>
      </c>
      <c r="G110" s="183">
        <f t="shared" si="106"/>
        <v>41.513153237114054</v>
      </c>
      <c r="H110" s="19">
        <f t="shared" si="106"/>
        <v>23.042154944973156</v>
      </c>
      <c r="I110" s="19">
        <f t="shared" si="106"/>
        <v>35.238949101674976</v>
      </c>
      <c r="J110" s="30">
        <f t="shared" si="107"/>
        <v>41.695372288105339</v>
      </c>
      <c r="K110" s="30">
        <f t="shared" ref="K110:N110" si="131">J110*(1+($C110+K$62))</f>
        <v>51.699584001649583</v>
      </c>
      <c r="L110" s="30">
        <f t="shared" si="131"/>
        <v>64.156981334471013</v>
      </c>
      <c r="M110" s="30">
        <f t="shared" si="131"/>
        <v>79.560741508822289</v>
      </c>
      <c r="N110" s="30">
        <f t="shared" si="131"/>
        <v>98.655229278385207</v>
      </c>
      <c r="O110" s="102">
        <f t="shared" si="108"/>
        <v>0</v>
      </c>
      <c r="P110" s="102">
        <f t="shared" si="125"/>
        <v>0</v>
      </c>
      <c r="Q110" s="102">
        <f t="shared" si="110"/>
        <v>0</v>
      </c>
      <c r="R110" s="102">
        <f t="shared" si="126"/>
        <v>0</v>
      </c>
      <c r="S110" s="102">
        <f t="shared" si="126"/>
        <v>0</v>
      </c>
      <c r="U110" s="9" t="s">
        <v>3</v>
      </c>
      <c r="V110" s="9" t="s">
        <v>261</v>
      </c>
      <c r="W110" s="9" t="str">
        <v>WX129</v>
      </c>
      <c r="X110" t="s">
        <v>279</v>
      </c>
      <c r="Y110" s="28">
        <f t="shared" si="130"/>
        <v>25.335818221461203</v>
      </c>
      <c r="Z110" s="28">
        <f t="shared" si="111"/>
        <v>36.632542437658792</v>
      </c>
      <c r="AA110" s="28">
        <f t="shared" si="112"/>
        <v>41.513153237114054</v>
      </c>
      <c r="AB110" s="28">
        <f t="shared" si="113"/>
        <v>23.042154944973156</v>
      </c>
      <c r="AC110" s="28">
        <f t="shared" si="114"/>
        <v>35.238949101674976</v>
      </c>
      <c r="AD110" s="28">
        <f t="shared" si="115"/>
        <v>41.695372288105339</v>
      </c>
      <c r="AE110" s="28">
        <f t="shared" si="116"/>
        <v>51.699584001649583</v>
      </c>
      <c r="AF110" s="28">
        <f t="shared" si="117"/>
        <v>64.156981334471013</v>
      </c>
      <c r="AG110" s="28">
        <f t="shared" si="118"/>
        <v>79.560741508822289</v>
      </c>
      <c r="AH110" s="28">
        <f t="shared" si="119"/>
        <v>98.655229278385207</v>
      </c>
      <c r="AI110" s="28">
        <f t="shared" si="120"/>
        <v>0</v>
      </c>
      <c r="AJ110" s="28">
        <f t="shared" si="121"/>
        <v>0</v>
      </c>
      <c r="AK110" s="28">
        <f t="shared" si="127"/>
        <v>0</v>
      </c>
      <c r="AL110" s="28">
        <f t="shared" si="122"/>
        <v>0</v>
      </c>
      <c r="AM110" s="28">
        <f t="shared" si="123"/>
        <v>0</v>
      </c>
    </row>
    <row r="111" spans="1:42" ht="14.65" thickBot="1" x14ac:dyDescent="0.5">
      <c r="A111" s="9" t="str">
        <v>WN123</v>
      </c>
      <c r="B111" t="s">
        <v>280</v>
      </c>
      <c r="C111" s="25">
        <f>IF($B$2="Discounted",INDEX('Top Down inputs'!$D$50:$F$89,MATCH($A111,'Top Down inputs'!$A$50:$A$89,0),MATCH('Copper Weighted Price'!$B$105,'Top Down inputs'!$D$47:$F$47,0)),INDEX('Top Down inputs'!$D$5:$F$44,MATCH($A111,'Top Down inputs'!$A$5:$A$44,0),MATCH('Copper Weighted Price'!$B$105,'Top Down inputs'!$D$2:$F$2,0)))</f>
        <v>0.22</v>
      </c>
      <c r="D111" s="13">
        <f>IF($B$2="Headline",INDEX('Top Down inputs'!$J$5:$J$44,MATCH($A111,'Top Down inputs'!$H$5:$H$44,0)),INDEX('Top Down inputs'!$J$50:$J$89,MATCH($A111,'Top Down inputs'!$H$50:$H$89,0)))</f>
        <v>35.927921953837227</v>
      </c>
      <c r="E111" s="183">
        <f t="shared" si="104"/>
        <v>48.818888792644451</v>
      </c>
      <c r="F111" s="183">
        <f t="shared" si="106"/>
        <v>24.217627077396454</v>
      </c>
      <c r="G111" s="183">
        <f t="shared" si="106"/>
        <v>63.510583922541301</v>
      </c>
      <c r="H111" s="19">
        <f t="shared" si="106"/>
        <v>28.285174920126078</v>
      </c>
      <c r="I111" s="19">
        <f t="shared" si="106"/>
        <v>24.845134282683901</v>
      </c>
      <c r="J111" s="30">
        <f t="shared" si="107"/>
        <v>44.61612941686591</v>
      </c>
      <c r="K111" s="30">
        <f t="shared" ref="K111:N111" si="132">J111*(1+($C111+K$62))</f>
        <v>55.321135273176452</v>
      </c>
      <c r="L111" s="30">
        <f t="shared" si="132"/>
        <v>68.651172183700396</v>
      </c>
      <c r="M111" s="30">
        <f t="shared" si="132"/>
        <v>85.133964391344961</v>
      </c>
      <c r="N111" s="30">
        <f t="shared" si="132"/>
        <v>105.56601933473289</v>
      </c>
      <c r="O111" s="102">
        <f t="shared" si="108"/>
        <v>0</v>
      </c>
      <c r="P111" s="102">
        <f t="shared" si="125"/>
        <v>0</v>
      </c>
      <c r="Q111" s="102">
        <f t="shared" si="110"/>
        <v>0</v>
      </c>
      <c r="R111" s="102">
        <f t="shared" si="126"/>
        <v>0</v>
      </c>
      <c r="S111" s="102">
        <f t="shared" si="126"/>
        <v>0</v>
      </c>
      <c r="U111" s="9" t="s">
        <v>3</v>
      </c>
      <c r="V111" s="9" t="s">
        <v>261</v>
      </c>
      <c r="W111" s="9" t="str">
        <v>WN123</v>
      </c>
      <c r="X111" t="s">
        <v>280</v>
      </c>
      <c r="Y111" s="28">
        <f t="shared" si="130"/>
        <v>48.818888792644451</v>
      </c>
      <c r="Z111" s="28">
        <f t="shared" si="111"/>
        <v>24.217627077396454</v>
      </c>
      <c r="AA111" s="28">
        <f t="shared" si="112"/>
        <v>63.510583922541301</v>
      </c>
      <c r="AB111" s="28">
        <f t="shared" si="113"/>
        <v>28.285174920126078</v>
      </c>
      <c r="AC111" s="28">
        <f t="shared" si="114"/>
        <v>24.845134282683901</v>
      </c>
      <c r="AD111" s="28">
        <f t="shared" si="115"/>
        <v>44.61612941686591</v>
      </c>
      <c r="AE111" s="28">
        <f t="shared" si="116"/>
        <v>55.321135273176452</v>
      </c>
      <c r="AF111" s="28">
        <f t="shared" si="117"/>
        <v>68.651172183700396</v>
      </c>
      <c r="AG111" s="28">
        <f t="shared" si="118"/>
        <v>85.133964391344961</v>
      </c>
      <c r="AH111" s="28">
        <f t="shared" si="119"/>
        <v>105.56601933473289</v>
      </c>
      <c r="AI111" s="28">
        <f t="shared" si="120"/>
        <v>0</v>
      </c>
      <c r="AJ111" s="28">
        <f t="shared" si="121"/>
        <v>0</v>
      </c>
      <c r="AK111" s="28">
        <f t="shared" si="127"/>
        <v>0</v>
      </c>
      <c r="AL111" s="28">
        <f t="shared" si="122"/>
        <v>0</v>
      </c>
      <c r="AM111" s="28">
        <f t="shared" si="123"/>
        <v>0</v>
      </c>
    </row>
    <row r="112" spans="1:42" ht="14.65" thickBot="1" x14ac:dyDescent="0.5">
      <c r="A112" s="9" t="str">
        <v>WN300</v>
      </c>
      <c r="B112" t="s">
        <v>281</v>
      </c>
      <c r="C112" s="25">
        <f>IF($B$2="Discounted",INDEX('Top Down inputs'!$D$50:$F$89,MATCH($A112,'Top Down inputs'!$A$50:$A$89,0),MATCH('Copper Weighted Price'!$B$105,'Top Down inputs'!$D$47:$F$47,0)),INDEX('Top Down inputs'!$D$5:$F$44,MATCH($A112,'Top Down inputs'!$A$5:$A$44,0),MATCH('Copper Weighted Price'!$B$105,'Top Down inputs'!$D$2:$F$2,0)))</f>
        <v>0.08</v>
      </c>
      <c r="D112" s="13">
        <f>IF($B$2="Headline",INDEX('Top Down inputs'!$J$5:$J$44,MATCH($A112,'Top Down inputs'!$H$5:$H$44,0)),INDEX('Top Down inputs'!$J$50:$J$89,MATCH($A112,'Top Down inputs'!$H$50:$H$89,0)))</f>
        <v>96.92512490916242</v>
      </c>
      <c r="E112" s="183">
        <f t="shared" si="104"/>
        <v>89.163411500888259</v>
      </c>
      <c r="F112" s="183">
        <f t="shared" si="106"/>
        <v>78.563228171487395</v>
      </c>
      <c r="G112" s="183">
        <f t="shared" si="106"/>
        <v>85.295324901979228</v>
      </c>
      <c r="H112" s="19">
        <f t="shared" si="106"/>
        <v>99.860575636032635</v>
      </c>
      <c r="I112" s="19">
        <f t="shared" si="106"/>
        <v>76.006756698891735</v>
      </c>
      <c r="J112" s="30">
        <f t="shared" si="107"/>
        <v>106.79435778080025</v>
      </c>
      <c r="K112" s="30">
        <f t="shared" ref="K112:N112" si="133">J112*(1+($C112+K$62))</f>
        <v>117.46693533076788</v>
      </c>
      <c r="L112" s="30">
        <f t="shared" si="133"/>
        <v>129.32609168660514</v>
      </c>
      <c r="M112" s="30">
        <f t="shared" si="133"/>
        <v>142.27096615383232</v>
      </c>
      <c r="N112" s="30">
        <f t="shared" si="133"/>
        <v>156.49790148638164</v>
      </c>
      <c r="O112" s="102">
        <f t="shared" si="108"/>
        <v>0</v>
      </c>
      <c r="P112" s="102">
        <f t="shared" si="125"/>
        <v>0</v>
      </c>
      <c r="Q112" s="102">
        <f t="shared" si="110"/>
        <v>0</v>
      </c>
      <c r="R112" s="102">
        <f t="shared" si="126"/>
        <v>0</v>
      </c>
      <c r="S112" s="102">
        <f t="shared" si="126"/>
        <v>0</v>
      </c>
      <c r="U112" s="9" t="s">
        <v>275</v>
      </c>
      <c r="V112" s="9" t="s">
        <v>265</v>
      </c>
      <c r="W112" s="9" t="str">
        <v>WN300</v>
      </c>
      <c r="X112" t="s">
        <v>281</v>
      </c>
      <c r="Y112" s="28" cm="1">
        <f t="array" ref="Y112">E112+SUMPRODUCT(IF($U$106:$U$145="Rentals",IF($V$106:$V$145="Legacy",IF($C$19:$C$58="Rentals",IF($D$19:$D$58="Legacy",E$106:E$145*Y$19:Y$58)))))/SUMIFS(Y$19:Y$58,$C$19:$C$58,"Rentals",$D$19:$D$58,"Legacy")</f>
        <v>164.17033150389821</v>
      </c>
      <c r="Z112" s="28" cm="1">
        <f t="array" ref="Z112">F112+SUMPRODUCT(IF($U$106:$U$145="Rentals",IF($V$106:$V$145="Legacy",IF($C$19:$C$58="Rentals",IF($D$19:$D$58="Legacy",F$106:F$145*Z$19:Z$58)))))/SUMIFS(Z$19:Z$58,$C$19:$C$58,"Rentals",$D$19:$D$58,"Legacy")</f>
        <v>167.86514778405518</v>
      </c>
      <c r="AA112" s="28" cm="1">
        <f t="array" ref="AA112">G112+SUMPRODUCT(IF($U$106:$U$145="Rentals",IF($V$106:$V$145="Legacy",IF($C$19:$C$58="Rentals",IF($D$19:$D$58="Legacy",G$106:G$145*AA$19:AA$58)))))/SUMIFS(AA$19:AA$58,$C$19:$C$58,"Rentals",$D$19:$D$58,"Legacy")</f>
        <v>195.72164092126025</v>
      </c>
      <c r="AB112" s="28" cm="1">
        <f t="array" ref="AB112">H112+SUMPRODUCT(IF($U$106:$U$145="Rentals",IF($V$106:$V$145="Legacy",IF($C$19:$C$58="Rentals",IF($D$19:$D$58="Legacy",H$106:H$145*AB$19:AB$58)))))/SUMIFS(AB$19:AB$58,$C$19:$C$58,"Rentals",$D$19:$D$58,"Legacy")</f>
        <v>199.11880246623537</v>
      </c>
      <c r="AC112" s="28" cm="1">
        <f t="array" ref="AC112">I112+SUMPRODUCT(IF($U$106:$U$145="Rentals",IF($V$106:$V$145="Legacy",IF($C$19:$C$58="Rentals",IF($D$19:$D$58="Legacy",I$106:I$145*AC$19:AC$58)))))/SUMIFS(AC$19:AC$58,$C$19:$C$58,"Rentals",$D$19:$D$58,"Legacy")</f>
        <v>185.18763142225444</v>
      </c>
      <c r="AD112" s="28" cm="1">
        <f t="array" ref="AD112">J112+SUMPRODUCT(IF($U$106:$U$145="Rentals",IF($V$106:$V$145="Legacy",IF($C$19:$C$58="Rentals",IF($D$19:$D$58="Legacy",J$106:J$145*AD$19:AD$58)))))/SUMIFS(AD$19:AD$58,$C$19:$C$58,"Rentals",$D$19:$D$58,"Legacy")</f>
        <v>210.7932340266407</v>
      </c>
      <c r="AE112" s="28" cm="1">
        <f t="array" ref="AE112">K112+SUMPRODUCT(IF($U$106:$U$145="Rentals",IF($V$106:$V$145="Legacy",IF($C$19:$C$58="Rentals",IF($D$19:$D$58="Legacy",K$106:K$145*AE$19:AE$58)))))/SUMIFS(AE$19:AE$58,$C$19:$C$58,"Rentals",$D$19:$D$58,"Legacy")</f>
        <v>212.45716838796847</v>
      </c>
      <c r="AF112" s="28" cm="1">
        <f t="array" ref="AF112">L112+SUMPRODUCT(IF($U$106:$U$145="Rentals",IF($V$106:$V$145="Legacy",IF($C$19:$C$58="Rentals",IF($D$19:$D$58="Legacy",L$106:L$145*AF$19:AF$58)))))/SUMIFS(AF$19:AF$58,$C$19:$C$58,"Rentals",$D$19:$D$58,"Legacy")</f>
        <v>221.65945587178311</v>
      </c>
      <c r="AG112" s="28" cm="1">
        <f t="array" ref="AG112">M112+SUMPRODUCT(IF($U$106:$U$145="Rentals",IF($V$106:$V$145="Legacy",IF($C$19:$C$58="Rentals",IF($D$19:$D$58="Legacy",M$106:M$145*AG$19:AG$58)))))/SUMIFS(AG$19:AG$58,$C$19:$C$58,"Rentals",$D$19:$D$58,"Legacy")</f>
        <v>233.59049806231172</v>
      </c>
      <c r="AH112" s="28" cm="1">
        <f t="array" ref="AH112">N112+SUMPRODUCT(IF($U$106:$U$145="Rentals",IF($V$106:$V$145="Legacy",IF($C$19:$C$58="Rentals",IF($D$19:$D$58="Legacy",N$106:N$145*AH$19:AH$58)))))/SUMIFS(AH$19:AH$58,$C$19:$C$58,"Rentals",$D$19:$D$58,"Legacy")</f>
        <v>251.83930103848959</v>
      </c>
      <c r="AI112" s="28" cm="1">
        <f t="array" ref="AI112">O112+SUMPRODUCT(IF($U$106:$U$145="Rentals",IF($V$106:$V$145="Legacy",IF($C$19:$C$58="Rentals",IF($D$19:$D$58="Legacy",O$106:O$145*AI$19:AI$58)))))/SUMIFS(AI$19:AI$58,$C$19:$C$58,"Rentals",$D$19:$D$58,"Legacy")</f>
        <v>402.25736289075934</v>
      </c>
      <c r="AJ112" s="28" cm="1">
        <f t="array" ref="AJ112">P112+SUMPRODUCT(IF($U$106:$U$145="Rentals",IF($V$106:$V$145="Legacy",IF($C$19:$C$58="Rentals",IF($D$19:$D$58="Legacy",P$106:P$145*AJ$19:AJ$58)))))/SUMIFS(AJ$19:AJ$58,$C$19:$C$58,"Rentals",$D$19:$D$58,"Legacy")</f>
        <v>383.18150587469165</v>
      </c>
      <c r="AK112" s="28" cm="1">
        <f t="array" ref="AK112">Q112+IF(SUM(AK19:AK58)=0,0,SUMPRODUCT(IF($U$106:$U$145="Rentals",IF($V$106:$V$145="Legacy",IF($C$19:$C$58="Rentals",IF($D$19:$D$58="Legacy",Q$106:Q$145*AK$19:AK$58)))))/SUMIFS(AK$19:AK$58,$C$19:$C$58,"Rentals",$D$19:$D$58,"Legacy"))</f>
        <v>0</v>
      </c>
      <c r="AL112" s="28" cm="1">
        <f t="array" ref="AL112">R112+IF(SUM(AL19:AL58)=0,0,SUMPRODUCT(IF($U$106:$U$145="Rentals",IF($V$106:$V$145="Legacy",IF($C$19:$C$58="Rentals",IF($D$19:$D$58="Legacy",R$106:R$145*AL$19:AL$58)))))/SUMIFS(AL$19:AL$58,$C$19:$C$58,"Rentals",$D$19:$D$58,"Legacy"))</f>
        <v>0</v>
      </c>
      <c r="AM112" s="28" cm="1">
        <f t="array" ref="AM112">S112+IF(SUM(AM19:AM58)=0,0,SUMPRODUCT(IF($U$106:$U$145="Rentals",IF($V$106:$V$145="Legacy",IF($C$19:$C$58="Rentals",IF($D$19:$D$58="Legacy",S$106:S$145*AM$19:AM$58)))))/SUMIFS(AM$19:AM$58,$C$19:$C$58,"Rentals",$D$19:$D$58,"Legacy"))</f>
        <v>0</v>
      </c>
    </row>
    <row r="113" spans="1:39" ht="14.65" thickBot="1" x14ac:dyDescent="0.5">
      <c r="A113" s="9" t="str">
        <v>WN301</v>
      </c>
      <c r="B113" t="s">
        <v>282</v>
      </c>
      <c r="C113" s="25">
        <f>IF($B$2="Discounted",INDEX('Top Down inputs'!$D$50:$F$89,MATCH($A113,'Top Down inputs'!$A$50:$A$89,0),MATCH('Copper Weighted Price'!$B$105,'Top Down inputs'!$D$47:$F$47,0)),INDEX('Top Down inputs'!$D$5:$F$44,MATCH($A113,'Top Down inputs'!$A$5:$A$44,0),MATCH('Copper Weighted Price'!$B$105,'Top Down inputs'!$D$2:$F$2,0)))</f>
        <v>0.08</v>
      </c>
      <c r="D113" s="13">
        <f>IF($B$2="Headline",INDEX('Top Down inputs'!$J$5:$J$44,MATCH($A113,'Top Down inputs'!$H$5:$H$44,0)),INDEX('Top Down inputs'!$J$50:$J$89,MATCH($A113,'Top Down inputs'!$H$50:$H$89,0)))</f>
        <v>77.52055977577534</v>
      </c>
      <c r="E113" s="183">
        <f t="shared" si="104"/>
        <v>49.582678878231384</v>
      </c>
      <c r="F113" s="183">
        <f t="shared" si="106"/>
        <v>56.095845244106208</v>
      </c>
      <c r="G113" s="183">
        <f t="shared" si="106"/>
        <v>66.215763141683965</v>
      </c>
      <c r="H113" s="19">
        <f t="shared" si="106"/>
        <v>70.187702240523237</v>
      </c>
      <c r="I113" s="19">
        <f t="shared" si="106"/>
        <v>66.220036945299313</v>
      </c>
      <c r="J113" s="30">
        <f t="shared" si="107"/>
        <v>85.413956431016842</v>
      </c>
      <c r="K113" s="30">
        <f t="shared" ref="K113:N113" si="134">J113*(1+($C113+K$62))</f>
        <v>93.949866874250674</v>
      </c>
      <c r="L113" s="30">
        <f t="shared" si="134"/>
        <v>103.43480114732523</v>
      </c>
      <c r="M113" s="30">
        <f t="shared" si="134"/>
        <v>113.78809102822103</v>
      </c>
      <c r="N113" s="30">
        <f t="shared" si="134"/>
        <v>125.16677113729071</v>
      </c>
      <c r="O113" s="102">
        <f t="shared" si="108"/>
        <v>0</v>
      </c>
      <c r="P113" s="102">
        <f t="shared" si="125"/>
        <v>0</v>
      </c>
      <c r="Q113" s="102">
        <f t="shared" si="110"/>
        <v>0</v>
      </c>
      <c r="R113" s="102">
        <f t="shared" si="126"/>
        <v>0</v>
      </c>
      <c r="S113" s="102">
        <f t="shared" si="126"/>
        <v>0</v>
      </c>
      <c r="U113" s="9" t="s">
        <v>275</v>
      </c>
      <c r="V113" s="9" t="s">
        <v>265</v>
      </c>
      <c r="W113" s="9" t="str">
        <v>WN301</v>
      </c>
      <c r="X113" t="s">
        <v>282</v>
      </c>
      <c r="Y113" s="28" cm="1">
        <f t="array" ref="Y113">E113+SUMPRODUCT(IF($U$106:$U$145="Rentals",IF($V$106:$V$145="Legacy",IF($C$19:$C$58="Rentals",IF($D$19:$D$58="Legacy",E$106:E$145*Y$19:Y$58)))))/SUMIFS(Y$19:Y$58,$C$19:$C$58,"Rentals",$D$19:$D$58,"Legacy")</f>
        <v>124.58959888124133</v>
      </c>
      <c r="Z113" s="28" cm="1">
        <f t="array" ref="Z113">F113+SUMPRODUCT(IF($U$106:$U$145="Rentals",IF($V$106:$V$145="Legacy",IF($C$19:$C$58="Rentals",IF($D$19:$D$58="Legacy",F$106:F$145*Z$19:Z$58)))))/SUMIFS(Z$19:Z$58,$C$19:$C$58,"Rentals",$D$19:$D$58,"Legacy")</f>
        <v>145.397764856674</v>
      </c>
      <c r="AA113" s="28" cm="1">
        <f t="array" ref="AA113">G113+SUMPRODUCT(IF($U$106:$U$145="Rentals",IF($V$106:$V$145="Legacy",IF($C$19:$C$58="Rentals",IF($D$19:$D$58="Legacy",G$106:G$145*AA$19:AA$58)))))/SUMIFS(AA$19:AA$58,$C$19:$C$58,"Rentals",$D$19:$D$58,"Legacy")</f>
        <v>176.64207916096501</v>
      </c>
      <c r="AB113" s="28" cm="1">
        <f t="array" ref="AB113">H113+SUMPRODUCT(IF($U$106:$U$145="Rentals",IF($V$106:$V$145="Legacy",IF($C$19:$C$58="Rentals",IF($D$19:$D$58="Legacy",H$106:H$145*AB$19:AB$58)))))/SUMIFS(AB$19:AB$58,$C$19:$C$58,"Rentals",$D$19:$D$58,"Legacy")</f>
        <v>169.44592907072598</v>
      </c>
      <c r="AC113" s="28" cm="1">
        <f t="array" ref="AC113">I113+SUMPRODUCT(IF($U$106:$U$145="Rentals",IF($V$106:$V$145="Legacy",IF($C$19:$C$58="Rentals",IF($D$19:$D$58="Legacy",I$106:I$145*AC$19:AC$58)))))/SUMIFS(AC$19:AC$58,$C$19:$C$58,"Rentals",$D$19:$D$58,"Legacy")</f>
        <v>175.40091166866202</v>
      </c>
      <c r="AD113" s="28" cm="1">
        <f t="array" ref="AD113">J113+SUMPRODUCT(IF($U$106:$U$145="Rentals",IF($V$106:$V$145="Legacy",IF($C$19:$C$58="Rentals",IF($D$19:$D$58="Legacy",J$106:J$145*AD$19:AD$58)))))/SUMIFS(AD$19:AD$58,$C$19:$C$58,"Rentals",$D$19:$D$58,"Legacy")</f>
        <v>189.41283267685731</v>
      </c>
      <c r="AE113" s="28" cm="1">
        <f t="array" ref="AE113">K113+SUMPRODUCT(IF($U$106:$U$145="Rentals",IF($V$106:$V$145="Legacy",IF($C$19:$C$58="Rentals",IF($D$19:$D$58="Legacy",K$106:K$145*AE$19:AE$58)))))/SUMIFS(AE$19:AE$58,$C$19:$C$58,"Rentals",$D$19:$D$58,"Legacy")</f>
        <v>188.94009993145124</v>
      </c>
      <c r="AF113" s="28" cm="1">
        <f t="array" ref="AF113">L113+SUMPRODUCT(IF($U$106:$U$145="Rentals",IF($V$106:$V$145="Legacy",IF($C$19:$C$58="Rentals",IF($D$19:$D$58="Legacy",L$106:L$145*AF$19:AF$58)))))/SUMIFS(AF$19:AF$58,$C$19:$C$58,"Rentals",$D$19:$D$58,"Legacy")</f>
        <v>195.7681653325032</v>
      </c>
      <c r="AG113" s="28" cm="1">
        <f t="array" ref="AG113">M113+SUMPRODUCT(IF($U$106:$U$145="Rentals",IF($V$106:$V$145="Legacy",IF($C$19:$C$58="Rentals",IF($D$19:$D$58="Legacy",M$106:M$145*AG$19:AG$58)))))/SUMIFS(AG$19:AG$58,$C$19:$C$58,"Rentals",$D$19:$D$58,"Legacy")</f>
        <v>205.10762293670044</v>
      </c>
      <c r="AH113" s="28" cm="1">
        <f t="array" ref="AH113">N113+SUMPRODUCT(IF($U$106:$U$145="Rentals",IF($V$106:$V$145="Legacy",IF($C$19:$C$58="Rentals",IF($D$19:$D$58="Legacy",N$106:N$145*AH$19:AH$58)))))/SUMIFS(AH$19:AH$58,$C$19:$C$58,"Rentals",$D$19:$D$58,"Legacy")</f>
        <v>220.50817068939867</v>
      </c>
      <c r="AI113" s="28" cm="1">
        <f t="array" ref="AI113">O113+SUMPRODUCT(IF($U$106:$U$145="Rentals",IF($V$106:$V$145="Legacy",IF($C$19:$C$58="Rentals",IF($D$19:$D$58="Legacy",O$106:O$145*AI$19:AI$58)))))/SUMIFS(AI$19:AI$58,$C$19:$C$58,"Rentals",$D$19:$D$58,"Legacy")</f>
        <v>402.25736289075934</v>
      </c>
      <c r="AJ113" s="28" cm="1">
        <f t="array" ref="AJ113">P113+SUMPRODUCT(IF($U$106:$U$145="Rentals",IF($V$106:$V$145="Legacy",IF($C$19:$C$58="Rentals",IF($D$19:$D$58="Legacy",P$106:P$145*AJ$19:AJ$58)))))/SUMIFS(AJ$19:AJ$58,$C$19:$C$58,"Rentals",$D$19:$D$58,"Legacy")</f>
        <v>383.18150587469165</v>
      </c>
      <c r="AK113" s="28" cm="1">
        <f t="array" ref="AK113">Q113+IF(SUM(AK20:AK59)=0,0,SUMPRODUCT(IF($U$106:$U$145="Rentals",IF($V$106:$V$145="Legacy",IF($C$19:$C$58="Rentals",IF($D$19:$D$58="Legacy",Q$106:Q$145*AK$19:AK$58)))))/SUMIFS(AK$19:AK$58,$C$19:$C$58,"Rentals",$D$19:$D$58,"Legacy"))</f>
        <v>0</v>
      </c>
      <c r="AL113" s="28" cm="1">
        <f t="array" ref="AL113">R113+IF(SUM(AL20:AL59)=0,0,SUMPRODUCT(IF($U$106:$U$145="Rentals",IF($V$106:$V$145="Legacy",IF($C$19:$C$58="Rentals",IF($D$19:$D$58="Legacy",R$106:R$145*AL$19:AL$58)))))/SUMIFS(AL$19:AL$58,$C$19:$C$58,"Rentals",$D$19:$D$58,"Legacy"))</f>
        <v>0</v>
      </c>
      <c r="AM113" s="28" cm="1">
        <f t="array" ref="AM113">S113+IF(SUM(AM20:AM59)=0,0,SUMPRODUCT(IF($U$106:$U$145="Rentals",IF($V$106:$V$145="Legacy",IF($C$19:$C$58="Rentals",IF($D$19:$D$58="Legacy",S$106:S$145*AM$19:AM$58)))))/SUMIFS(AM$19:AM$58,$C$19:$C$58,"Rentals",$D$19:$D$58,"Legacy"))</f>
        <v>0</v>
      </c>
    </row>
    <row r="114" spans="1:39" ht="14.65" thickBot="1" x14ac:dyDescent="0.5">
      <c r="A114" s="9" t="str">
        <v>WX310</v>
      </c>
      <c r="B114" t="s">
        <v>283</v>
      </c>
      <c r="C114" s="25">
        <f>IF($B$2="Discounted",INDEX('Top Down inputs'!$D$50:$F$89,MATCH($A114,'Top Down inputs'!$A$50:$A$89,0),MATCH('Copper Weighted Price'!$B$105,'Top Down inputs'!$D$47:$F$47,0)),INDEX('Top Down inputs'!$D$5:$F$44,MATCH($A114,'Top Down inputs'!$A$5:$A$44,0),MATCH('Copper Weighted Price'!$B$105,'Top Down inputs'!$D$2:$F$2,0)))</f>
        <v>0.08</v>
      </c>
      <c r="D114" s="13">
        <f>IF($B$2="Headline",INDEX('Top Down inputs'!$J$5:$J$44,MATCH($A114,'Top Down inputs'!$H$5:$H$44,0)),INDEX('Top Down inputs'!$J$50:$J$89,MATCH($A114,'Top Down inputs'!$H$50:$H$89,0)))</f>
        <v>91.914304356048433</v>
      </c>
      <c r="E114" s="183">
        <f t="shared" si="104"/>
        <v>62.487361804185809</v>
      </c>
      <c r="F114" s="183">
        <f t="shared" si="106"/>
        <v>83.588090030846729</v>
      </c>
      <c r="G114" s="183">
        <f t="shared" si="106"/>
        <v>78.954409742235526</v>
      </c>
      <c r="H114" s="19">
        <f t="shared" si="106"/>
        <v>71.583575649616606</v>
      </c>
      <c r="I114" s="19">
        <f t="shared" si="106"/>
        <v>97.55806370776628</v>
      </c>
      <c r="J114" s="30">
        <f t="shared" si="107"/>
        <v>101.27331910866896</v>
      </c>
      <c r="K114" s="30">
        <f t="shared" ref="K114:N114" si="135">J114*(1+($C114+K$62))</f>
        <v>111.39414734707057</v>
      </c>
      <c r="L114" s="30">
        <f t="shared" si="135"/>
        <v>122.64021081841462</v>
      </c>
      <c r="M114" s="30">
        <f t="shared" si="135"/>
        <v>134.91586310925922</v>
      </c>
      <c r="N114" s="30">
        <f t="shared" si="135"/>
        <v>148.40729647532697</v>
      </c>
      <c r="O114" s="102">
        <f t="shared" si="108"/>
        <v>0</v>
      </c>
      <c r="P114" s="102">
        <f t="shared" si="125"/>
        <v>0</v>
      </c>
      <c r="Q114" s="102">
        <f t="shared" si="110"/>
        <v>0</v>
      </c>
      <c r="R114" s="102">
        <f t="shared" si="126"/>
        <v>0</v>
      </c>
      <c r="S114" s="102">
        <f t="shared" si="126"/>
        <v>0</v>
      </c>
      <c r="U114" s="9" t="s">
        <v>275</v>
      </c>
      <c r="V114" s="9" t="s">
        <v>265</v>
      </c>
      <c r="W114" s="9" t="str">
        <v>WX310</v>
      </c>
      <c r="X114" t="s">
        <v>283</v>
      </c>
      <c r="Y114" s="28" cm="1">
        <f t="array" ref="Y114">E114+SUMPRODUCT(IF($U$106:$U$145="Rentals",IF($V$106:$V$145="Legacy",IF($C$19:$C$58="Rentals",IF($D$19:$D$58="Legacy",E$106:E$145*Y$19:Y$58)))))/SUMIFS(Y$19:Y$58,$C$19:$C$58,"Rentals",$D$19:$D$58,"Legacy")</f>
        <v>137.49428180719576</v>
      </c>
      <c r="Z114" s="28" cm="1">
        <f t="array" ref="Z114">F114+SUMPRODUCT(IF($U$106:$U$145="Rentals",IF($V$106:$V$145="Legacy",IF($C$19:$C$58="Rentals",IF($D$19:$D$58="Legacy",F$106:F$145*Z$19:Z$58)))))/SUMIFS(Z$19:Z$58,$C$19:$C$58,"Rentals",$D$19:$D$58,"Legacy")</f>
        <v>172.89000964341452</v>
      </c>
      <c r="AA114" s="28" cm="1">
        <f t="array" ref="AA114">G114+SUMPRODUCT(IF($U$106:$U$145="Rentals",IF($V$106:$V$145="Legacy",IF($C$19:$C$58="Rentals",IF($D$19:$D$58="Legacy",G$106:G$145*AA$19:AA$58)))))/SUMIFS(AA$19:AA$58,$C$19:$C$58,"Rentals",$D$19:$D$58,"Legacy")</f>
        <v>189.38072576151654</v>
      </c>
      <c r="AB114" s="28" cm="1">
        <f t="array" ref="AB114">H114+SUMPRODUCT(IF($U$106:$U$145="Rentals",IF($V$106:$V$145="Legacy",IF($C$19:$C$58="Rentals",IF($D$19:$D$58="Legacy",H$106:H$145*AB$19:AB$58)))))/SUMIFS(AB$19:AB$58,$C$19:$C$58,"Rentals",$D$19:$D$58,"Legacy")</f>
        <v>170.84180247981934</v>
      </c>
      <c r="AC114" s="28" cm="1">
        <f t="array" ref="AC114">I114+SUMPRODUCT(IF($U$106:$U$145="Rentals",IF($V$106:$V$145="Legacy",IF($C$19:$C$58="Rentals",IF($D$19:$D$58="Legacy",I$106:I$145*AC$19:AC$58)))))/SUMIFS(AC$19:AC$58,$C$19:$C$58,"Rentals",$D$19:$D$58,"Legacy")</f>
        <v>206.73893843112899</v>
      </c>
      <c r="AD114" s="28" cm="1">
        <f t="array" ref="AD114">J114+SUMPRODUCT(IF($U$106:$U$145="Rentals",IF($V$106:$V$145="Legacy",IF($C$19:$C$58="Rentals",IF($D$19:$D$58="Legacy",J$106:J$145*AD$19:AD$58)))))/SUMIFS(AD$19:AD$58,$C$19:$C$58,"Rentals",$D$19:$D$58,"Legacy")</f>
        <v>205.27219535450939</v>
      </c>
      <c r="AE114" s="28" cm="1">
        <f t="array" ref="AE114">K114+SUMPRODUCT(IF($U$106:$U$145="Rentals",IF($V$106:$V$145="Legacy",IF($C$19:$C$58="Rentals",IF($D$19:$D$58="Legacy",K$106:K$145*AE$19:AE$58)))))/SUMIFS(AE$19:AE$58,$C$19:$C$58,"Rentals",$D$19:$D$58,"Legacy")</f>
        <v>206.38438040427116</v>
      </c>
      <c r="AF114" s="28" cm="1">
        <f t="array" ref="AF114">L114+SUMPRODUCT(IF($U$106:$U$145="Rentals",IF($V$106:$V$145="Legacy",IF($C$19:$C$58="Rentals",IF($D$19:$D$58="Legacy",L$106:L$145*AF$19:AF$58)))))/SUMIFS(AF$19:AF$58,$C$19:$C$58,"Rentals",$D$19:$D$58,"Legacy")</f>
        <v>214.9735750035926</v>
      </c>
      <c r="AG114" s="28" cm="1">
        <f t="array" ref="AG114">M114+SUMPRODUCT(IF($U$106:$U$145="Rentals",IF($V$106:$V$145="Legacy",IF($C$19:$C$58="Rentals",IF($D$19:$D$58="Legacy",M$106:M$145*AG$19:AG$58)))))/SUMIFS(AG$19:AG$58,$C$19:$C$58,"Rentals",$D$19:$D$58,"Legacy")</f>
        <v>226.23539501773863</v>
      </c>
      <c r="AH114" s="28" cm="1">
        <f t="array" ref="AH114">N114+SUMPRODUCT(IF($U$106:$U$145="Rentals",IF($V$106:$V$145="Legacy",IF($C$19:$C$58="Rentals",IF($D$19:$D$58="Legacy",N$106:N$145*AH$19:AH$58)))))/SUMIFS(AH$19:AH$58,$C$19:$C$58,"Rentals",$D$19:$D$58,"Legacy")</f>
        <v>243.74869602743493</v>
      </c>
      <c r="AI114" s="28" cm="1">
        <f t="array" ref="AI114">O114+SUMPRODUCT(IF($U$106:$U$145="Rentals",IF($V$106:$V$145="Legacy",IF($C$19:$C$58="Rentals",IF($D$19:$D$58="Legacy",O$106:O$145*AI$19:AI$58)))))/SUMIFS(AI$19:AI$58,$C$19:$C$58,"Rentals",$D$19:$D$58,"Legacy")</f>
        <v>402.25736289075934</v>
      </c>
      <c r="AJ114" s="28" cm="1">
        <f t="array" ref="AJ114">P114+SUMPRODUCT(IF($U$106:$U$145="Rentals",IF($V$106:$V$145="Legacy",IF($C$19:$C$58="Rentals",IF($D$19:$D$58="Legacy",P$106:P$145*AJ$19:AJ$58)))))/SUMIFS(AJ$19:AJ$58,$C$19:$C$58,"Rentals",$D$19:$D$58,"Legacy")</f>
        <v>383.18150587469165</v>
      </c>
      <c r="AK114" s="28" cm="1">
        <f t="array" ref="AK114">Q114+IF(SUM(AK21:AK60)=0,0,SUMPRODUCT(IF($U$106:$U$145="Rentals",IF($V$106:$V$145="Legacy",IF($C$19:$C$58="Rentals",IF($D$19:$D$58="Legacy",Q$106:Q$145*AK$19:AK$58)))))/SUMIFS(AK$19:AK$58,$C$19:$C$58,"Rentals",$D$19:$D$58,"Legacy"))</f>
        <v>0</v>
      </c>
      <c r="AL114" s="28" cm="1">
        <f t="array" ref="AL114">R114+IF(SUM(AL21:AL60)=0,0,SUMPRODUCT(IF($U$106:$U$145="Rentals",IF($V$106:$V$145="Legacy",IF($C$19:$C$58="Rentals",IF($D$19:$D$58="Legacy",R$106:R$145*AL$19:AL$58)))))/SUMIFS(AL$19:AL$58,$C$19:$C$58,"Rentals",$D$19:$D$58,"Legacy"))</f>
        <v>0</v>
      </c>
      <c r="AM114" s="28" cm="1">
        <f t="array" ref="AM114">S114+IF(SUM(AM21:AM60)=0,0,SUMPRODUCT(IF($U$106:$U$145="Rentals",IF($V$106:$V$145="Legacy",IF($C$19:$C$58="Rentals",IF($D$19:$D$58="Legacy",S$106:S$145*AM$19:AM$58)))))/SUMIFS(AM$19:AM$58,$C$19:$C$58,"Rentals",$D$19:$D$58,"Legacy"))</f>
        <v>0</v>
      </c>
    </row>
    <row r="115" spans="1:39" ht="14.65" thickBot="1" x14ac:dyDescent="0.5">
      <c r="A115" s="9" t="str">
        <v>WX311</v>
      </c>
      <c r="B115" t="s">
        <v>284</v>
      </c>
      <c r="C115" s="25">
        <f>IF($B$2="Discounted",INDEX('Top Down inputs'!$D$50:$F$89,MATCH($A115,'Top Down inputs'!$A$50:$A$89,0),MATCH('Copper Weighted Price'!$B$105,'Top Down inputs'!$D$47:$F$47,0)),INDEX('Top Down inputs'!$D$5:$F$44,MATCH($A115,'Top Down inputs'!$A$5:$A$44,0),MATCH('Copper Weighted Price'!$B$105,'Top Down inputs'!$D$2:$F$2,0)))</f>
        <v>0.08</v>
      </c>
      <c r="D115" s="13">
        <f>IF($B$2="Headline",INDEX('Top Down inputs'!$J$5:$J$44,MATCH($A115,'Top Down inputs'!$H$5:$H$44,0)),INDEX('Top Down inputs'!$J$50:$J$89,MATCH($A115,'Top Down inputs'!$H$50:$H$89,0)))</f>
        <v>84.734806701698801</v>
      </c>
      <c r="E115" s="183">
        <f t="shared" si="104"/>
        <v>49.862846956002535</v>
      </c>
      <c r="F115" s="183">
        <f t="shared" si="106"/>
        <v>58.733926610756555</v>
      </c>
      <c r="G115" s="183">
        <f t="shared" si="106"/>
        <v>74.81387309276414</v>
      </c>
      <c r="H115" s="19">
        <f t="shared" si="106"/>
        <v>62.740901542756454</v>
      </c>
      <c r="I115" s="19">
        <f t="shared" si="106"/>
        <v>71.870945717078158</v>
      </c>
      <c r="J115" s="30">
        <f t="shared" si="107"/>
        <v>93.362781547808396</v>
      </c>
      <c r="K115" s="30">
        <f t="shared" ref="K115:N115" si="136">J115*(1+($C115+K$62))</f>
        <v>102.69306403702817</v>
      </c>
      <c r="L115" s="30">
        <f t="shared" si="136"/>
        <v>113.06068876177174</v>
      </c>
      <c r="M115" s="30">
        <f t="shared" si="136"/>
        <v>124.37748032418904</v>
      </c>
      <c r="N115" s="30">
        <f t="shared" si="136"/>
        <v>136.81508735839134</v>
      </c>
      <c r="O115" s="102">
        <f t="shared" si="108"/>
        <v>0</v>
      </c>
      <c r="P115" s="102">
        <f t="shared" si="125"/>
        <v>0</v>
      </c>
      <c r="Q115" s="102">
        <f t="shared" si="110"/>
        <v>0</v>
      </c>
      <c r="R115" s="102">
        <f t="shared" si="126"/>
        <v>0</v>
      </c>
      <c r="S115" s="102">
        <f t="shared" si="126"/>
        <v>0</v>
      </c>
      <c r="U115" s="9" t="s">
        <v>275</v>
      </c>
      <c r="V115" s="9" t="s">
        <v>265</v>
      </c>
      <c r="W115" s="9" t="str">
        <v>WX311</v>
      </c>
      <c r="X115" t="s">
        <v>284</v>
      </c>
      <c r="Y115" s="28" cm="1">
        <f t="array" ref="Y115">E115+SUMPRODUCT(IF($U$106:$U$145="Rentals",IF($V$106:$V$145="Legacy",IF($C$19:$C$58="Rentals",IF($D$19:$D$58="Legacy",E$106:E$145*Y$19:Y$58)))))/SUMIFS(Y$19:Y$58,$C$19:$C$58,"Rentals",$D$19:$D$58,"Legacy")</f>
        <v>124.86976695901248</v>
      </c>
      <c r="Z115" s="28" cm="1">
        <f t="array" ref="Z115">F115+SUMPRODUCT(IF($U$106:$U$145="Rentals",IF($V$106:$V$145="Legacy",IF($C$19:$C$58="Rentals",IF($D$19:$D$58="Legacy",F$106:F$145*Z$19:Z$58)))))/SUMIFS(Z$19:Z$58,$C$19:$C$58,"Rentals",$D$19:$D$58,"Legacy")</f>
        <v>148.03584622332434</v>
      </c>
      <c r="AA115" s="28" cm="1">
        <f t="array" ref="AA115">G115+SUMPRODUCT(IF($U$106:$U$145="Rentals",IF($V$106:$V$145="Legacy",IF($C$19:$C$58="Rentals",IF($D$19:$D$58="Legacy",G$106:G$145*AA$19:AA$58)))))/SUMIFS(AA$19:AA$58,$C$19:$C$58,"Rentals",$D$19:$D$58,"Legacy")</f>
        <v>185.24018911204519</v>
      </c>
      <c r="AB115" s="28" cm="1">
        <f t="array" ref="AB115">H115+SUMPRODUCT(IF($U$106:$U$145="Rentals",IF($V$106:$V$145="Legacy",IF($C$19:$C$58="Rentals",IF($D$19:$D$58="Legacy",H$106:H$145*AB$19:AB$58)))))/SUMIFS(AB$19:AB$58,$C$19:$C$58,"Rentals",$D$19:$D$58,"Legacy")</f>
        <v>161.99912837295918</v>
      </c>
      <c r="AC115" s="28" cm="1">
        <f t="array" ref="AC115">I115+SUMPRODUCT(IF($U$106:$U$145="Rentals",IF($V$106:$V$145="Legacy",IF($C$19:$C$58="Rentals",IF($D$19:$D$58="Legacy",I$106:I$145*AC$19:AC$58)))))/SUMIFS(AC$19:AC$58,$C$19:$C$58,"Rentals",$D$19:$D$58,"Legacy")</f>
        <v>181.05182044044085</v>
      </c>
      <c r="AD115" s="28" cm="1">
        <f t="array" ref="AD115">J115+SUMPRODUCT(IF($U$106:$U$145="Rentals",IF($V$106:$V$145="Legacy",IF($C$19:$C$58="Rentals",IF($D$19:$D$58="Legacy",J$106:J$145*AD$19:AD$58)))))/SUMIFS(AD$19:AD$58,$C$19:$C$58,"Rentals",$D$19:$D$58,"Legacy")</f>
        <v>197.36165779364885</v>
      </c>
      <c r="AE115" s="28" cm="1">
        <f t="array" ref="AE115">K115+SUMPRODUCT(IF($U$106:$U$145="Rentals",IF($V$106:$V$145="Legacy",IF($C$19:$C$58="Rentals",IF($D$19:$D$58="Legacy",K$106:K$145*AE$19:AE$58)))))/SUMIFS(AE$19:AE$58,$C$19:$C$58,"Rentals",$D$19:$D$58,"Legacy")</f>
        <v>197.68329709422875</v>
      </c>
      <c r="AF115" s="28" cm="1">
        <f t="array" ref="AF115">L115+SUMPRODUCT(IF($U$106:$U$145="Rentals",IF($V$106:$V$145="Legacy",IF($C$19:$C$58="Rentals",IF($D$19:$D$58="Legacy",L$106:L$145*AF$19:AF$58)))))/SUMIFS(AF$19:AF$58,$C$19:$C$58,"Rentals",$D$19:$D$58,"Legacy")</f>
        <v>205.39405294694973</v>
      </c>
      <c r="AG115" s="28" cm="1">
        <f t="array" ref="AG115">M115+SUMPRODUCT(IF($U$106:$U$145="Rentals",IF($V$106:$V$145="Legacy",IF($C$19:$C$58="Rentals",IF($D$19:$D$58="Legacy",M$106:M$145*AG$19:AG$58)))))/SUMIFS(AG$19:AG$58,$C$19:$C$58,"Rentals",$D$19:$D$58,"Legacy")</f>
        <v>215.69701223266844</v>
      </c>
      <c r="AH115" s="28" cm="1">
        <f t="array" ref="AH115">N115+SUMPRODUCT(IF($U$106:$U$145="Rentals",IF($V$106:$V$145="Legacy",IF($C$19:$C$58="Rentals",IF($D$19:$D$58="Legacy",N$106:N$145*AH$19:AH$58)))))/SUMIFS(AH$19:AH$58,$C$19:$C$58,"Rentals",$D$19:$D$58,"Legacy")</f>
        <v>232.1564869104993</v>
      </c>
      <c r="AI115" s="28" cm="1">
        <f t="array" ref="AI115">O115+SUMPRODUCT(IF($U$106:$U$145="Rentals",IF($V$106:$V$145="Legacy",IF($C$19:$C$58="Rentals",IF($D$19:$D$58="Legacy",O$106:O$145*AI$19:AI$58)))))/SUMIFS(AI$19:AI$58,$C$19:$C$58,"Rentals",$D$19:$D$58,"Legacy")</f>
        <v>402.25736289075934</v>
      </c>
      <c r="AJ115" s="28" cm="1">
        <f t="array" ref="AJ115">P115+SUMPRODUCT(IF($U$106:$U$145="Rentals",IF($V$106:$V$145="Legacy",IF($C$19:$C$58="Rentals",IF($D$19:$D$58="Legacy",P$106:P$145*AJ$19:AJ$58)))))/SUMIFS(AJ$19:AJ$58,$C$19:$C$58,"Rentals",$D$19:$D$58,"Legacy")</f>
        <v>383.18150587469165</v>
      </c>
      <c r="AK115" s="28" cm="1">
        <f t="array" ref="AK115">Q115+IF(SUM(AK22:AK61)=0,0,SUMPRODUCT(IF($U$106:$U$145="Rentals",IF($V$106:$V$145="Legacy",IF($C$19:$C$58="Rentals",IF($D$19:$D$58="Legacy",Q$106:Q$145*AK$19:AK$58)))))/SUMIFS(AK$19:AK$58,$C$19:$C$58,"Rentals",$D$19:$D$58,"Legacy"))</f>
        <v>0</v>
      </c>
      <c r="AL115" s="28" cm="1">
        <f t="array" ref="AL115">R115+IF(SUM(AL22:AL61)=0,0,SUMPRODUCT(IF($U$106:$U$145="Rentals",IF($V$106:$V$145="Legacy",IF($C$19:$C$58="Rentals",IF($D$19:$D$58="Legacy",R$106:R$145*AL$19:AL$58)))))/SUMIFS(AL$19:AL$58,$C$19:$C$58,"Rentals",$D$19:$D$58,"Legacy"))</f>
        <v>0</v>
      </c>
      <c r="AM115" s="28" cm="1">
        <f t="array" ref="AM115">S115+IF(SUM(AM22:AM61)=0,0,SUMPRODUCT(IF($U$106:$U$145="Rentals",IF($V$106:$V$145="Legacy",IF($C$19:$C$58="Rentals",IF($D$19:$D$58="Legacy",S$106:S$145*AM$19:AM$58)))))/SUMIFS(AM$19:AM$58,$C$19:$C$58,"Rentals",$D$19:$D$58,"Legacy"))</f>
        <v>0</v>
      </c>
    </row>
    <row r="116" spans="1:39" ht="14.65" thickBot="1" x14ac:dyDescent="0.5">
      <c r="A116" s="9" t="str">
        <v>WN302</v>
      </c>
      <c r="B116" t="s">
        <v>285</v>
      </c>
      <c r="C116" s="25">
        <f>IF($B$2="Discounted",INDEX('Top Down inputs'!$D$50:$F$89,MATCH($A116,'Top Down inputs'!$A$50:$A$89,0),MATCH('Copper Weighted Price'!$B$105,'Top Down inputs'!$D$47:$F$47,0)),INDEX('Top Down inputs'!$D$5:$F$44,MATCH($A116,'Top Down inputs'!$A$5:$A$44,0),MATCH('Copper Weighted Price'!$B$105,'Top Down inputs'!$D$2:$F$2,0)))</f>
        <v>0.8075</v>
      </c>
      <c r="D116" s="13">
        <f>IF($B$2="Headline",INDEX('Top Down inputs'!$J$5:$J$44,MATCH($A116,'Top Down inputs'!$H$5:$H$44,0)),INDEX('Top Down inputs'!$J$50:$J$89,MATCH($A116,'Top Down inputs'!$H$50:$H$89,0)))</f>
        <v>122.7106396118904</v>
      </c>
      <c r="E116" s="183">
        <f t="shared" si="104"/>
        <v>99.543068466897637</v>
      </c>
      <c r="F116" s="183">
        <f t="shared" si="106"/>
        <v>92.092235599505486</v>
      </c>
      <c r="G116" s="183">
        <f t="shared" si="106"/>
        <v>118.95722997866923</v>
      </c>
      <c r="H116" s="19">
        <f t="shared" si="106"/>
        <v>95.951195902547084</v>
      </c>
      <c r="I116" s="19">
        <f t="shared" si="106"/>
        <v>124.85281966200844</v>
      </c>
      <c r="J116" s="30">
        <f t="shared" si="107"/>
        <v>224.47742814922179</v>
      </c>
      <c r="K116" s="30">
        <f t="shared" ref="K116:N116" si="137">J116*(1+($C116+K$62))</f>
        <v>410.21808422411686</v>
      </c>
      <c r="L116" s="30">
        <f t="shared" si="137"/>
        <v>750.06629163963623</v>
      </c>
      <c r="M116" s="30">
        <f t="shared" si="137"/>
        <v>1370.8172843283126</v>
      </c>
      <c r="N116" s="30">
        <f t="shared" si="137"/>
        <v>2505.1670331084797</v>
      </c>
      <c r="O116" s="102">
        <f t="shared" si="108"/>
        <v>0</v>
      </c>
      <c r="P116" s="102">
        <f t="shared" si="125"/>
        <v>0</v>
      </c>
      <c r="Q116" s="102">
        <f t="shared" si="110"/>
        <v>0</v>
      </c>
      <c r="R116" s="102">
        <f t="shared" si="126"/>
        <v>0</v>
      </c>
      <c r="S116" s="102">
        <f t="shared" si="126"/>
        <v>0</v>
      </c>
      <c r="U116" s="9" t="s">
        <v>3</v>
      </c>
      <c r="V116" s="9" t="s">
        <v>265</v>
      </c>
      <c r="W116" s="9" t="str">
        <v>WN302</v>
      </c>
      <c r="X116" t="s">
        <v>285</v>
      </c>
      <c r="Y116" s="28">
        <f>E116</f>
        <v>99.543068466897637</v>
      </c>
      <c r="Z116" s="28">
        <f t="shared" ref="Z116:Z145" si="138">F116</f>
        <v>92.092235599505486</v>
      </c>
      <c r="AA116" s="28">
        <f t="shared" ref="AA116:AA145" si="139">G116</f>
        <v>118.95722997866923</v>
      </c>
      <c r="AB116" s="28">
        <f t="shared" ref="AB116:AB145" si="140">H116</f>
        <v>95.951195902547084</v>
      </c>
      <c r="AC116" s="28">
        <f t="shared" ref="AC116:AC145" si="141">I116</f>
        <v>124.85281966200844</v>
      </c>
      <c r="AD116" s="28">
        <f t="shared" ref="AD116:AD145" si="142">J116</f>
        <v>224.47742814922179</v>
      </c>
      <c r="AE116" s="28">
        <f t="shared" ref="AE116:AE145" si="143">K116</f>
        <v>410.21808422411686</v>
      </c>
      <c r="AF116" s="28">
        <f t="shared" ref="AF116:AF145" si="144">L116</f>
        <v>750.06629163963623</v>
      </c>
      <c r="AG116" s="28">
        <f t="shared" ref="AG116:AG145" si="145">M116</f>
        <v>1370.8172843283126</v>
      </c>
      <c r="AH116" s="28">
        <f t="shared" ref="AH116:AH145" si="146">N116</f>
        <v>2505.1670331084797</v>
      </c>
      <c r="AI116" s="28">
        <f t="shared" ref="AI116:AI145" si="147">O116</f>
        <v>0</v>
      </c>
      <c r="AJ116" s="28">
        <f t="shared" ref="AJ116:AJ145" si="148">P116</f>
        <v>0</v>
      </c>
      <c r="AK116" s="28">
        <f t="shared" ref="AK116:AK145" si="149">Q116</f>
        <v>0</v>
      </c>
      <c r="AL116" s="28">
        <f t="shared" ref="AL116:AL145" si="150">R116</f>
        <v>0</v>
      </c>
      <c r="AM116" s="28">
        <f t="shared" ref="AM116:AM145" si="151">S116</f>
        <v>0</v>
      </c>
    </row>
    <row r="117" spans="1:39" ht="14.65" thickBot="1" x14ac:dyDescent="0.5">
      <c r="A117" s="9" t="str">
        <v>WX312</v>
      </c>
      <c r="B117" t="s">
        <v>286</v>
      </c>
      <c r="C117" s="25">
        <f>IF($B$2="Discounted",INDEX('Top Down inputs'!$D$50:$F$89,MATCH($A117,'Top Down inputs'!$A$50:$A$89,0),MATCH('Copper Weighted Price'!$B$105,'Top Down inputs'!$D$47:$F$47,0)),INDEX('Top Down inputs'!$D$5:$F$44,MATCH($A117,'Top Down inputs'!$A$5:$A$44,0),MATCH('Copper Weighted Price'!$B$105,'Top Down inputs'!$D$2:$F$2,0)))</f>
        <v>0.8075</v>
      </c>
      <c r="D117" s="13">
        <f>IF($B$2="Headline",INDEX('Top Down inputs'!$J$5:$J$44,MATCH($A117,'Top Down inputs'!$H$5:$H$44,0)),INDEX('Top Down inputs'!$J$50:$J$89,MATCH($A117,'Top Down inputs'!$H$50:$H$89,0)))</f>
        <v>125.61882004354661</v>
      </c>
      <c r="E117" s="183">
        <f t="shared" si="104"/>
        <v>116.21335337007116</v>
      </c>
      <c r="F117" s="183">
        <f t="shared" si="106"/>
        <v>77.742402294916545</v>
      </c>
      <c r="G117" s="183">
        <f t="shared" si="106"/>
        <v>105.22768543318006</v>
      </c>
      <c r="H117" s="19">
        <f t="shared" si="106"/>
        <v>109.59230515805507</v>
      </c>
      <c r="I117" s="19">
        <f t="shared" si="106"/>
        <v>108.11122656405303</v>
      </c>
      <c r="J117" s="30">
        <f t="shared" si="107"/>
        <v>229.79743027745471</v>
      </c>
      <c r="K117" s="30">
        <f t="shared" ref="K117:N117" si="152">J117*(1+($C117+K$62))</f>
        <v>419.9400464681836</v>
      </c>
      <c r="L117" s="30">
        <f t="shared" si="152"/>
        <v>767.84248544557227</v>
      </c>
      <c r="M117" s="30">
        <f t="shared" si="152"/>
        <v>1403.3049644045348</v>
      </c>
      <c r="N117" s="30">
        <f t="shared" si="152"/>
        <v>2564.538231618722</v>
      </c>
      <c r="O117" s="102">
        <f t="shared" si="108"/>
        <v>0</v>
      </c>
      <c r="P117" s="102">
        <f t="shared" si="125"/>
        <v>0</v>
      </c>
      <c r="Q117" s="102">
        <f t="shared" si="110"/>
        <v>0</v>
      </c>
      <c r="R117" s="102">
        <f t="shared" si="126"/>
        <v>0</v>
      </c>
      <c r="S117" s="102">
        <f t="shared" si="126"/>
        <v>0</v>
      </c>
      <c r="U117" s="9" t="s">
        <v>3</v>
      </c>
      <c r="V117" s="9" t="s">
        <v>265</v>
      </c>
      <c r="W117" s="9" t="str">
        <v>WX312</v>
      </c>
      <c r="X117" t="s">
        <v>286</v>
      </c>
      <c r="Y117" s="28">
        <f t="shared" ref="Y117:Y143" si="153">E117</f>
        <v>116.21335337007116</v>
      </c>
      <c r="Z117" s="28">
        <f t="shared" si="138"/>
        <v>77.742402294916545</v>
      </c>
      <c r="AA117" s="28">
        <f t="shared" si="139"/>
        <v>105.22768543318006</v>
      </c>
      <c r="AB117" s="28">
        <f t="shared" si="140"/>
        <v>109.59230515805507</v>
      </c>
      <c r="AC117" s="28">
        <f t="shared" si="141"/>
        <v>108.11122656405303</v>
      </c>
      <c r="AD117" s="28">
        <f t="shared" si="142"/>
        <v>229.79743027745471</v>
      </c>
      <c r="AE117" s="28">
        <f t="shared" si="143"/>
        <v>419.9400464681836</v>
      </c>
      <c r="AF117" s="28">
        <f t="shared" si="144"/>
        <v>767.84248544557227</v>
      </c>
      <c r="AG117" s="28">
        <f t="shared" si="145"/>
        <v>1403.3049644045348</v>
      </c>
      <c r="AH117" s="28">
        <f t="shared" si="146"/>
        <v>2564.538231618722</v>
      </c>
      <c r="AI117" s="28">
        <f t="shared" si="147"/>
        <v>0</v>
      </c>
      <c r="AJ117" s="28">
        <f t="shared" si="148"/>
        <v>0</v>
      </c>
      <c r="AK117" s="28">
        <f t="shared" si="149"/>
        <v>0</v>
      </c>
      <c r="AL117" s="28">
        <f t="shared" si="150"/>
        <v>0</v>
      </c>
      <c r="AM117" s="28">
        <f t="shared" si="151"/>
        <v>0</v>
      </c>
    </row>
    <row r="118" spans="1:39" ht="14.65" thickBot="1" x14ac:dyDescent="0.5">
      <c r="A118" s="9" t="str">
        <v>WX338</v>
      </c>
      <c r="B118" t="s">
        <v>287</v>
      </c>
      <c r="C118" s="25">
        <f>IF($B$2="Discounted",INDEX('Top Down inputs'!$D$50:$F$89,MATCH($A118,'Top Down inputs'!$A$50:$A$89,0),MATCH('Copper Weighted Price'!$B$105,'Top Down inputs'!$D$47:$F$47,0)),INDEX('Top Down inputs'!$D$5:$F$44,MATCH($A118,'Top Down inputs'!$A$5:$A$44,0),MATCH('Copper Weighted Price'!$B$105,'Top Down inputs'!$D$2:$F$2,0)))</f>
        <v>0.8075</v>
      </c>
      <c r="D118" s="13">
        <f>IF($B$2="Headline",INDEX('Top Down inputs'!$J$5:$J$44,MATCH($A118,'Top Down inputs'!$H$5:$H$44,0)),INDEX('Top Down inputs'!$J$50:$J$89,MATCH($A118,'Top Down inputs'!$H$50:$H$89,0)))</f>
        <v>113.12937660540808</v>
      </c>
      <c r="E118" s="183">
        <f t="shared" si="104"/>
        <v>113.21479752300131</v>
      </c>
      <c r="F118" s="183">
        <f t="shared" si="106"/>
        <v>99.33783104904586</v>
      </c>
      <c r="G118" s="183">
        <f t="shared" si="106"/>
        <v>92.323124089314703</v>
      </c>
      <c r="H118" s="19">
        <f t="shared" si="106"/>
        <v>97.879397113387384</v>
      </c>
      <c r="I118" s="19">
        <f t="shared" si="106"/>
        <v>120.79796555692505</v>
      </c>
      <c r="J118" s="30">
        <f t="shared" ref="J118" si="154">D118*(1+($C118+J$62))</f>
        <v>206.95020080431578</v>
      </c>
      <c r="K118" s="30">
        <f t="shared" ref="K118:N118" si="155">J118*(1+($C118+K$62))</f>
        <v>378.18820183251916</v>
      </c>
      <c r="L118" s="30">
        <f t="shared" si="155"/>
        <v>691.50101616534994</v>
      </c>
      <c r="M118" s="30">
        <f t="shared" si="155"/>
        <v>1263.7836890628801</v>
      </c>
      <c r="N118" s="30">
        <f t="shared" si="155"/>
        <v>2309.5632590975461</v>
      </c>
      <c r="O118" s="102">
        <f t="shared" si="108"/>
        <v>0</v>
      </c>
      <c r="P118" s="102">
        <f t="shared" si="125"/>
        <v>0</v>
      </c>
      <c r="Q118" s="102">
        <f t="shared" si="110"/>
        <v>0</v>
      </c>
      <c r="R118" s="102">
        <f t="shared" si="126"/>
        <v>0</v>
      </c>
      <c r="S118" s="102">
        <f t="shared" si="126"/>
        <v>0</v>
      </c>
      <c r="U118" s="9" t="s">
        <v>3</v>
      </c>
      <c r="V118" s="9" t="s">
        <v>265</v>
      </c>
      <c r="W118" s="9" t="str">
        <v>WX338</v>
      </c>
      <c r="X118" t="s">
        <v>287</v>
      </c>
      <c r="Y118" s="28">
        <f t="shared" si="153"/>
        <v>113.21479752300131</v>
      </c>
      <c r="Z118" s="28">
        <f t="shared" si="138"/>
        <v>99.33783104904586</v>
      </c>
      <c r="AA118" s="28">
        <f t="shared" si="139"/>
        <v>92.323124089314703</v>
      </c>
      <c r="AB118" s="28">
        <f t="shared" si="140"/>
        <v>97.879397113387384</v>
      </c>
      <c r="AC118" s="28">
        <f t="shared" si="141"/>
        <v>120.79796555692505</v>
      </c>
      <c r="AD118" s="28">
        <f t="shared" si="142"/>
        <v>206.95020080431578</v>
      </c>
      <c r="AE118" s="28">
        <f t="shared" si="143"/>
        <v>378.18820183251916</v>
      </c>
      <c r="AF118" s="28">
        <f t="shared" si="144"/>
        <v>691.50101616534994</v>
      </c>
      <c r="AG118" s="28">
        <f t="shared" si="145"/>
        <v>1263.7836890628801</v>
      </c>
      <c r="AH118" s="28">
        <f t="shared" si="146"/>
        <v>2309.5632590975461</v>
      </c>
      <c r="AI118" s="28">
        <f t="shared" si="147"/>
        <v>0</v>
      </c>
      <c r="AJ118" s="28">
        <f t="shared" si="148"/>
        <v>0</v>
      </c>
      <c r="AK118" s="28">
        <f t="shared" si="149"/>
        <v>0</v>
      </c>
      <c r="AL118" s="28">
        <f t="shared" si="150"/>
        <v>0</v>
      </c>
      <c r="AM118" s="28">
        <f t="shared" si="151"/>
        <v>0</v>
      </c>
    </row>
    <row r="119" spans="1:39" ht="14.65" thickBot="1" x14ac:dyDescent="0.5">
      <c r="A119" s="9" t="str">
        <v>WN336</v>
      </c>
      <c r="B119" t="s">
        <v>288</v>
      </c>
      <c r="C119" s="25">
        <f>IF($B$2="Discounted",INDEX('Top Down inputs'!$D$50:$F$89,MATCH($A119,'Top Down inputs'!$A$50:$A$89,0),MATCH('Copper Weighted Price'!$B$105,'Top Down inputs'!$D$47:$F$47,0)),INDEX('Top Down inputs'!$D$5:$F$44,MATCH($A119,'Top Down inputs'!$A$5:$A$44,0),MATCH('Copper Weighted Price'!$B$105,'Top Down inputs'!$D$2:$F$2,0)))</f>
        <v>0.8075</v>
      </c>
      <c r="D119" s="13">
        <f>IF($B$2="Headline",INDEX('Top Down inputs'!$J$5:$J$44,MATCH($A119,'Top Down inputs'!$H$5:$H$44,0)),INDEX('Top Down inputs'!$J$50:$J$89,MATCH($A119,'Top Down inputs'!$H$50:$H$89,0)))</f>
        <v>113.05610048895701</v>
      </c>
      <c r="E119" s="183">
        <f t="shared" si="104"/>
        <v>101.28558029451823</v>
      </c>
      <c r="F119" s="183">
        <f t="shared" si="106"/>
        <v>80.443748822735714</v>
      </c>
      <c r="G119" s="183">
        <f t="shared" si="106"/>
        <v>102.9530474353063</v>
      </c>
      <c r="H119" s="19">
        <f t="shared" si="106"/>
        <v>92.923752991023875</v>
      </c>
      <c r="I119" s="19">
        <f t="shared" si="106"/>
        <v>131.1079809226386</v>
      </c>
      <c r="J119" s="30">
        <f t="shared" ref="J119:J145" si="156">D119*(1+($C119+J$62))</f>
        <v>206.8161550995772</v>
      </c>
      <c r="K119" s="30">
        <f t="shared" ref="K119:N119" si="157">J119*(1+($C119+K$62))</f>
        <v>377.94324191539209</v>
      </c>
      <c r="L119" s="30">
        <f t="shared" si="157"/>
        <v>691.05311739221963</v>
      </c>
      <c r="M119" s="30">
        <f t="shared" si="157"/>
        <v>1262.9651115762231</v>
      </c>
      <c r="N119" s="30">
        <f t="shared" si="157"/>
        <v>2308.0673096686455</v>
      </c>
      <c r="O119" s="102">
        <f t="shared" si="108"/>
        <v>0</v>
      </c>
      <c r="P119" s="102">
        <f t="shared" si="125"/>
        <v>0</v>
      </c>
      <c r="Q119" s="102">
        <f t="shared" si="110"/>
        <v>0</v>
      </c>
      <c r="R119" s="102">
        <f t="shared" si="126"/>
        <v>0</v>
      </c>
      <c r="S119" s="102">
        <f t="shared" si="126"/>
        <v>0</v>
      </c>
      <c r="U119" s="9" t="s">
        <v>3</v>
      </c>
      <c r="V119" s="9" t="s">
        <v>265</v>
      </c>
      <c r="W119" s="9" t="str">
        <v>WN336</v>
      </c>
      <c r="X119" t="s">
        <v>288</v>
      </c>
      <c r="Y119" s="28">
        <f t="shared" si="153"/>
        <v>101.28558029451823</v>
      </c>
      <c r="Z119" s="28">
        <f t="shared" si="138"/>
        <v>80.443748822735714</v>
      </c>
      <c r="AA119" s="28">
        <f t="shared" si="139"/>
        <v>102.9530474353063</v>
      </c>
      <c r="AB119" s="28">
        <f t="shared" si="140"/>
        <v>92.923752991023875</v>
      </c>
      <c r="AC119" s="28">
        <f t="shared" si="141"/>
        <v>131.1079809226386</v>
      </c>
      <c r="AD119" s="28">
        <f t="shared" si="142"/>
        <v>206.8161550995772</v>
      </c>
      <c r="AE119" s="28">
        <f t="shared" si="143"/>
        <v>377.94324191539209</v>
      </c>
      <c r="AF119" s="28">
        <f t="shared" si="144"/>
        <v>691.05311739221963</v>
      </c>
      <c r="AG119" s="28">
        <f t="shared" si="145"/>
        <v>1262.9651115762231</v>
      </c>
      <c r="AH119" s="28">
        <f t="shared" si="146"/>
        <v>2308.0673096686455</v>
      </c>
      <c r="AI119" s="28">
        <f t="shared" si="147"/>
        <v>0</v>
      </c>
      <c r="AJ119" s="28">
        <f t="shared" si="148"/>
        <v>0</v>
      </c>
      <c r="AK119" s="28">
        <f t="shared" si="149"/>
        <v>0</v>
      </c>
      <c r="AL119" s="28">
        <f t="shared" si="150"/>
        <v>0</v>
      </c>
      <c r="AM119" s="28">
        <f t="shared" si="151"/>
        <v>0</v>
      </c>
    </row>
    <row r="120" spans="1:39" ht="14.65" thickBot="1" x14ac:dyDescent="0.5">
      <c r="A120" s="9" t="str">
        <v>WN303</v>
      </c>
      <c r="B120" t="s">
        <v>289</v>
      </c>
      <c r="C120" s="25">
        <f>IF($B$2="Discounted",INDEX('Top Down inputs'!$D$50:$F$89,MATCH($A120,'Top Down inputs'!$A$50:$A$89,0),MATCH('Copper Weighted Price'!$B$105,'Top Down inputs'!$D$47:$F$47,0)),INDEX('Top Down inputs'!$D$5:$F$44,MATCH($A120,'Top Down inputs'!$A$5:$A$44,0),MATCH('Copper Weighted Price'!$B$105,'Top Down inputs'!$D$2:$F$2,0)))</f>
        <v>0.8075</v>
      </c>
      <c r="D120" s="13">
        <f>IF($B$2="Headline",INDEX('Top Down inputs'!$J$5:$J$44,MATCH($A120,'Top Down inputs'!$H$5:$H$44,0)),INDEX('Top Down inputs'!$J$50:$J$89,MATCH($A120,'Top Down inputs'!$H$50:$H$89,0)))</f>
        <v>64.479073523605194</v>
      </c>
      <c r="E120" s="183">
        <f t="shared" si="104"/>
        <v>48.233397613202214</v>
      </c>
      <c r="F120" s="183">
        <f t="shared" si="106"/>
        <v>56.727372850158559</v>
      </c>
      <c r="G120" s="183">
        <f t="shared" si="106"/>
        <v>61.063898432425646</v>
      </c>
      <c r="H120" s="19">
        <f t="shared" si="106"/>
        <v>55.716637335406425</v>
      </c>
      <c r="I120" s="19">
        <f t="shared" si="106"/>
        <v>60.642813579302988</v>
      </c>
      <c r="J120" s="30">
        <f t="shared" si="156"/>
        <v>117.95306943067196</v>
      </c>
      <c r="K120" s="30">
        <f t="shared" ref="K120:N120" si="158">J120*(1+($C120+K$62))</f>
        <v>215.55165955500652</v>
      </c>
      <c r="L120" s="30">
        <f t="shared" si="158"/>
        <v>394.12702695686767</v>
      </c>
      <c r="M120" s="30">
        <f t="shared" si="158"/>
        <v>720.30452080757766</v>
      </c>
      <c r="N120" s="30">
        <f t="shared" si="158"/>
        <v>1316.3556952160288</v>
      </c>
      <c r="O120" s="102">
        <f t="shared" si="108"/>
        <v>0</v>
      </c>
      <c r="P120" s="102">
        <f t="shared" si="125"/>
        <v>0</v>
      </c>
      <c r="Q120" s="102">
        <f t="shared" si="110"/>
        <v>0</v>
      </c>
      <c r="R120" s="102">
        <f t="shared" si="126"/>
        <v>0</v>
      </c>
      <c r="S120" s="102">
        <f t="shared" si="126"/>
        <v>0</v>
      </c>
      <c r="U120" s="9" t="s">
        <v>3</v>
      </c>
      <c r="V120" s="9" t="s">
        <v>265</v>
      </c>
      <c r="W120" s="9" t="str">
        <v>WN303</v>
      </c>
      <c r="X120" t="s">
        <v>289</v>
      </c>
      <c r="Y120" s="28">
        <f t="shared" si="153"/>
        <v>48.233397613202214</v>
      </c>
      <c r="Z120" s="28">
        <f t="shared" si="138"/>
        <v>56.727372850158559</v>
      </c>
      <c r="AA120" s="28">
        <f t="shared" si="139"/>
        <v>61.063898432425646</v>
      </c>
      <c r="AB120" s="28">
        <f t="shared" si="140"/>
        <v>55.716637335406425</v>
      </c>
      <c r="AC120" s="28">
        <f t="shared" si="141"/>
        <v>60.642813579302988</v>
      </c>
      <c r="AD120" s="28">
        <f t="shared" si="142"/>
        <v>117.95306943067196</v>
      </c>
      <c r="AE120" s="28">
        <f t="shared" si="143"/>
        <v>215.55165955500652</v>
      </c>
      <c r="AF120" s="28">
        <f t="shared" si="144"/>
        <v>394.12702695686767</v>
      </c>
      <c r="AG120" s="28">
        <f t="shared" si="145"/>
        <v>720.30452080757766</v>
      </c>
      <c r="AH120" s="28">
        <f t="shared" si="146"/>
        <v>1316.3556952160288</v>
      </c>
      <c r="AI120" s="28">
        <f t="shared" si="147"/>
        <v>0</v>
      </c>
      <c r="AJ120" s="28">
        <f t="shared" si="148"/>
        <v>0</v>
      </c>
      <c r="AK120" s="28">
        <f t="shared" si="149"/>
        <v>0</v>
      </c>
      <c r="AL120" s="28">
        <f t="shared" si="150"/>
        <v>0</v>
      </c>
      <c r="AM120" s="28">
        <f t="shared" si="151"/>
        <v>0</v>
      </c>
    </row>
    <row r="121" spans="1:39" ht="14.65" thickBot="1" x14ac:dyDescent="0.5">
      <c r="A121" s="9" t="str">
        <v>WN337</v>
      </c>
      <c r="B121" t="s">
        <v>290</v>
      </c>
      <c r="C121" s="25">
        <f>IF($B$2="Discounted",INDEX('Top Down inputs'!$D$50:$F$89,MATCH($A121,'Top Down inputs'!$A$50:$A$89,0),MATCH('Copper Weighted Price'!$B$105,'Top Down inputs'!$D$47:$F$47,0)),INDEX('Top Down inputs'!$D$5:$F$44,MATCH($A121,'Top Down inputs'!$A$5:$A$44,0),MATCH('Copper Weighted Price'!$B$105,'Top Down inputs'!$D$2:$F$2,0)))</f>
        <v>0.8075</v>
      </c>
      <c r="D121" s="13">
        <f>IF($B$2="Headline",INDEX('Top Down inputs'!$J$5:$J$44,MATCH($A121,'Top Down inputs'!$H$5:$H$44,0)),INDEX('Top Down inputs'!$J$50:$J$89,MATCH($A121,'Top Down inputs'!$H$50:$H$89,0)))</f>
        <v>61.747118334499213</v>
      </c>
      <c r="E121" s="183">
        <f t="shared" si="104"/>
        <v>44.177487566778908</v>
      </c>
      <c r="F121" s="183">
        <f t="shared" si="106"/>
        <v>45.320185379199167</v>
      </c>
      <c r="G121" s="183">
        <f t="shared" si="106"/>
        <v>61.332446839574942</v>
      </c>
      <c r="H121" s="19">
        <f t="shared" si="106"/>
        <v>55.592460785298677</v>
      </c>
      <c r="I121" s="19">
        <f t="shared" si="106"/>
        <v>63.004278185972325</v>
      </c>
      <c r="J121" s="30">
        <f t="shared" si="156"/>
        <v>112.95544023886708</v>
      </c>
      <c r="K121" s="30">
        <f t="shared" ref="K121:N121" si="159">J121*(1+($C121+K$62))</f>
        <v>206.41881314979068</v>
      </c>
      <c r="L121" s="30">
        <f t="shared" si="159"/>
        <v>377.42800636582979</v>
      </c>
      <c r="M121" s="30">
        <f t="shared" si="159"/>
        <v>689.78547694078952</v>
      </c>
      <c r="N121" s="30">
        <f t="shared" si="159"/>
        <v>1260.58217714682</v>
      </c>
      <c r="O121" s="102">
        <f t="shared" si="108"/>
        <v>0</v>
      </c>
      <c r="P121" s="102">
        <f t="shared" si="125"/>
        <v>0</v>
      </c>
      <c r="Q121" s="102">
        <f t="shared" si="110"/>
        <v>0</v>
      </c>
      <c r="R121" s="102">
        <f t="shared" si="126"/>
        <v>0</v>
      </c>
      <c r="S121" s="102">
        <f t="shared" si="126"/>
        <v>0</v>
      </c>
      <c r="U121" s="9" t="s">
        <v>3</v>
      </c>
      <c r="V121" s="9" t="s">
        <v>265</v>
      </c>
      <c r="W121" s="9" t="str">
        <v>WN337</v>
      </c>
      <c r="X121" t="s">
        <v>290</v>
      </c>
      <c r="Y121" s="28">
        <f t="shared" si="153"/>
        <v>44.177487566778908</v>
      </c>
      <c r="Z121" s="28">
        <f t="shared" si="138"/>
        <v>45.320185379199167</v>
      </c>
      <c r="AA121" s="28">
        <f t="shared" si="139"/>
        <v>61.332446839574942</v>
      </c>
      <c r="AB121" s="28">
        <f t="shared" si="140"/>
        <v>55.592460785298677</v>
      </c>
      <c r="AC121" s="28">
        <f t="shared" si="141"/>
        <v>63.004278185972325</v>
      </c>
      <c r="AD121" s="28">
        <f t="shared" si="142"/>
        <v>112.95544023886708</v>
      </c>
      <c r="AE121" s="28">
        <f t="shared" si="143"/>
        <v>206.41881314979068</v>
      </c>
      <c r="AF121" s="28">
        <f t="shared" si="144"/>
        <v>377.42800636582979</v>
      </c>
      <c r="AG121" s="28">
        <f t="shared" si="145"/>
        <v>689.78547694078952</v>
      </c>
      <c r="AH121" s="28">
        <f t="shared" si="146"/>
        <v>1260.58217714682</v>
      </c>
      <c r="AI121" s="28">
        <f t="shared" si="147"/>
        <v>0</v>
      </c>
      <c r="AJ121" s="28">
        <f t="shared" si="148"/>
        <v>0</v>
      </c>
      <c r="AK121" s="28">
        <f t="shared" si="149"/>
        <v>0</v>
      </c>
      <c r="AL121" s="28">
        <f t="shared" si="150"/>
        <v>0</v>
      </c>
      <c r="AM121" s="28">
        <f t="shared" si="151"/>
        <v>0</v>
      </c>
    </row>
    <row r="122" spans="1:39" ht="14.65" thickBot="1" x14ac:dyDescent="0.5">
      <c r="A122" s="9" t="str">
        <v>WX313</v>
      </c>
      <c r="B122" t="s">
        <v>291</v>
      </c>
      <c r="C122" s="25">
        <f>IF($B$2="Discounted",INDEX('Top Down inputs'!$D$50:$F$89,MATCH($A122,'Top Down inputs'!$A$50:$A$89,0),MATCH('Copper Weighted Price'!$B$105,'Top Down inputs'!$D$47:$F$47,0)),INDEX('Top Down inputs'!$D$5:$F$44,MATCH($A122,'Top Down inputs'!$A$5:$A$44,0),MATCH('Copper Weighted Price'!$B$105,'Top Down inputs'!$D$2:$F$2,0)))</f>
        <v>0.8075</v>
      </c>
      <c r="D122" s="13">
        <f>IF($B$2="Headline",INDEX('Top Down inputs'!$J$5:$J$44,MATCH($A122,'Top Down inputs'!$H$5:$H$44,0)),INDEX('Top Down inputs'!$J$50:$J$89,MATCH($A122,'Top Down inputs'!$H$50:$H$89,0)))</f>
        <v>55.228291739992947</v>
      </c>
      <c r="E122" s="183">
        <f t="shared" si="104"/>
        <v>41.566771189055672</v>
      </c>
      <c r="F122" s="183">
        <f t="shared" si="106"/>
        <v>56.036378576205593</v>
      </c>
      <c r="G122" s="183">
        <f t="shared" si="106"/>
        <v>49.128128733571643</v>
      </c>
      <c r="H122" s="19">
        <f t="shared" si="106"/>
        <v>56.204214314236495</v>
      </c>
      <c r="I122" s="19">
        <f t="shared" si="106"/>
        <v>58.328258904722404</v>
      </c>
      <c r="J122" s="30">
        <f t="shared" si="156"/>
        <v>101.03039907606539</v>
      </c>
      <c r="K122" s="30">
        <f t="shared" ref="K122:N122" si="160">J122*(1+($C122+K$62))</f>
        <v>184.62656623912861</v>
      </c>
      <c r="L122" s="30">
        <f t="shared" si="160"/>
        <v>337.58181124332168</v>
      </c>
      <c r="M122" s="30">
        <f t="shared" si="160"/>
        <v>616.96277633755369</v>
      </c>
      <c r="N122" s="30">
        <f t="shared" si="160"/>
        <v>1127.498774348506</v>
      </c>
      <c r="O122" s="102">
        <f t="shared" si="108"/>
        <v>0</v>
      </c>
      <c r="P122" s="102">
        <f t="shared" si="125"/>
        <v>0</v>
      </c>
      <c r="Q122" s="102">
        <f t="shared" si="110"/>
        <v>0</v>
      </c>
      <c r="R122" s="102">
        <f t="shared" si="126"/>
        <v>0</v>
      </c>
      <c r="S122" s="102">
        <f t="shared" si="126"/>
        <v>0</v>
      </c>
      <c r="U122" s="9" t="s">
        <v>3</v>
      </c>
      <c r="V122" s="9" t="s">
        <v>265</v>
      </c>
      <c r="W122" s="9" t="str">
        <v>WX313</v>
      </c>
      <c r="X122" t="s">
        <v>291</v>
      </c>
      <c r="Y122" s="28">
        <f t="shared" si="153"/>
        <v>41.566771189055672</v>
      </c>
      <c r="Z122" s="28">
        <f t="shared" si="138"/>
        <v>56.036378576205593</v>
      </c>
      <c r="AA122" s="28">
        <f t="shared" si="139"/>
        <v>49.128128733571643</v>
      </c>
      <c r="AB122" s="28">
        <f t="shared" si="140"/>
        <v>56.204214314236495</v>
      </c>
      <c r="AC122" s="28">
        <f t="shared" si="141"/>
        <v>58.328258904722404</v>
      </c>
      <c r="AD122" s="28">
        <f t="shared" si="142"/>
        <v>101.03039907606539</v>
      </c>
      <c r="AE122" s="28">
        <f t="shared" si="143"/>
        <v>184.62656623912861</v>
      </c>
      <c r="AF122" s="28">
        <f t="shared" si="144"/>
        <v>337.58181124332168</v>
      </c>
      <c r="AG122" s="28">
        <f t="shared" si="145"/>
        <v>616.96277633755369</v>
      </c>
      <c r="AH122" s="28">
        <f t="shared" si="146"/>
        <v>1127.498774348506</v>
      </c>
      <c r="AI122" s="28">
        <f t="shared" si="147"/>
        <v>0</v>
      </c>
      <c r="AJ122" s="28">
        <f t="shared" si="148"/>
        <v>0</v>
      </c>
      <c r="AK122" s="28">
        <f t="shared" si="149"/>
        <v>0</v>
      </c>
      <c r="AL122" s="28">
        <f t="shared" si="150"/>
        <v>0</v>
      </c>
      <c r="AM122" s="28">
        <f t="shared" si="151"/>
        <v>0</v>
      </c>
    </row>
    <row r="123" spans="1:39" ht="14.65" thickBot="1" x14ac:dyDescent="0.5">
      <c r="A123" s="9" t="str">
        <v>WX339</v>
      </c>
      <c r="B123" t="s">
        <v>292</v>
      </c>
      <c r="C123" s="25">
        <f>IF($B$2="Discounted",INDEX('Top Down inputs'!$D$50:$F$89,MATCH($A123,'Top Down inputs'!$A$50:$A$89,0),MATCH('Copper Weighted Price'!$B$105,'Top Down inputs'!$D$47:$F$47,0)),INDEX('Top Down inputs'!$D$5:$F$44,MATCH($A123,'Top Down inputs'!$A$5:$A$44,0),MATCH('Copper Weighted Price'!$B$105,'Top Down inputs'!$D$2:$F$2,0)))</f>
        <v>0.8075</v>
      </c>
      <c r="D123" s="13">
        <f>IF($B$2="Headline",INDEX('Top Down inputs'!$J$5:$J$44,MATCH($A123,'Top Down inputs'!$H$5:$H$44,0)),INDEX('Top Down inputs'!$J$50:$J$89,MATCH($A123,'Top Down inputs'!$H$50:$H$89,0)))</f>
        <v>61.157003145331245</v>
      </c>
      <c r="E123" s="183">
        <f t="shared" si="104"/>
        <v>40.614244207790321</v>
      </c>
      <c r="F123" s="183">
        <f t="shared" si="106"/>
        <v>55.526859061661007</v>
      </c>
      <c r="G123" s="183">
        <f t="shared" si="106"/>
        <v>54.983988567482086</v>
      </c>
      <c r="H123" s="19">
        <f t="shared" si="106"/>
        <v>59.431091696980047</v>
      </c>
      <c r="I123" s="19">
        <f t="shared" si="106"/>
        <v>56.61259765181353</v>
      </c>
      <c r="J123" s="30">
        <f t="shared" si="156"/>
        <v>111.87592879311808</v>
      </c>
      <c r="K123" s="30">
        <f t="shared" ref="K123:N123" si="161">J123*(1+($C123+K$62))</f>
        <v>204.44607530784253</v>
      </c>
      <c r="L123" s="30">
        <f t="shared" si="161"/>
        <v>373.82093926081444</v>
      </c>
      <c r="M123" s="30">
        <f t="shared" si="161"/>
        <v>683.1932197117942</v>
      </c>
      <c r="N123" s="30">
        <f t="shared" si="161"/>
        <v>1248.5348345340208</v>
      </c>
      <c r="O123" s="102">
        <f t="shared" si="108"/>
        <v>0</v>
      </c>
      <c r="P123" s="102">
        <f t="shared" si="125"/>
        <v>0</v>
      </c>
      <c r="Q123" s="102">
        <f t="shared" si="110"/>
        <v>0</v>
      </c>
      <c r="R123" s="102">
        <f t="shared" si="126"/>
        <v>0</v>
      </c>
      <c r="S123" s="102">
        <f t="shared" si="126"/>
        <v>0</v>
      </c>
      <c r="U123" s="9" t="s">
        <v>3</v>
      </c>
      <c r="V123" s="9" t="s">
        <v>265</v>
      </c>
      <c r="W123" s="9" t="str">
        <v>WX339</v>
      </c>
      <c r="X123" t="s">
        <v>292</v>
      </c>
      <c r="Y123" s="28">
        <f t="shared" si="153"/>
        <v>40.614244207790321</v>
      </c>
      <c r="Z123" s="28">
        <f t="shared" si="138"/>
        <v>55.526859061661007</v>
      </c>
      <c r="AA123" s="28">
        <f t="shared" si="139"/>
        <v>54.983988567482086</v>
      </c>
      <c r="AB123" s="28">
        <f t="shared" si="140"/>
        <v>59.431091696980047</v>
      </c>
      <c r="AC123" s="28">
        <f t="shared" si="141"/>
        <v>56.61259765181353</v>
      </c>
      <c r="AD123" s="28">
        <f t="shared" si="142"/>
        <v>111.87592879311808</v>
      </c>
      <c r="AE123" s="28">
        <f t="shared" si="143"/>
        <v>204.44607530784253</v>
      </c>
      <c r="AF123" s="28">
        <f t="shared" si="144"/>
        <v>373.82093926081444</v>
      </c>
      <c r="AG123" s="28">
        <f t="shared" si="145"/>
        <v>683.1932197117942</v>
      </c>
      <c r="AH123" s="28">
        <f t="shared" si="146"/>
        <v>1248.5348345340208</v>
      </c>
      <c r="AI123" s="28">
        <f t="shared" si="147"/>
        <v>0</v>
      </c>
      <c r="AJ123" s="28">
        <f t="shared" si="148"/>
        <v>0</v>
      </c>
      <c r="AK123" s="28">
        <f t="shared" si="149"/>
        <v>0</v>
      </c>
      <c r="AL123" s="28">
        <f t="shared" si="150"/>
        <v>0</v>
      </c>
      <c r="AM123" s="28">
        <f t="shared" si="151"/>
        <v>0</v>
      </c>
    </row>
    <row r="124" spans="1:39" ht="14.65" thickBot="1" x14ac:dyDescent="0.5">
      <c r="A124" s="9" t="str">
        <v>WN332</v>
      </c>
      <c r="B124" t="s">
        <v>293</v>
      </c>
      <c r="C124" s="25">
        <f>IF($B$2="Discounted",INDEX('Top Down inputs'!$D$50:$F$89,MATCH($A124,'Top Down inputs'!$A$50:$A$89,0),MATCH('Copper Weighted Price'!$B$105,'Top Down inputs'!$D$47:$F$47,0)),INDEX('Top Down inputs'!$D$5:$F$44,MATCH($A124,'Top Down inputs'!$A$5:$A$44,0),MATCH('Copper Weighted Price'!$B$105,'Top Down inputs'!$D$2:$F$2,0)))</f>
        <v>0.08</v>
      </c>
      <c r="D124" s="13">
        <f>IF($B$2="Headline",INDEX('Top Down inputs'!$J$5:$J$44,MATCH($A124,'Top Down inputs'!$H$5:$H$44,0)),INDEX('Top Down inputs'!$J$50:$J$89,MATCH($A124,'Top Down inputs'!$H$50:$H$89,0)))</f>
        <v>203.73080523136048</v>
      </c>
      <c r="E124" s="183">
        <f t="shared" si="104"/>
        <v>144.36432914912422</v>
      </c>
      <c r="F124" s="183">
        <f t="shared" si="106"/>
        <v>120.70697828730721</v>
      </c>
      <c r="G124" s="183">
        <f t="shared" si="106"/>
        <v>129.09584834765838</v>
      </c>
      <c r="H124" s="19">
        <f t="shared" si="106"/>
        <v>200.82220702970179</v>
      </c>
      <c r="I124" s="19">
        <f t="shared" si="106"/>
        <v>224.27271069303868</v>
      </c>
      <c r="J124" s="30">
        <f t="shared" si="156"/>
        <v>224.47534140646442</v>
      </c>
      <c r="K124" s="30">
        <f>J124*(1+($C124+K$62))</f>
        <v>246.9084599625335</v>
      </c>
      <c r="L124" s="30">
        <f t="shared" ref="L124:M124" si="162">K124*(1+($C124+L$62))</f>
        <v>271.83569607395106</v>
      </c>
      <c r="M124" s="30">
        <f t="shared" si="162"/>
        <v>299.04504660405047</v>
      </c>
      <c r="N124" s="30">
        <f>M124*(1+($C124+N$62))</f>
        <v>328.94921225760203</v>
      </c>
      <c r="O124" s="102">
        <f t="shared" si="108"/>
        <v>141.5519077132405</v>
      </c>
      <c r="P124" s="102">
        <f t="shared" si="125"/>
        <v>138.19034047850928</v>
      </c>
      <c r="Q124" s="102">
        <f t="shared" si="110"/>
        <v>0</v>
      </c>
      <c r="R124" s="102">
        <f t="shared" si="126"/>
        <v>0</v>
      </c>
      <c r="S124" s="102">
        <f t="shared" si="126"/>
        <v>0</v>
      </c>
      <c r="U124" s="9" t="s">
        <v>275</v>
      </c>
      <c r="V124" s="9" t="s">
        <v>294</v>
      </c>
      <c r="W124" s="9" t="str">
        <v>WN332</v>
      </c>
      <c r="X124" t="s">
        <v>293</v>
      </c>
      <c r="Y124" s="28">
        <f t="shared" si="153"/>
        <v>144.36432914912422</v>
      </c>
      <c r="Z124" s="28">
        <f t="shared" si="138"/>
        <v>120.70697828730721</v>
      </c>
      <c r="AA124" s="28">
        <f t="shared" si="139"/>
        <v>129.09584834765838</v>
      </c>
      <c r="AB124" s="28">
        <f t="shared" si="140"/>
        <v>200.82220702970179</v>
      </c>
      <c r="AC124" s="28">
        <f t="shared" si="141"/>
        <v>224.27271069303868</v>
      </c>
      <c r="AD124" s="28">
        <f t="shared" si="142"/>
        <v>224.47534140646442</v>
      </c>
      <c r="AE124" s="28">
        <f t="shared" si="143"/>
        <v>246.9084599625335</v>
      </c>
      <c r="AF124" s="28">
        <f t="shared" si="144"/>
        <v>271.83569607395106</v>
      </c>
      <c r="AG124" s="28">
        <f t="shared" si="145"/>
        <v>299.04504660405047</v>
      </c>
      <c r="AH124" s="28">
        <f t="shared" si="146"/>
        <v>328.94921225760203</v>
      </c>
      <c r="AI124" s="28">
        <f t="shared" si="147"/>
        <v>141.5519077132405</v>
      </c>
      <c r="AJ124" s="28">
        <f t="shared" si="148"/>
        <v>138.19034047850928</v>
      </c>
      <c r="AK124" s="28">
        <f t="shared" si="149"/>
        <v>0</v>
      </c>
      <c r="AL124" s="28">
        <f t="shared" si="150"/>
        <v>0</v>
      </c>
      <c r="AM124" s="28">
        <f t="shared" si="151"/>
        <v>0</v>
      </c>
    </row>
    <row r="125" spans="1:39" ht="14.65" thickBot="1" x14ac:dyDescent="0.5">
      <c r="A125" s="9" t="str">
        <v>WX334</v>
      </c>
      <c r="B125" t="s">
        <v>295</v>
      </c>
      <c r="C125" s="25">
        <f>IF($B$2="Discounted",INDEX('Top Down inputs'!$D$50:$F$89,MATCH($A125,'Top Down inputs'!$A$50:$A$89,0),MATCH('Copper Weighted Price'!$B$105,'Top Down inputs'!$D$47:$F$47,0)),INDEX('Top Down inputs'!$D$5:$F$44,MATCH($A125,'Top Down inputs'!$A$5:$A$44,0),MATCH('Copper Weighted Price'!$B$105,'Top Down inputs'!$D$2:$F$2,0)))</f>
        <v>0.08</v>
      </c>
      <c r="D125" s="13">
        <f>IF($B$2="Headline",INDEX('Top Down inputs'!$J$5:$J$44,MATCH($A125,'Top Down inputs'!$H$5:$H$44,0)),INDEX('Top Down inputs'!$J$50:$J$89,MATCH($A125,'Top Down inputs'!$H$50:$H$89,0)))</f>
        <v>262.31744194658199</v>
      </c>
      <c r="E125" s="183">
        <f t="shared" si="104"/>
        <v>146.39936507848677</v>
      </c>
      <c r="F125" s="183">
        <f t="shared" si="106"/>
        <v>132.66982663698252</v>
      </c>
      <c r="G125" s="183">
        <f t="shared" si="106"/>
        <v>148.13305019273034</v>
      </c>
      <c r="H125" s="19">
        <f t="shared" si="106"/>
        <v>255.6685976390952</v>
      </c>
      <c r="I125" s="19">
        <f t="shared" si="106"/>
        <v>266.34107343745904</v>
      </c>
      <c r="J125" s="30">
        <f t="shared" si="156"/>
        <v>289.0274608739698</v>
      </c>
      <c r="K125" s="30">
        <f t="shared" ref="K125:N125" si="163">J125*(1+($C125+K$62))</f>
        <v>317.91164590347375</v>
      </c>
      <c r="L125" s="30">
        <f t="shared" si="163"/>
        <v>350.00717904643597</v>
      </c>
      <c r="M125" s="30">
        <f t="shared" si="163"/>
        <v>385.04109166450121</v>
      </c>
      <c r="N125" s="30">
        <f t="shared" si="163"/>
        <v>423.54476433628122</v>
      </c>
      <c r="O125" s="102">
        <f t="shared" si="108"/>
        <v>137.27934156895546</v>
      </c>
      <c r="P125" s="102">
        <f t="shared" si="125"/>
        <v>134.019239009557</v>
      </c>
      <c r="Q125" s="102">
        <f t="shared" si="110"/>
        <v>0</v>
      </c>
      <c r="R125" s="102">
        <f t="shared" si="126"/>
        <v>0</v>
      </c>
      <c r="S125" s="102">
        <f t="shared" si="126"/>
        <v>0</v>
      </c>
      <c r="U125" s="9" t="s">
        <v>275</v>
      </c>
      <c r="V125" s="9" t="s">
        <v>294</v>
      </c>
      <c r="W125" s="9" t="str">
        <v>WX334</v>
      </c>
      <c r="X125" t="s">
        <v>295</v>
      </c>
      <c r="Y125" s="28">
        <f t="shared" si="153"/>
        <v>146.39936507848677</v>
      </c>
      <c r="Z125" s="28">
        <f t="shared" si="138"/>
        <v>132.66982663698252</v>
      </c>
      <c r="AA125" s="28">
        <f t="shared" si="139"/>
        <v>148.13305019273034</v>
      </c>
      <c r="AB125" s="28">
        <f t="shared" si="140"/>
        <v>255.6685976390952</v>
      </c>
      <c r="AC125" s="28">
        <f t="shared" si="141"/>
        <v>266.34107343745904</v>
      </c>
      <c r="AD125" s="28">
        <f t="shared" si="142"/>
        <v>289.0274608739698</v>
      </c>
      <c r="AE125" s="28">
        <f t="shared" si="143"/>
        <v>317.91164590347375</v>
      </c>
      <c r="AF125" s="28">
        <f t="shared" si="144"/>
        <v>350.00717904643597</v>
      </c>
      <c r="AG125" s="28">
        <f t="shared" si="145"/>
        <v>385.04109166450121</v>
      </c>
      <c r="AH125" s="28">
        <f t="shared" si="146"/>
        <v>423.54476433628122</v>
      </c>
      <c r="AI125" s="28">
        <f t="shared" si="147"/>
        <v>137.27934156895546</v>
      </c>
      <c r="AJ125" s="28">
        <f t="shared" si="148"/>
        <v>134.019239009557</v>
      </c>
      <c r="AK125" s="28">
        <f t="shared" si="149"/>
        <v>0</v>
      </c>
      <c r="AL125" s="28">
        <f t="shared" si="150"/>
        <v>0</v>
      </c>
      <c r="AM125" s="28">
        <f t="shared" si="151"/>
        <v>0</v>
      </c>
    </row>
    <row r="126" spans="1:39" ht="14.65" thickBot="1" x14ac:dyDescent="0.5">
      <c r="A126" s="9" t="str">
        <v>WN333</v>
      </c>
      <c r="B126" t="s">
        <v>296</v>
      </c>
      <c r="C126" s="25">
        <f>IF($B$2="Discounted",INDEX('Top Down inputs'!$D$50:$F$89,MATCH($A126,'Top Down inputs'!$A$50:$A$89,0),MATCH('Copper Weighted Price'!$B$105,'Top Down inputs'!$D$47:$F$47,0)),INDEX('Top Down inputs'!$D$5:$F$44,MATCH($A126,'Top Down inputs'!$A$5:$A$44,0),MATCH('Copper Weighted Price'!$B$105,'Top Down inputs'!$D$2:$F$2,0)))</f>
        <v>0.8075</v>
      </c>
      <c r="D126" s="13">
        <f>IF($B$2="Headline",INDEX('Top Down inputs'!$J$5:$J$44,MATCH($A126,'Top Down inputs'!$H$5:$H$44,0)),INDEX('Top Down inputs'!$J$50:$J$89,MATCH($A126,'Top Down inputs'!$H$50:$H$89,0)))</f>
        <v>98.981248069018321</v>
      </c>
      <c r="E126" s="183">
        <f t="shared" si="104"/>
        <v>45.276715335996528</v>
      </c>
      <c r="F126" s="183">
        <f t="shared" ref="F126:I145" si="164">F83</f>
        <v>69.224229391678136</v>
      </c>
      <c r="G126" s="183">
        <f t="shared" si="164"/>
        <v>93.869898633469944</v>
      </c>
      <c r="H126" s="19">
        <f t="shared" si="164"/>
        <v>79.446489789519717</v>
      </c>
      <c r="I126" s="19">
        <f t="shared" si="164"/>
        <v>116.81378766500012</v>
      </c>
      <c r="J126" s="30">
        <f t="shared" si="156"/>
        <v>181.06870008833675</v>
      </c>
      <c r="K126" s="30">
        <f t="shared" ref="K126:N126" si="165">J126*(1+($C126+K$62))</f>
        <v>330.89142135846492</v>
      </c>
      <c r="L126" s="30">
        <f t="shared" si="165"/>
        <v>605.02086791989586</v>
      </c>
      <c r="M126" s="30">
        <f t="shared" si="165"/>
        <v>1105.7330163590079</v>
      </c>
      <c r="N126" s="30">
        <f t="shared" si="165"/>
        <v>2020.7258339024243</v>
      </c>
      <c r="O126" s="102">
        <f t="shared" si="108"/>
        <v>3634.699468379164</v>
      </c>
      <c r="P126" s="102">
        <f t="shared" si="125"/>
        <v>3548.3828172058684</v>
      </c>
      <c r="Q126" s="102">
        <f t="shared" si="110"/>
        <v>0</v>
      </c>
      <c r="R126" s="102">
        <f t="shared" si="126"/>
        <v>0</v>
      </c>
      <c r="S126" s="102">
        <f t="shared" si="126"/>
        <v>0</v>
      </c>
      <c r="U126" s="9" t="s">
        <v>3</v>
      </c>
      <c r="V126" s="9" t="s">
        <v>294</v>
      </c>
      <c r="W126" s="9" t="str">
        <v>WN333</v>
      </c>
      <c r="X126" t="s">
        <v>296</v>
      </c>
      <c r="Y126" s="28">
        <f t="shared" si="153"/>
        <v>45.276715335996528</v>
      </c>
      <c r="Z126" s="28">
        <f t="shared" si="138"/>
        <v>69.224229391678136</v>
      </c>
      <c r="AA126" s="28">
        <f t="shared" si="139"/>
        <v>93.869898633469944</v>
      </c>
      <c r="AB126" s="28">
        <f t="shared" si="140"/>
        <v>79.446489789519717</v>
      </c>
      <c r="AC126" s="28">
        <f t="shared" si="141"/>
        <v>116.81378766500012</v>
      </c>
      <c r="AD126" s="28">
        <f t="shared" si="142"/>
        <v>181.06870008833675</v>
      </c>
      <c r="AE126" s="28">
        <f t="shared" si="143"/>
        <v>330.89142135846492</v>
      </c>
      <c r="AF126" s="28">
        <f t="shared" si="144"/>
        <v>605.02086791989586</v>
      </c>
      <c r="AG126" s="28">
        <f t="shared" si="145"/>
        <v>1105.7330163590079</v>
      </c>
      <c r="AH126" s="28">
        <f t="shared" si="146"/>
        <v>2020.7258339024243</v>
      </c>
      <c r="AI126" s="28">
        <f t="shared" si="147"/>
        <v>3634.699468379164</v>
      </c>
      <c r="AJ126" s="28">
        <f t="shared" si="148"/>
        <v>3548.3828172058684</v>
      </c>
      <c r="AK126" s="28">
        <f t="shared" si="149"/>
        <v>0</v>
      </c>
      <c r="AL126" s="28">
        <f t="shared" si="150"/>
        <v>0</v>
      </c>
      <c r="AM126" s="28">
        <f t="shared" si="151"/>
        <v>0</v>
      </c>
    </row>
    <row r="127" spans="1:39" ht="14.65" thickBot="1" x14ac:dyDescent="0.5">
      <c r="A127" s="9" t="str">
        <v>WX335</v>
      </c>
      <c r="B127" t="s">
        <v>297</v>
      </c>
      <c r="C127" s="25">
        <f>IF($B$2="Discounted",INDEX('Top Down inputs'!$D$50:$F$89,MATCH($A127,'Top Down inputs'!$A$50:$A$89,0),MATCH('Copper Weighted Price'!$B$105,'Top Down inputs'!$D$47:$F$47,0)),INDEX('Top Down inputs'!$D$5:$F$44,MATCH($A127,'Top Down inputs'!$A$5:$A$44,0),MATCH('Copper Weighted Price'!$B$105,'Top Down inputs'!$D$2:$F$2,0)))</f>
        <v>0.8075</v>
      </c>
      <c r="D127" s="13">
        <f>IF($B$2="Headline",INDEX('Top Down inputs'!$J$5:$J$44,MATCH($A127,'Top Down inputs'!$H$5:$H$44,0)),INDEX('Top Down inputs'!$J$50:$J$89,MATCH($A127,'Top Down inputs'!$H$50:$H$89,0)))</f>
        <v>112.39692291450467</v>
      </c>
      <c r="E127" s="183">
        <f t="shared" si="104"/>
        <v>141.26175577181198</v>
      </c>
      <c r="F127" s="183">
        <f t="shared" si="164"/>
        <v>129.3011405129219</v>
      </c>
      <c r="G127" s="183">
        <f t="shared" si="164"/>
        <v>115.67189598600996</v>
      </c>
      <c r="H127" s="19">
        <f t="shared" si="164"/>
        <v>110.23423835077756</v>
      </c>
      <c r="I127" s="19">
        <f t="shared" si="164"/>
        <v>117.97931002202228</v>
      </c>
      <c r="J127" s="30">
        <f t="shared" si="156"/>
        <v>205.61030622555367</v>
      </c>
      <c r="K127" s="30">
        <f t="shared" ref="K127:N127" si="166">J127*(1+($C127+K$62))</f>
        <v>375.73963053653705</v>
      </c>
      <c r="L127" s="30">
        <f t="shared" si="166"/>
        <v>687.0239078602242</v>
      </c>
      <c r="M127" s="30">
        <f t="shared" si="166"/>
        <v>1255.6013490258945</v>
      </c>
      <c r="N127" s="30">
        <f t="shared" si="166"/>
        <v>2294.6100419557124</v>
      </c>
      <c r="O127" s="102">
        <f t="shared" si="108"/>
        <v>1635.4817216454437</v>
      </c>
      <c r="P127" s="102">
        <f t="shared" si="125"/>
        <v>1596.6423880235848</v>
      </c>
      <c r="Q127" s="102">
        <f t="shared" si="110"/>
        <v>0</v>
      </c>
      <c r="R127" s="102">
        <f t="shared" ref="R127:S145" si="167">IF(R40=0,0,R345/R40)</f>
        <v>0</v>
      </c>
      <c r="S127" s="102">
        <f t="shared" si="167"/>
        <v>0</v>
      </c>
      <c r="U127" s="9" t="s">
        <v>3</v>
      </c>
      <c r="V127" s="9" t="s">
        <v>294</v>
      </c>
      <c r="W127" s="9" t="str">
        <v>WX335</v>
      </c>
      <c r="X127" t="s">
        <v>297</v>
      </c>
      <c r="Y127" s="28">
        <f t="shared" si="153"/>
        <v>141.26175577181198</v>
      </c>
      <c r="Z127" s="28">
        <f t="shared" si="138"/>
        <v>129.3011405129219</v>
      </c>
      <c r="AA127" s="28">
        <f t="shared" si="139"/>
        <v>115.67189598600996</v>
      </c>
      <c r="AB127" s="28">
        <f t="shared" si="140"/>
        <v>110.23423835077756</v>
      </c>
      <c r="AC127" s="28">
        <f t="shared" si="141"/>
        <v>117.97931002202228</v>
      </c>
      <c r="AD127" s="28">
        <f t="shared" si="142"/>
        <v>205.61030622555367</v>
      </c>
      <c r="AE127" s="28">
        <f t="shared" si="143"/>
        <v>375.73963053653705</v>
      </c>
      <c r="AF127" s="28">
        <f t="shared" si="144"/>
        <v>687.0239078602242</v>
      </c>
      <c r="AG127" s="28">
        <f t="shared" si="145"/>
        <v>1255.6013490258945</v>
      </c>
      <c r="AH127" s="28">
        <f t="shared" si="146"/>
        <v>2294.6100419557124</v>
      </c>
      <c r="AI127" s="28">
        <f t="shared" si="147"/>
        <v>1635.4817216454437</v>
      </c>
      <c r="AJ127" s="28">
        <f t="shared" si="148"/>
        <v>1596.6423880235848</v>
      </c>
      <c r="AK127" s="28">
        <f t="shared" si="149"/>
        <v>0</v>
      </c>
      <c r="AL127" s="28">
        <f t="shared" si="150"/>
        <v>0</v>
      </c>
      <c r="AM127" s="28">
        <f t="shared" si="151"/>
        <v>0</v>
      </c>
    </row>
    <row r="128" spans="1:39" ht="14.65" thickBot="1" x14ac:dyDescent="0.5">
      <c r="A128" s="9" t="str">
        <v>WN348</v>
      </c>
      <c r="B128" t="s">
        <v>298</v>
      </c>
      <c r="C128" s="25">
        <f>IF($B$2="Discounted",INDEX('Top Down inputs'!$D$50:$F$89,MATCH($A128,'Top Down inputs'!$A$50:$A$89,0),MATCH('Copper Weighted Price'!$B$105,'Top Down inputs'!$D$47:$F$47,0)),INDEX('Top Down inputs'!$D$5:$F$44,MATCH($A128,'Top Down inputs'!$A$5:$A$44,0),MATCH('Copper Weighted Price'!$B$105,'Top Down inputs'!$D$2:$F$2,0)))</f>
        <v>0.08</v>
      </c>
      <c r="D128" s="13">
        <f>IF($B$2="Headline",INDEX('Top Down inputs'!$J$5:$J$44,MATCH($A128,'Top Down inputs'!$H$5:$H$44,0)),INDEX('Top Down inputs'!$J$50:$J$89,MATCH($A128,'Top Down inputs'!$H$50:$H$89,0)))</f>
        <v>209.80383408575128</v>
      </c>
      <c r="E128" s="183">
        <f t="shared" si="104"/>
        <v>173.90369831818444</v>
      </c>
      <c r="F128" s="183">
        <f t="shared" si="164"/>
        <v>135.16559567875632</v>
      </c>
      <c r="G128" s="183">
        <f t="shared" si="164"/>
        <v>170.91135328578872</v>
      </c>
      <c r="H128" s="19">
        <f t="shared" si="164"/>
        <v>197.52796118221636</v>
      </c>
      <c r="I128" s="19">
        <f t="shared" si="164"/>
        <v>183.88956304011066</v>
      </c>
      <c r="J128" s="30">
        <f t="shared" si="156"/>
        <v>231.16674589933214</v>
      </c>
      <c r="K128" s="30">
        <f t="shared" ref="K128:N128" si="168">J128*(1+($C128+K$62))</f>
        <v>254.26857518930456</v>
      </c>
      <c r="L128" s="30">
        <f t="shared" si="168"/>
        <v>279.93886939639367</v>
      </c>
      <c r="M128" s="30">
        <f t="shared" si="168"/>
        <v>307.95930576444908</v>
      </c>
      <c r="N128" s="30">
        <f t="shared" si="168"/>
        <v>338.75488722855641</v>
      </c>
      <c r="O128" s="102">
        <f t="shared" si="108"/>
        <v>0</v>
      </c>
      <c r="P128" s="102">
        <f t="shared" si="125"/>
        <v>0</v>
      </c>
      <c r="Q128" s="102">
        <f t="shared" si="110"/>
        <v>0</v>
      </c>
      <c r="R128" s="102">
        <f t="shared" si="167"/>
        <v>0</v>
      </c>
      <c r="S128" s="102">
        <f t="shared" si="167"/>
        <v>0</v>
      </c>
      <c r="U128" s="9" t="s">
        <v>275</v>
      </c>
      <c r="V128" s="9" t="s">
        <v>299</v>
      </c>
      <c r="W128" s="9" t="str">
        <v>WN348</v>
      </c>
      <c r="X128" t="s">
        <v>298</v>
      </c>
      <c r="Y128" s="28">
        <f t="shared" si="153"/>
        <v>173.90369831818444</v>
      </c>
      <c r="Z128" s="28">
        <f t="shared" si="138"/>
        <v>135.16559567875632</v>
      </c>
      <c r="AA128" s="28">
        <f t="shared" si="139"/>
        <v>170.91135328578872</v>
      </c>
      <c r="AB128" s="28">
        <f t="shared" si="140"/>
        <v>197.52796118221636</v>
      </c>
      <c r="AC128" s="28">
        <f t="shared" si="141"/>
        <v>183.88956304011066</v>
      </c>
      <c r="AD128" s="28">
        <f t="shared" si="142"/>
        <v>231.16674589933214</v>
      </c>
      <c r="AE128" s="28">
        <f t="shared" si="143"/>
        <v>254.26857518930456</v>
      </c>
      <c r="AF128" s="28">
        <f t="shared" si="144"/>
        <v>279.93886939639367</v>
      </c>
      <c r="AG128" s="28">
        <f t="shared" si="145"/>
        <v>307.95930576444908</v>
      </c>
      <c r="AH128" s="28">
        <f t="shared" si="146"/>
        <v>338.75488722855641</v>
      </c>
      <c r="AI128" s="28">
        <f t="shared" si="147"/>
        <v>0</v>
      </c>
      <c r="AJ128" s="28">
        <f t="shared" si="148"/>
        <v>0</v>
      </c>
      <c r="AK128" s="28">
        <f t="shared" si="149"/>
        <v>0</v>
      </c>
      <c r="AL128" s="28">
        <f t="shared" si="150"/>
        <v>0</v>
      </c>
      <c r="AM128" s="28">
        <f t="shared" si="151"/>
        <v>0</v>
      </c>
    </row>
    <row r="129" spans="1:39" ht="14.65" thickBot="1" x14ac:dyDescent="0.5">
      <c r="A129" s="9" t="str">
        <v>WN350</v>
      </c>
      <c r="B129" t="s">
        <v>300</v>
      </c>
      <c r="C129" s="25">
        <f>IF($B$2="Discounted",INDEX('Top Down inputs'!$D$50:$F$89,MATCH($A129,'Top Down inputs'!$A$50:$A$89,0),MATCH('Copper Weighted Price'!$B$105,'Top Down inputs'!$D$47:$F$47,0)),INDEX('Top Down inputs'!$D$5:$F$44,MATCH($A129,'Top Down inputs'!$A$5:$A$44,0),MATCH('Copper Weighted Price'!$B$105,'Top Down inputs'!$D$2:$F$2,0)))</f>
        <v>0.08</v>
      </c>
      <c r="D129" s="13">
        <f>IF($B$2="Headline",INDEX('Top Down inputs'!$J$5:$J$44,MATCH($A129,'Top Down inputs'!$H$5:$H$44,0)),INDEX('Top Down inputs'!$J$50:$J$89,MATCH($A129,'Top Down inputs'!$H$50:$H$89,0)))</f>
        <v>220.64503346601316</v>
      </c>
      <c r="E129" s="183">
        <f t="shared" si="104"/>
        <v>165.38611998990447</v>
      </c>
      <c r="F129" s="183">
        <f t="shared" si="164"/>
        <v>138.04282113019377</v>
      </c>
      <c r="G129" s="183">
        <f t="shared" si="164"/>
        <v>216.64320414877386</v>
      </c>
      <c r="H129" s="19">
        <f t="shared" si="164"/>
        <v>201.56882523923542</v>
      </c>
      <c r="I129" s="19">
        <f t="shared" si="164"/>
        <v>215.9690940517936</v>
      </c>
      <c r="J129" s="30">
        <f t="shared" si="156"/>
        <v>243.11183161857923</v>
      </c>
      <c r="K129" s="30">
        <f t="shared" ref="K129:N129" si="169">J129*(1+($C129+K$62))</f>
        <v>267.40740237887672</v>
      </c>
      <c r="L129" s="30">
        <f t="shared" si="169"/>
        <v>294.40415841571144</v>
      </c>
      <c r="M129" s="30">
        <f t="shared" si="169"/>
        <v>323.87249557505493</v>
      </c>
      <c r="N129" s="30">
        <f t="shared" si="169"/>
        <v>356.25937798053127</v>
      </c>
      <c r="O129" s="102">
        <f t="shared" si="108"/>
        <v>359.69282084589753</v>
      </c>
      <c r="P129" s="102">
        <f t="shared" si="125"/>
        <v>688.21043518403576</v>
      </c>
      <c r="Q129" s="102">
        <f t="shared" si="110"/>
        <v>0</v>
      </c>
      <c r="R129" s="102">
        <f t="shared" si="167"/>
        <v>0</v>
      </c>
      <c r="S129" s="102">
        <f t="shared" si="167"/>
        <v>0</v>
      </c>
      <c r="U129" s="9" t="s">
        <v>275</v>
      </c>
      <c r="V129" s="9" t="s">
        <v>299</v>
      </c>
      <c r="W129" s="9" t="str">
        <v>WN350</v>
      </c>
      <c r="X129" t="s">
        <v>300</v>
      </c>
      <c r="Y129" s="28">
        <f t="shared" si="153"/>
        <v>165.38611998990447</v>
      </c>
      <c r="Z129" s="28">
        <f t="shared" si="138"/>
        <v>138.04282113019377</v>
      </c>
      <c r="AA129" s="28">
        <f t="shared" si="139"/>
        <v>216.64320414877386</v>
      </c>
      <c r="AB129" s="28">
        <f t="shared" si="140"/>
        <v>201.56882523923542</v>
      </c>
      <c r="AC129" s="28">
        <f t="shared" si="141"/>
        <v>215.9690940517936</v>
      </c>
      <c r="AD129" s="28">
        <f t="shared" si="142"/>
        <v>243.11183161857923</v>
      </c>
      <c r="AE129" s="28">
        <f t="shared" si="143"/>
        <v>267.40740237887672</v>
      </c>
      <c r="AF129" s="28">
        <f t="shared" si="144"/>
        <v>294.40415841571144</v>
      </c>
      <c r="AG129" s="28">
        <f t="shared" si="145"/>
        <v>323.87249557505493</v>
      </c>
      <c r="AH129" s="28">
        <f t="shared" si="146"/>
        <v>356.25937798053127</v>
      </c>
      <c r="AI129" s="28">
        <f t="shared" si="147"/>
        <v>359.69282084589753</v>
      </c>
      <c r="AJ129" s="28">
        <f t="shared" si="148"/>
        <v>688.21043518403576</v>
      </c>
      <c r="AK129" s="28">
        <f t="shared" si="149"/>
        <v>0</v>
      </c>
      <c r="AL129" s="28">
        <f t="shared" si="150"/>
        <v>0</v>
      </c>
      <c r="AM129" s="28">
        <f t="shared" si="151"/>
        <v>0</v>
      </c>
    </row>
    <row r="130" spans="1:39" ht="14.65" thickBot="1" x14ac:dyDescent="0.5">
      <c r="A130" s="9" t="str">
        <v>WX349</v>
      </c>
      <c r="B130" t="s">
        <v>301</v>
      </c>
      <c r="C130" s="25">
        <f>IF($B$2="Discounted",INDEX('Top Down inputs'!$D$50:$F$89,MATCH($A130,'Top Down inputs'!$A$50:$A$89,0),MATCH('Copper Weighted Price'!$B$105,'Top Down inputs'!$D$47:$F$47,0)),INDEX('Top Down inputs'!$D$5:$F$44,MATCH($A130,'Top Down inputs'!$A$5:$A$44,0),MATCH('Copper Weighted Price'!$B$105,'Top Down inputs'!$D$2:$F$2,0)))</f>
        <v>0.08</v>
      </c>
      <c r="D130" s="13">
        <f>IF($B$2="Headline",INDEX('Top Down inputs'!$J$5:$J$44,MATCH($A130,'Top Down inputs'!$H$5:$H$44,0)),INDEX('Top Down inputs'!$J$50:$J$89,MATCH($A130,'Top Down inputs'!$H$50:$H$89,0)))</f>
        <v>176.58805191581328</v>
      </c>
      <c r="E130" s="183">
        <f t="shared" si="104"/>
        <v>145.4565516059393</v>
      </c>
      <c r="F130" s="183">
        <f t="shared" si="164"/>
        <v>172.6105277314191</v>
      </c>
      <c r="G130" s="183">
        <f t="shared" si="164"/>
        <v>135.79740229493805</v>
      </c>
      <c r="H130" s="19">
        <f t="shared" si="164"/>
        <v>170.12563405863042</v>
      </c>
      <c r="I130" s="19">
        <f t="shared" si="164"/>
        <v>178.35483829354928</v>
      </c>
      <c r="J130" s="30">
        <f t="shared" si="156"/>
        <v>194.56882427323208</v>
      </c>
      <c r="K130" s="30">
        <f t="shared" ref="K130:N130" si="170">J130*(1+($C130+K$62))</f>
        <v>214.01321168295178</v>
      </c>
      <c r="L130" s="30">
        <f t="shared" si="170"/>
        <v>235.61942906162415</v>
      </c>
      <c r="M130" s="30">
        <f t="shared" si="170"/>
        <v>259.20371813635825</v>
      </c>
      <c r="N130" s="30">
        <f t="shared" si="170"/>
        <v>285.12379610852133</v>
      </c>
      <c r="O130" s="102">
        <f t="shared" si="108"/>
        <v>0</v>
      </c>
      <c r="P130" s="102">
        <f t="shared" si="125"/>
        <v>0</v>
      </c>
      <c r="Q130" s="102">
        <f t="shared" si="110"/>
        <v>0</v>
      </c>
      <c r="R130" s="102">
        <f t="shared" si="167"/>
        <v>0</v>
      </c>
      <c r="S130" s="102">
        <f t="shared" si="167"/>
        <v>0</v>
      </c>
      <c r="U130" s="9" t="s">
        <v>275</v>
      </c>
      <c r="V130" s="9" t="s">
        <v>299</v>
      </c>
      <c r="W130" s="9" t="str">
        <v>WX349</v>
      </c>
      <c r="X130" t="s">
        <v>301</v>
      </c>
      <c r="Y130" s="28">
        <f t="shared" si="153"/>
        <v>145.4565516059393</v>
      </c>
      <c r="Z130" s="28">
        <f t="shared" si="138"/>
        <v>172.6105277314191</v>
      </c>
      <c r="AA130" s="28">
        <f t="shared" si="139"/>
        <v>135.79740229493805</v>
      </c>
      <c r="AB130" s="28">
        <f t="shared" si="140"/>
        <v>170.12563405863042</v>
      </c>
      <c r="AC130" s="28">
        <f t="shared" si="141"/>
        <v>178.35483829354928</v>
      </c>
      <c r="AD130" s="28">
        <f t="shared" si="142"/>
        <v>194.56882427323208</v>
      </c>
      <c r="AE130" s="28">
        <f t="shared" si="143"/>
        <v>214.01321168295178</v>
      </c>
      <c r="AF130" s="28">
        <f t="shared" si="144"/>
        <v>235.61942906162415</v>
      </c>
      <c r="AG130" s="28">
        <f t="shared" si="145"/>
        <v>259.20371813635825</v>
      </c>
      <c r="AH130" s="28">
        <f t="shared" si="146"/>
        <v>285.12379610852133</v>
      </c>
      <c r="AI130" s="28">
        <f t="shared" si="147"/>
        <v>0</v>
      </c>
      <c r="AJ130" s="28">
        <f t="shared" si="148"/>
        <v>0</v>
      </c>
      <c r="AK130" s="28">
        <f t="shared" si="149"/>
        <v>0</v>
      </c>
      <c r="AL130" s="28">
        <f t="shared" si="150"/>
        <v>0</v>
      </c>
      <c r="AM130" s="28">
        <f t="shared" si="151"/>
        <v>0</v>
      </c>
    </row>
    <row r="131" spans="1:39" ht="14.65" thickBot="1" x14ac:dyDescent="0.5">
      <c r="A131" s="9" t="str">
        <v>WX351</v>
      </c>
      <c r="B131" t="s">
        <v>302</v>
      </c>
      <c r="C131" s="25">
        <f>IF($B$2="Discounted",INDEX('Top Down inputs'!$D$50:$F$89,MATCH($A131,'Top Down inputs'!$A$50:$A$89,0),MATCH('Copper Weighted Price'!$B$105,'Top Down inputs'!$D$47:$F$47,0)),INDEX('Top Down inputs'!$D$5:$F$44,MATCH($A131,'Top Down inputs'!$A$5:$A$44,0),MATCH('Copper Weighted Price'!$B$105,'Top Down inputs'!$D$2:$F$2,0)))</f>
        <v>0.08</v>
      </c>
      <c r="D131" s="13">
        <f>IF($B$2="Headline",INDEX('Top Down inputs'!$J$5:$J$44,MATCH($A131,'Top Down inputs'!$H$5:$H$44,0)),INDEX('Top Down inputs'!$J$50:$J$89,MATCH($A131,'Top Down inputs'!$H$50:$H$89,0)))</f>
        <v>234.80405909790278</v>
      </c>
      <c r="E131" s="183">
        <f t="shared" si="104"/>
        <v>138.56373194869053</v>
      </c>
      <c r="F131" s="183">
        <f t="shared" si="164"/>
        <v>159.95215311000374</v>
      </c>
      <c r="G131" s="183">
        <f t="shared" si="164"/>
        <v>177.17707957963754</v>
      </c>
      <c r="H131" s="19">
        <f t="shared" si="164"/>
        <v>180.70452031567345</v>
      </c>
      <c r="I131" s="19">
        <f t="shared" si="164"/>
        <v>176.43949826972155</v>
      </c>
      <c r="J131" s="30">
        <f t="shared" si="156"/>
        <v>258.71257549769905</v>
      </c>
      <c r="K131" s="30">
        <f t="shared" ref="K131:N131" si="171">J131*(1+($C131+K$62))</f>
        <v>284.56721878155474</v>
      </c>
      <c r="L131" s="30">
        <f t="shared" si="171"/>
        <v>313.29638526379517</v>
      </c>
      <c r="M131" s="30">
        <f t="shared" si="171"/>
        <v>344.65573684849886</v>
      </c>
      <c r="N131" s="30">
        <f t="shared" si="171"/>
        <v>379.12091982078482</v>
      </c>
      <c r="O131" s="102">
        <f t="shared" si="108"/>
        <v>354.01900051949167</v>
      </c>
      <c r="P131" s="102">
        <f t="shared" si="125"/>
        <v>677.35455447224138</v>
      </c>
      <c r="Q131" s="102">
        <f t="shared" si="110"/>
        <v>0</v>
      </c>
      <c r="R131" s="102">
        <f t="shared" si="167"/>
        <v>0</v>
      </c>
      <c r="S131" s="102">
        <f t="shared" si="167"/>
        <v>0</v>
      </c>
      <c r="U131" s="9" t="s">
        <v>275</v>
      </c>
      <c r="V131" s="9" t="s">
        <v>299</v>
      </c>
      <c r="W131" s="9" t="str">
        <v>WX351</v>
      </c>
      <c r="X131" t="s">
        <v>302</v>
      </c>
      <c r="Y131" s="28">
        <f t="shared" si="153"/>
        <v>138.56373194869053</v>
      </c>
      <c r="Z131" s="28">
        <f t="shared" si="138"/>
        <v>159.95215311000374</v>
      </c>
      <c r="AA131" s="28">
        <f t="shared" si="139"/>
        <v>177.17707957963754</v>
      </c>
      <c r="AB131" s="28">
        <f t="shared" si="140"/>
        <v>180.70452031567345</v>
      </c>
      <c r="AC131" s="28">
        <f t="shared" si="141"/>
        <v>176.43949826972155</v>
      </c>
      <c r="AD131" s="28">
        <f t="shared" si="142"/>
        <v>258.71257549769905</v>
      </c>
      <c r="AE131" s="28">
        <f t="shared" si="143"/>
        <v>284.56721878155474</v>
      </c>
      <c r="AF131" s="28">
        <f t="shared" si="144"/>
        <v>313.29638526379517</v>
      </c>
      <c r="AG131" s="28">
        <f t="shared" si="145"/>
        <v>344.65573684849886</v>
      </c>
      <c r="AH131" s="28">
        <f t="shared" si="146"/>
        <v>379.12091982078482</v>
      </c>
      <c r="AI131" s="28">
        <f t="shared" si="147"/>
        <v>354.01900051949167</v>
      </c>
      <c r="AJ131" s="28">
        <f t="shared" si="148"/>
        <v>677.35455447224138</v>
      </c>
      <c r="AK131" s="28">
        <f t="shared" si="149"/>
        <v>0</v>
      </c>
      <c r="AL131" s="28">
        <f t="shared" si="150"/>
        <v>0</v>
      </c>
      <c r="AM131" s="28">
        <f t="shared" si="151"/>
        <v>0</v>
      </c>
    </row>
    <row r="132" spans="1:39" ht="14.65" thickBot="1" x14ac:dyDescent="0.5">
      <c r="A132" s="9" t="str">
        <v>WX355</v>
      </c>
      <c r="B132" t="s">
        <v>303</v>
      </c>
      <c r="C132" s="25">
        <f>IF($B$2="Discounted",INDEX('Top Down inputs'!$D$50:$F$89,MATCH($A132,'Top Down inputs'!$A$50:$A$89,0),MATCH('Copper Weighted Price'!$B$105,'Top Down inputs'!$D$47:$F$47,0)),INDEX('Top Down inputs'!$D$5:$F$44,MATCH($A132,'Top Down inputs'!$A$5:$A$44,0),MATCH('Copper Weighted Price'!$B$105,'Top Down inputs'!$D$2:$F$2,0)))</f>
        <v>0.8075</v>
      </c>
      <c r="D132" s="13">
        <f>IF($B$2="Headline",INDEX('Top Down inputs'!$J$5:$J$44,MATCH($A132,'Top Down inputs'!$H$5:$H$44,0)),INDEX('Top Down inputs'!$J$50:$J$89,MATCH($A132,'Top Down inputs'!$H$50:$H$89,0)))</f>
        <v>48.288224428923911</v>
      </c>
      <c r="E132" s="183">
        <f t="shared" si="104"/>
        <v>50.984995674377856</v>
      </c>
      <c r="F132" s="183">
        <f t="shared" si="164"/>
        <v>33.419546301259587</v>
      </c>
      <c r="G132" s="183">
        <f t="shared" si="164"/>
        <v>33.389996491467969</v>
      </c>
      <c r="H132" s="19">
        <f t="shared" si="164"/>
        <v>31.273932726621325</v>
      </c>
      <c r="I132" s="19">
        <f t="shared" si="164"/>
        <v>45.355787185237716</v>
      </c>
      <c r="J132" s="30">
        <f t="shared" si="156"/>
        <v>88.334772469452005</v>
      </c>
      <c r="K132" s="30">
        <f t="shared" ref="K132:N132" si="172">J132*(1+($C132+K$62))</f>
        <v>161.42612391613631</v>
      </c>
      <c r="L132" s="30">
        <f t="shared" si="172"/>
        <v>295.16079079874561</v>
      </c>
      <c r="M132" s="30">
        <f t="shared" si="172"/>
        <v>539.43433826156559</v>
      </c>
      <c r="N132" s="30">
        <f t="shared" si="172"/>
        <v>985.81564165330929</v>
      </c>
      <c r="O132" s="102">
        <f t="shared" si="108"/>
        <v>0</v>
      </c>
      <c r="P132" s="102">
        <f t="shared" si="125"/>
        <v>0</v>
      </c>
      <c r="Q132" s="102">
        <f t="shared" si="110"/>
        <v>0</v>
      </c>
      <c r="R132" s="102">
        <f t="shared" si="167"/>
        <v>0</v>
      </c>
      <c r="S132" s="102">
        <f t="shared" si="167"/>
        <v>0</v>
      </c>
      <c r="U132" s="9" t="s">
        <v>3</v>
      </c>
      <c r="V132" s="9" t="s">
        <v>299</v>
      </c>
      <c r="W132" s="9" t="str">
        <v>WX355</v>
      </c>
      <c r="X132" t="s">
        <v>303</v>
      </c>
      <c r="Y132" s="28">
        <f t="shared" si="153"/>
        <v>50.984995674377856</v>
      </c>
      <c r="Z132" s="28">
        <f t="shared" si="138"/>
        <v>33.419546301259587</v>
      </c>
      <c r="AA132" s="28">
        <f t="shared" si="139"/>
        <v>33.389996491467969</v>
      </c>
      <c r="AB132" s="28">
        <f t="shared" si="140"/>
        <v>31.273932726621325</v>
      </c>
      <c r="AC132" s="28">
        <f t="shared" si="141"/>
        <v>45.355787185237716</v>
      </c>
      <c r="AD132" s="28">
        <f t="shared" si="142"/>
        <v>88.334772469452005</v>
      </c>
      <c r="AE132" s="28">
        <f t="shared" si="143"/>
        <v>161.42612391613631</v>
      </c>
      <c r="AF132" s="28">
        <f t="shared" si="144"/>
        <v>295.16079079874561</v>
      </c>
      <c r="AG132" s="28">
        <f t="shared" si="145"/>
        <v>539.43433826156559</v>
      </c>
      <c r="AH132" s="28">
        <f t="shared" si="146"/>
        <v>985.81564165330929</v>
      </c>
      <c r="AI132" s="28">
        <f t="shared" si="147"/>
        <v>0</v>
      </c>
      <c r="AJ132" s="28">
        <f t="shared" si="148"/>
        <v>0</v>
      </c>
      <c r="AK132" s="28">
        <f t="shared" si="149"/>
        <v>0</v>
      </c>
      <c r="AL132" s="28">
        <f t="shared" si="150"/>
        <v>0</v>
      </c>
      <c r="AM132" s="28">
        <f t="shared" si="151"/>
        <v>0</v>
      </c>
    </row>
    <row r="133" spans="1:39" ht="14.65" thickBot="1" x14ac:dyDescent="0.5">
      <c r="A133" s="9" t="str">
        <v>WN354</v>
      </c>
      <c r="B133" t="s">
        <v>304</v>
      </c>
      <c r="C133" s="25">
        <f>IF($B$2="Discounted",INDEX('Top Down inputs'!$D$50:$F$89,MATCH($A133,'Top Down inputs'!$A$50:$A$89,0),MATCH('Copper Weighted Price'!$B$105,'Top Down inputs'!$D$47:$F$47,0)),INDEX('Top Down inputs'!$D$5:$F$44,MATCH($A133,'Top Down inputs'!$A$5:$A$44,0),MATCH('Copper Weighted Price'!$B$105,'Top Down inputs'!$D$2:$F$2,0)))</f>
        <v>0.8075</v>
      </c>
      <c r="D133" s="13">
        <f>IF($B$2="Headline",INDEX('Top Down inputs'!$J$5:$J$44,MATCH($A133,'Top Down inputs'!$H$5:$H$44,0)),INDEX('Top Down inputs'!$J$50:$J$89,MATCH($A133,'Top Down inputs'!$H$50:$H$89,0)))</f>
        <v>53.605404041605752</v>
      </c>
      <c r="E133" s="183">
        <f t="shared" si="104"/>
        <v>16.92577121680031</v>
      </c>
      <c r="F133" s="183">
        <f t="shared" si="164"/>
        <v>32.709812337904751</v>
      </c>
      <c r="G133" s="183">
        <f t="shared" si="164"/>
        <v>30.408724173639566</v>
      </c>
      <c r="H133" s="19">
        <f t="shared" si="164"/>
        <v>31.339039097179224</v>
      </c>
      <c r="I133" s="19">
        <f t="shared" si="164"/>
        <v>37.205135094451819</v>
      </c>
      <c r="J133" s="30">
        <f t="shared" si="156"/>
        <v>98.061612849694299</v>
      </c>
      <c r="K133" s="30">
        <f t="shared" ref="K133:N133" si="173">J133*(1+($C133+K$62))</f>
        <v>179.20130006295287</v>
      </c>
      <c r="L133" s="30">
        <f t="shared" si="173"/>
        <v>327.66194315749914</v>
      </c>
      <c r="M133" s="30">
        <f t="shared" si="173"/>
        <v>598.8332766095009</v>
      </c>
      <c r="N133" s="30">
        <f t="shared" si="173"/>
        <v>1094.3671341476597</v>
      </c>
      <c r="O133" s="102">
        <f t="shared" si="108"/>
        <v>0</v>
      </c>
      <c r="P133" s="102">
        <f t="shared" si="125"/>
        <v>0</v>
      </c>
      <c r="Q133" s="102">
        <f t="shared" si="110"/>
        <v>0</v>
      </c>
      <c r="R133" s="102">
        <f t="shared" si="167"/>
        <v>0</v>
      </c>
      <c r="S133" s="102">
        <f t="shared" si="167"/>
        <v>0</v>
      </c>
      <c r="U133" s="9" t="s">
        <v>3</v>
      </c>
      <c r="V133" s="9" t="s">
        <v>299</v>
      </c>
      <c r="W133" s="9" t="str">
        <v>WN354</v>
      </c>
      <c r="X133" t="s">
        <v>304</v>
      </c>
      <c r="Y133" s="28">
        <f t="shared" si="153"/>
        <v>16.92577121680031</v>
      </c>
      <c r="Z133" s="28">
        <f t="shared" si="138"/>
        <v>32.709812337904751</v>
      </c>
      <c r="AA133" s="28">
        <f t="shared" si="139"/>
        <v>30.408724173639566</v>
      </c>
      <c r="AB133" s="28">
        <f t="shared" si="140"/>
        <v>31.339039097179224</v>
      </c>
      <c r="AC133" s="28">
        <f t="shared" si="141"/>
        <v>37.205135094451819</v>
      </c>
      <c r="AD133" s="28">
        <f t="shared" si="142"/>
        <v>98.061612849694299</v>
      </c>
      <c r="AE133" s="28">
        <f t="shared" si="143"/>
        <v>179.20130006295287</v>
      </c>
      <c r="AF133" s="28">
        <f t="shared" si="144"/>
        <v>327.66194315749914</v>
      </c>
      <c r="AG133" s="28">
        <f t="shared" si="145"/>
        <v>598.8332766095009</v>
      </c>
      <c r="AH133" s="28">
        <f t="shared" si="146"/>
        <v>1094.3671341476597</v>
      </c>
      <c r="AI133" s="28">
        <f t="shared" si="147"/>
        <v>0</v>
      </c>
      <c r="AJ133" s="28">
        <f t="shared" si="148"/>
        <v>0</v>
      </c>
      <c r="AK133" s="28">
        <f t="shared" si="149"/>
        <v>0</v>
      </c>
      <c r="AL133" s="28">
        <f t="shared" si="150"/>
        <v>0</v>
      </c>
      <c r="AM133" s="28">
        <f t="shared" si="151"/>
        <v>0</v>
      </c>
    </row>
    <row r="134" spans="1:39" ht="14.65" thickBot="1" x14ac:dyDescent="0.5">
      <c r="A134" s="9" t="str">
        <v>WN158</v>
      </c>
      <c r="B134" t="s">
        <v>305</v>
      </c>
      <c r="C134" s="25">
        <f>IF($B$2="Discounted",INDEX('Top Down inputs'!$D$50:$F$89,MATCH($A134,'Top Down inputs'!$A$50:$A$89,0),MATCH('Copper Weighted Price'!$B$105,'Top Down inputs'!$D$47:$F$47,0)),INDEX('Top Down inputs'!$D$5:$F$44,MATCH($A134,'Top Down inputs'!$A$5:$A$44,0),MATCH('Copper Weighted Price'!$B$105,'Top Down inputs'!$D$2:$F$2,0)))</f>
        <v>1.2500000000000001E-2</v>
      </c>
      <c r="D134" s="13">
        <f>IF($B$2="Headline",INDEX('Top Down inputs'!$J$5:$J$44,MATCH($A134,'Top Down inputs'!$H$5:$H$44,0)),INDEX('Top Down inputs'!$J$50:$J$89,MATCH($A134,'Top Down inputs'!$H$50:$H$89,0)))</f>
        <v>8.1915891862328358</v>
      </c>
      <c r="E134" s="183">
        <f t="shared" si="104"/>
        <v>6.2421874880663033</v>
      </c>
      <c r="F134" s="183">
        <f t="shared" si="164"/>
        <v>8.1716227619916832</v>
      </c>
      <c r="G134" s="183">
        <f t="shared" si="164"/>
        <v>8.500107286152792</v>
      </c>
      <c r="H134" s="19">
        <f t="shared" si="164"/>
        <v>7.880076014122583</v>
      </c>
      <c r="I134" s="19">
        <f t="shared" si="164"/>
        <v>7.2668138842427537</v>
      </c>
      <c r="J134" s="30">
        <f t="shared" si="156"/>
        <v>8.4727512889420264</v>
      </c>
      <c r="K134" s="30">
        <f t="shared" ref="K134:N134" si="174">J134*(1+($C134+K$62))</f>
        <v>8.7475715941184404</v>
      </c>
      <c r="L134" s="30">
        <f t="shared" si="174"/>
        <v>9.040242594398336</v>
      </c>
      <c r="M134" s="30">
        <f t="shared" si="174"/>
        <v>9.334907856164941</v>
      </c>
      <c r="N134" s="30">
        <f t="shared" si="174"/>
        <v>9.6382817791456805</v>
      </c>
      <c r="O134" s="102">
        <f t="shared" si="108"/>
        <v>0</v>
      </c>
      <c r="P134" s="102">
        <f t="shared" si="125"/>
        <v>0</v>
      </c>
      <c r="Q134" s="102">
        <f t="shared" si="110"/>
        <v>0</v>
      </c>
      <c r="R134" s="102">
        <f t="shared" si="167"/>
        <v>0</v>
      </c>
      <c r="S134" s="102">
        <f t="shared" si="167"/>
        <v>0</v>
      </c>
      <c r="U134" s="9" t="s">
        <v>275</v>
      </c>
      <c r="V134" s="9" t="s">
        <v>261</v>
      </c>
      <c r="W134" s="9" t="str">
        <v>WN158</v>
      </c>
      <c r="X134" t="s">
        <v>305</v>
      </c>
      <c r="Y134" s="28">
        <f t="shared" si="153"/>
        <v>6.2421874880663033</v>
      </c>
      <c r="Z134" s="28">
        <f t="shared" si="138"/>
        <v>8.1716227619916832</v>
      </c>
      <c r="AA134" s="28">
        <f t="shared" si="139"/>
        <v>8.500107286152792</v>
      </c>
      <c r="AB134" s="28">
        <f t="shared" si="140"/>
        <v>7.880076014122583</v>
      </c>
      <c r="AC134" s="28">
        <f t="shared" si="141"/>
        <v>7.2668138842427537</v>
      </c>
      <c r="AD134" s="28">
        <f t="shared" si="142"/>
        <v>8.4727512889420264</v>
      </c>
      <c r="AE134" s="28">
        <f t="shared" si="143"/>
        <v>8.7475715941184404</v>
      </c>
      <c r="AF134" s="28">
        <f t="shared" si="144"/>
        <v>9.040242594398336</v>
      </c>
      <c r="AG134" s="28">
        <f t="shared" si="145"/>
        <v>9.334907856164941</v>
      </c>
      <c r="AH134" s="28">
        <f t="shared" si="146"/>
        <v>9.6382817791456805</v>
      </c>
      <c r="AI134" s="28">
        <f t="shared" si="147"/>
        <v>0</v>
      </c>
      <c r="AJ134" s="28">
        <f t="shared" si="148"/>
        <v>0</v>
      </c>
      <c r="AK134" s="28">
        <f t="shared" si="149"/>
        <v>0</v>
      </c>
      <c r="AL134" s="28">
        <f t="shared" si="150"/>
        <v>0</v>
      </c>
      <c r="AM134" s="28">
        <f t="shared" si="151"/>
        <v>0</v>
      </c>
    </row>
    <row r="135" spans="1:39" ht="14.65" thickBot="1" x14ac:dyDescent="0.5">
      <c r="A135" s="9" t="str">
        <v>WX135</v>
      </c>
      <c r="B135" t="s">
        <v>306</v>
      </c>
      <c r="C135" s="25">
        <f>IF($B$2="Discounted",INDEX('Top Down inputs'!$D$50:$F$89,MATCH($A135,'Top Down inputs'!$A$50:$A$89,0),MATCH('Copper Weighted Price'!$B$105,'Top Down inputs'!$D$47:$F$47,0)),INDEX('Top Down inputs'!$D$5:$F$44,MATCH($A135,'Top Down inputs'!$A$5:$A$44,0),MATCH('Copper Weighted Price'!$B$105,'Top Down inputs'!$D$2:$F$2,0)))</f>
        <v>1.2500000000000001E-2</v>
      </c>
      <c r="D135" s="13">
        <f>IF($B$2="Headline",INDEX('Top Down inputs'!$J$5:$J$44,MATCH($A135,'Top Down inputs'!$H$5:$H$44,0)),INDEX('Top Down inputs'!$J$50:$J$89,MATCH($A135,'Top Down inputs'!$H$50:$H$89,0)))</f>
        <v>7.4645364398022611</v>
      </c>
      <c r="E135" s="183">
        <f t="shared" si="104"/>
        <v>5.8419307046279014</v>
      </c>
      <c r="F135" s="183">
        <f t="shared" si="164"/>
        <v>5.7308412796625747</v>
      </c>
      <c r="G135" s="183">
        <f t="shared" si="164"/>
        <v>8.7535972896096901</v>
      </c>
      <c r="H135" s="19">
        <f t="shared" si="164"/>
        <v>6.4516190562049429</v>
      </c>
      <c r="I135" s="19">
        <f t="shared" si="164"/>
        <v>8.1913477350862181</v>
      </c>
      <c r="J135" s="30">
        <f t="shared" si="156"/>
        <v>7.7207437169801043</v>
      </c>
      <c r="K135" s="30">
        <f t="shared" ref="K135:N135" si="175">J135*(1+($C135+K$62))</f>
        <v>7.9711720692508212</v>
      </c>
      <c r="L135" s="30">
        <f t="shared" si="175"/>
        <v>8.237866760207039</v>
      </c>
      <c r="M135" s="30">
        <f t="shared" si="175"/>
        <v>8.5063787099636681</v>
      </c>
      <c r="N135" s="30">
        <f t="shared" si="175"/>
        <v>8.7828263749395177</v>
      </c>
      <c r="O135" s="102">
        <f t="shared" si="108"/>
        <v>0</v>
      </c>
      <c r="P135" s="102">
        <f t="shared" si="125"/>
        <v>0</v>
      </c>
      <c r="Q135" s="102">
        <f t="shared" si="110"/>
        <v>0</v>
      </c>
      <c r="R135" s="102">
        <f t="shared" si="167"/>
        <v>0</v>
      </c>
      <c r="S135" s="102">
        <f t="shared" si="167"/>
        <v>0</v>
      </c>
      <c r="U135" s="9" t="s">
        <v>275</v>
      </c>
      <c r="V135" s="9" t="s">
        <v>261</v>
      </c>
      <c r="W135" s="9" t="str">
        <v>WX135</v>
      </c>
      <c r="X135" t="s">
        <v>306</v>
      </c>
      <c r="Y135" s="28">
        <f t="shared" si="153"/>
        <v>5.8419307046279014</v>
      </c>
      <c r="Z135" s="28">
        <f t="shared" si="138"/>
        <v>5.7308412796625747</v>
      </c>
      <c r="AA135" s="28">
        <f t="shared" si="139"/>
        <v>8.7535972896096901</v>
      </c>
      <c r="AB135" s="28">
        <f t="shared" si="140"/>
        <v>6.4516190562049429</v>
      </c>
      <c r="AC135" s="28">
        <f t="shared" si="141"/>
        <v>8.1913477350862181</v>
      </c>
      <c r="AD135" s="28">
        <f t="shared" si="142"/>
        <v>7.7207437169801043</v>
      </c>
      <c r="AE135" s="28">
        <f t="shared" si="143"/>
        <v>7.9711720692508212</v>
      </c>
      <c r="AF135" s="28">
        <f t="shared" si="144"/>
        <v>8.237866760207039</v>
      </c>
      <c r="AG135" s="28">
        <f t="shared" si="145"/>
        <v>8.5063787099636681</v>
      </c>
      <c r="AH135" s="28">
        <f t="shared" si="146"/>
        <v>8.7828263749395177</v>
      </c>
      <c r="AI135" s="28">
        <f t="shared" si="147"/>
        <v>0</v>
      </c>
      <c r="AJ135" s="28">
        <f t="shared" si="148"/>
        <v>0</v>
      </c>
      <c r="AK135" s="28">
        <f t="shared" si="149"/>
        <v>0</v>
      </c>
      <c r="AL135" s="28">
        <f t="shared" si="150"/>
        <v>0</v>
      </c>
      <c r="AM135" s="28">
        <f t="shared" si="151"/>
        <v>0</v>
      </c>
    </row>
    <row r="136" spans="1:39" ht="14.65" thickBot="1" x14ac:dyDescent="0.5">
      <c r="A136" s="9" t="str">
        <v>WN138</v>
      </c>
      <c r="B136" t="s">
        <v>307</v>
      </c>
      <c r="C136" s="25">
        <f>IF($B$2="Discounted",INDEX('Top Down inputs'!$D$50:$F$89,MATCH($A136,'Top Down inputs'!$A$50:$A$89,0),MATCH('Copper Weighted Price'!$B$105,'Top Down inputs'!$D$47:$F$47,0)),INDEX('Top Down inputs'!$D$5:$F$44,MATCH($A136,'Top Down inputs'!$A$5:$A$44,0),MATCH('Copper Weighted Price'!$B$105,'Top Down inputs'!$D$2:$F$2,0)))</f>
        <v>0.22</v>
      </c>
      <c r="D136" s="13">
        <f>IF($B$2="Headline",INDEX('Top Down inputs'!$J$5:$J$44,MATCH($A136,'Top Down inputs'!$H$5:$H$44,0)),INDEX('Top Down inputs'!$J$50:$J$89,MATCH($A136,'Top Down inputs'!$H$50:$H$89,0)))</f>
        <v>36.903122828170901</v>
      </c>
      <c r="E136" s="183">
        <f t="shared" si="104"/>
        <v>28.173779897771958</v>
      </c>
      <c r="F136" s="183">
        <f t="shared" si="164"/>
        <v>20.784573326782187</v>
      </c>
      <c r="G136" s="183">
        <f t="shared" si="164"/>
        <v>35.214890286332299</v>
      </c>
      <c r="H136" s="19">
        <f t="shared" si="164"/>
        <v>38.879325444222857</v>
      </c>
      <c r="I136" s="19">
        <f t="shared" si="164"/>
        <v>32.608528260625313</v>
      </c>
      <c r="J136" s="30">
        <f t="shared" si="156"/>
        <v>45.827156552602183</v>
      </c>
      <c r="K136" s="30">
        <f t="shared" ref="K136:N136" si="176">J136*(1+($C136+K$62))</f>
        <v>56.822731150523623</v>
      </c>
      <c r="L136" s="30">
        <f t="shared" si="176"/>
        <v>70.514588699233812</v>
      </c>
      <c r="M136" s="30">
        <f t="shared" si="176"/>
        <v>87.444777597202076</v>
      </c>
      <c r="N136" s="30">
        <f t="shared" si="176"/>
        <v>108.4314250903853</v>
      </c>
      <c r="O136" s="102">
        <f t="shared" si="108"/>
        <v>0</v>
      </c>
      <c r="P136" s="102">
        <f t="shared" si="125"/>
        <v>0</v>
      </c>
      <c r="Q136" s="102">
        <f t="shared" si="110"/>
        <v>0</v>
      </c>
      <c r="R136" s="102">
        <f t="shared" si="167"/>
        <v>0</v>
      </c>
      <c r="S136" s="102">
        <f t="shared" si="167"/>
        <v>0</v>
      </c>
      <c r="U136" s="9" t="s">
        <v>3</v>
      </c>
      <c r="V136" s="9" t="s">
        <v>261</v>
      </c>
      <c r="W136" s="9" t="str">
        <v>WN138</v>
      </c>
      <c r="X136" t="s">
        <v>307</v>
      </c>
      <c r="Y136" s="28">
        <f t="shared" si="153"/>
        <v>28.173779897771958</v>
      </c>
      <c r="Z136" s="28">
        <f t="shared" si="138"/>
        <v>20.784573326782187</v>
      </c>
      <c r="AA136" s="28">
        <f t="shared" si="139"/>
        <v>35.214890286332299</v>
      </c>
      <c r="AB136" s="28">
        <f t="shared" si="140"/>
        <v>38.879325444222857</v>
      </c>
      <c r="AC136" s="28">
        <f t="shared" si="141"/>
        <v>32.608528260625313</v>
      </c>
      <c r="AD136" s="28">
        <f t="shared" si="142"/>
        <v>45.827156552602183</v>
      </c>
      <c r="AE136" s="28">
        <f t="shared" si="143"/>
        <v>56.822731150523623</v>
      </c>
      <c r="AF136" s="28">
        <f t="shared" si="144"/>
        <v>70.514588699233812</v>
      </c>
      <c r="AG136" s="28">
        <f t="shared" si="145"/>
        <v>87.444777597202076</v>
      </c>
      <c r="AH136" s="28">
        <f t="shared" si="146"/>
        <v>108.4314250903853</v>
      </c>
      <c r="AI136" s="28">
        <f t="shared" si="147"/>
        <v>0</v>
      </c>
      <c r="AJ136" s="28">
        <f t="shared" si="148"/>
        <v>0</v>
      </c>
      <c r="AK136" s="28">
        <f t="shared" si="149"/>
        <v>0</v>
      </c>
      <c r="AL136" s="28">
        <f t="shared" si="150"/>
        <v>0</v>
      </c>
      <c r="AM136" s="28">
        <f t="shared" si="151"/>
        <v>0</v>
      </c>
    </row>
    <row r="137" spans="1:39" ht="14.65" thickBot="1" x14ac:dyDescent="0.5">
      <c r="A137" s="9" t="str">
        <v>WX134</v>
      </c>
      <c r="B137" t="s">
        <v>308</v>
      </c>
      <c r="C137" s="25">
        <f>IF($B$2="Discounted",INDEX('Top Down inputs'!$D$50:$F$89,MATCH($A137,'Top Down inputs'!$A$50:$A$89,0),MATCH('Copper Weighted Price'!$B$105,'Top Down inputs'!$D$47:$F$47,0)),INDEX('Top Down inputs'!$D$5:$F$44,MATCH($A137,'Top Down inputs'!$A$5:$A$44,0),MATCH('Copper Weighted Price'!$B$105,'Top Down inputs'!$D$2:$F$2,0)))</f>
        <v>0.22</v>
      </c>
      <c r="D137" s="13">
        <f>IF($B$2="Headline",INDEX('Top Down inputs'!$J$5:$J$44,MATCH($A137,'Top Down inputs'!$H$5:$H$44,0)),INDEX('Top Down inputs'!$J$50:$J$89,MATCH($A137,'Top Down inputs'!$H$50:$H$89,0)))</f>
        <v>33.780700386211755</v>
      </c>
      <c r="E137" s="183">
        <f t="shared" si="104"/>
        <v>30.82996909151305</v>
      </c>
      <c r="F137" s="183">
        <f t="shared" si="164"/>
        <v>28.317983447398539</v>
      </c>
      <c r="G137" s="183">
        <f t="shared" si="164"/>
        <v>37.762647947589976</v>
      </c>
      <c r="H137" s="19">
        <f t="shared" si="164"/>
        <v>36.121227611053683</v>
      </c>
      <c r="I137" s="19">
        <f t="shared" si="164"/>
        <v>33.713914366721959</v>
      </c>
      <c r="J137" s="30">
        <f t="shared" si="156"/>
        <v>41.949659714806451</v>
      </c>
      <c r="K137" s="30">
        <f t="shared" ref="K137:N137" si="177">J137*(1+($C137+K$62))</f>
        <v>52.014884080671735</v>
      </c>
      <c r="L137" s="30">
        <f t="shared" si="177"/>
        <v>64.548255300697434</v>
      </c>
      <c r="M137" s="30">
        <f t="shared" si="177"/>
        <v>80.045958335402403</v>
      </c>
      <c r="N137" s="30">
        <f t="shared" si="177"/>
        <v>99.256897593287519</v>
      </c>
      <c r="O137" s="102">
        <f t="shared" si="108"/>
        <v>0</v>
      </c>
      <c r="P137" s="102">
        <f t="shared" si="125"/>
        <v>0</v>
      </c>
      <c r="Q137" s="102">
        <f t="shared" si="110"/>
        <v>0</v>
      </c>
      <c r="R137" s="102">
        <f t="shared" si="167"/>
        <v>0</v>
      </c>
      <c r="S137" s="102">
        <f t="shared" si="167"/>
        <v>0</v>
      </c>
      <c r="U137" s="9" t="s">
        <v>3</v>
      </c>
      <c r="V137" s="9" t="s">
        <v>261</v>
      </c>
      <c r="W137" s="9" t="str">
        <v>WX134</v>
      </c>
      <c r="X137" t="s">
        <v>308</v>
      </c>
      <c r="Y137" s="28">
        <f t="shared" si="153"/>
        <v>30.82996909151305</v>
      </c>
      <c r="Z137" s="28">
        <f t="shared" si="138"/>
        <v>28.317983447398539</v>
      </c>
      <c r="AA137" s="28">
        <f t="shared" si="139"/>
        <v>37.762647947589976</v>
      </c>
      <c r="AB137" s="28">
        <f t="shared" si="140"/>
        <v>36.121227611053683</v>
      </c>
      <c r="AC137" s="28">
        <f t="shared" si="141"/>
        <v>33.713914366721959</v>
      </c>
      <c r="AD137" s="28">
        <f t="shared" si="142"/>
        <v>41.949659714806451</v>
      </c>
      <c r="AE137" s="28">
        <f t="shared" si="143"/>
        <v>52.014884080671735</v>
      </c>
      <c r="AF137" s="28">
        <f t="shared" si="144"/>
        <v>64.548255300697434</v>
      </c>
      <c r="AG137" s="28">
        <f t="shared" si="145"/>
        <v>80.045958335402403</v>
      </c>
      <c r="AH137" s="28">
        <f t="shared" si="146"/>
        <v>99.256897593287519</v>
      </c>
      <c r="AI137" s="28">
        <f t="shared" si="147"/>
        <v>0</v>
      </c>
      <c r="AJ137" s="28">
        <f t="shared" si="148"/>
        <v>0</v>
      </c>
      <c r="AK137" s="28">
        <f t="shared" si="149"/>
        <v>0</v>
      </c>
      <c r="AL137" s="28">
        <f t="shared" si="150"/>
        <v>0</v>
      </c>
      <c r="AM137" s="28">
        <f t="shared" si="151"/>
        <v>0</v>
      </c>
    </row>
    <row r="138" spans="1:39" ht="14.65" thickBot="1" x14ac:dyDescent="0.5">
      <c r="A138" s="9" t="str">
        <v>SL121</v>
      </c>
      <c r="B138" t="s">
        <v>309</v>
      </c>
      <c r="C138" s="25">
        <f>IF($B$2="Discounted",INDEX('Top Down inputs'!$D$50:$F$89,MATCH($A138,'Top Down inputs'!$A$50:$A$89,0),MATCH('Copper Weighted Price'!$B$105,'Top Down inputs'!$D$47:$F$47,0)),INDEX('Top Down inputs'!$D$5:$F$44,MATCH($A138,'Top Down inputs'!$A$5:$A$44,0),MATCH('Copper Weighted Price'!$B$105,'Top Down inputs'!$D$2:$F$2,0)))</f>
        <v>-7.7499999999999999E-2</v>
      </c>
      <c r="D138" s="13">
        <f>IF($B$2="Headline",INDEX('Top Down inputs'!$J$5:$J$44,MATCH($A138,'Top Down inputs'!$H$5:$H$44,0)),INDEX('Top Down inputs'!$J$50:$J$89,MATCH($A138,'Top Down inputs'!$H$50:$H$89,0)))</f>
        <v>177.02226088708801</v>
      </c>
      <c r="E138" s="183">
        <f t="shared" si="104"/>
        <v>139.77560949312738</v>
      </c>
      <c r="F138" s="183">
        <f t="shared" si="164"/>
        <v>106.50753503040416</v>
      </c>
      <c r="G138" s="183">
        <f t="shared" si="164"/>
        <v>117.73571159088019</v>
      </c>
      <c r="H138" s="19">
        <f t="shared" si="164"/>
        <v>121.41766927478932</v>
      </c>
      <c r="I138" s="19">
        <f t="shared" si="164"/>
        <v>160.92508479937368</v>
      </c>
      <c r="J138" s="30">
        <f t="shared" si="156"/>
        <v>167.16623973080186</v>
      </c>
      <c r="K138" s="30">
        <f t="shared" ref="K138:N138" si="178">J138*(1+($C138+K$62))</f>
        <v>157.54344569557472</v>
      </c>
      <c r="L138" s="30">
        <f t="shared" si="178"/>
        <v>148.63552963465554</v>
      </c>
      <c r="M138" s="30">
        <f t="shared" si="178"/>
        <v>140.10308328812084</v>
      </c>
      <c r="N138" s="30">
        <f t="shared" si="178"/>
        <v>132.04699717380007</v>
      </c>
      <c r="O138" s="102">
        <f t="shared" si="108"/>
        <v>1282.0675398909893</v>
      </c>
      <c r="P138" s="102">
        <f t="shared" si="125"/>
        <v>1455.9318102119221</v>
      </c>
      <c r="Q138" s="102">
        <f t="shared" si="110"/>
        <v>0</v>
      </c>
      <c r="R138" s="102">
        <f t="shared" si="167"/>
        <v>0</v>
      </c>
      <c r="S138" s="102">
        <f t="shared" si="167"/>
        <v>0</v>
      </c>
      <c r="U138" s="9" t="s">
        <v>275</v>
      </c>
      <c r="V138" s="9" t="s">
        <v>261</v>
      </c>
      <c r="W138" s="9" t="str">
        <v>SL121</v>
      </c>
      <c r="X138" t="s">
        <v>309</v>
      </c>
      <c r="Y138" s="28">
        <f t="shared" si="153"/>
        <v>139.77560949312738</v>
      </c>
      <c r="Z138" s="28">
        <f t="shared" si="138"/>
        <v>106.50753503040416</v>
      </c>
      <c r="AA138" s="28">
        <f t="shared" si="139"/>
        <v>117.73571159088019</v>
      </c>
      <c r="AB138" s="28">
        <f t="shared" si="140"/>
        <v>121.41766927478932</v>
      </c>
      <c r="AC138" s="28">
        <f t="shared" si="141"/>
        <v>160.92508479937368</v>
      </c>
      <c r="AD138" s="28">
        <f t="shared" si="142"/>
        <v>167.16623973080186</v>
      </c>
      <c r="AE138" s="28">
        <f t="shared" si="143"/>
        <v>157.54344569557472</v>
      </c>
      <c r="AF138" s="28">
        <f t="shared" si="144"/>
        <v>148.63552963465554</v>
      </c>
      <c r="AG138" s="28">
        <f t="shared" si="145"/>
        <v>140.10308328812084</v>
      </c>
      <c r="AH138" s="28">
        <f t="shared" si="146"/>
        <v>132.04699717380007</v>
      </c>
      <c r="AI138" s="28">
        <f t="shared" si="147"/>
        <v>1282.0675398909893</v>
      </c>
      <c r="AJ138" s="28">
        <f t="shared" si="148"/>
        <v>1455.9318102119221</v>
      </c>
      <c r="AK138" s="28">
        <f t="shared" si="149"/>
        <v>0</v>
      </c>
      <c r="AL138" s="28">
        <f t="shared" si="150"/>
        <v>0</v>
      </c>
      <c r="AM138" s="28">
        <f t="shared" si="151"/>
        <v>0</v>
      </c>
    </row>
    <row r="139" spans="1:39" ht="14.65" thickBot="1" x14ac:dyDescent="0.5">
      <c r="A139" s="9" t="str">
        <v>SL122</v>
      </c>
      <c r="B139" t="s">
        <v>310</v>
      </c>
      <c r="C139" s="25">
        <f>IF($B$2="Discounted",INDEX('Top Down inputs'!$D$50:$F$89,MATCH($A139,'Top Down inputs'!$A$50:$A$89,0),MATCH('Copper Weighted Price'!$B$105,'Top Down inputs'!$D$47:$F$47,0)),INDEX('Top Down inputs'!$D$5:$F$44,MATCH($A139,'Top Down inputs'!$A$5:$A$44,0),MATCH('Copper Weighted Price'!$B$105,'Top Down inputs'!$D$2:$F$2,0)))</f>
        <v>-7.7499999999999999E-2</v>
      </c>
      <c r="D139" s="13">
        <f>IF($B$2="Headline",INDEX('Top Down inputs'!$J$5:$J$44,MATCH($A139,'Top Down inputs'!$H$5:$H$44,0)),INDEX('Top Down inputs'!$J$50:$J$89,MATCH($A139,'Top Down inputs'!$H$50:$H$89,0)))</f>
        <v>108.86685334062551</v>
      </c>
      <c r="E139" s="183">
        <f t="shared" si="104"/>
        <v>77.151641489501145</v>
      </c>
      <c r="F139" s="183">
        <f t="shared" si="164"/>
        <v>119.16353890930178</v>
      </c>
      <c r="G139" s="183">
        <f t="shared" si="164"/>
        <v>125.79071662287359</v>
      </c>
      <c r="H139" s="19">
        <f t="shared" si="164"/>
        <v>101.0470379752699</v>
      </c>
      <c r="I139" s="19">
        <f t="shared" si="164"/>
        <v>139.33147102653632</v>
      </c>
      <c r="J139" s="30">
        <f t="shared" si="156"/>
        <v>102.80550261351044</v>
      </c>
      <c r="K139" s="30">
        <f t="shared" ref="K139:N139" si="179">J139*(1+($C139+K$62))</f>
        <v>96.887584145457865</v>
      </c>
      <c r="L139" s="30">
        <f t="shared" si="179"/>
        <v>91.40930821273065</v>
      </c>
      <c r="M139" s="30">
        <f t="shared" si="179"/>
        <v>86.161942257793271</v>
      </c>
      <c r="N139" s="30">
        <f t="shared" si="179"/>
        <v>81.207532902087308</v>
      </c>
      <c r="O139" s="102">
        <f t="shared" si="108"/>
        <v>1287.6763586820132</v>
      </c>
      <c r="P139" s="102">
        <f t="shared" si="125"/>
        <v>1462.3012544428088</v>
      </c>
      <c r="Q139" s="102">
        <f t="shared" si="110"/>
        <v>0</v>
      </c>
      <c r="R139" s="102">
        <f t="shared" si="167"/>
        <v>0</v>
      </c>
      <c r="S139" s="102">
        <f t="shared" si="167"/>
        <v>0</v>
      </c>
      <c r="U139" s="9" t="s">
        <v>275</v>
      </c>
      <c r="V139" s="9" t="s">
        <v>261</v>
      </c>
      <c r="W139" s="9" t="str">
        <v>SL122</v>
      </c>
      <c r="X139" t="s">
        <v>310</v>
      </c>
      <c r="Y139" s="28">
        <f t="shared" si="153"/>
        <v>77.151641489501145</v>
      </c>
      <c r="Z139" s="28">
        <f t="shared" si="138"/>
        <v>119.16353890930178</v>
      </c>
      <c r="AA139" s="28">
        <f t="shared" si="139"/>
        <v>125.79071662287359</v>
      </c>
      <c r="AB139" s="28">
        <f t="shared" si="140"/>
        <v>101.0470379752699</v>
      </c>
      <c r="AC139" s="28">
        <f t="shared" si="141"/>
        <v>139.33147102653632</v>
      </c>
      <c r="AD139" s="28">
        <f t="shared" si="142"/>
        <v>102.80550261351044</v>
      </c>
      <c r="AE139" s="28">
        <f t="shared" si="143"/>
        <v>96.887584145457865</v>
      </c>
      <c r="AF139" s="28">
        <f t="shared" si="144"/>
        <v>91.40930821273065</v>
      </c>
      <c r="AG139" s="28">
        <f t="shared" si="145"/>
        <v>86.161942257793271</v>
      </c>
      <c r="AH139" s="28">
        <f t="shared" si="146"/>
        <v>81.207532902087308</v>
      </c>
      <c r="AI139" s="28">
        <f t="shared" si="147"/>
        <v>1287.6763586820132</v>
      </c>
      <c r="AJ139" s="28">
        <f t="shared" si="148"/>
        <v>1462.3012544428088</v>
      </c>
      <c r="AK139" s="28">
        <f t="shared" si="149"/>
        <v>0</v>
      </c>
      <c r="AL139" s="28">
        <f t="shared" si="150"/>
        <v>0</v>
      </c>
      <c r="AM139" s="28">
        <f t="shared" si="151"/>
        <v>0</v>
      </c>
    </row>
    <row r="140" spans="1:39" ht="14.65" thickBot="1" x14ac:dyDescent="0.5">
      <c r="A140" s="9" t="str">
        <v>SL150</v>
      </c>
      <c r="B140" t="s">
        <v>311</v>
      </c>
      <c r="C140" s="25">
        <f>IF($B$2="Discounted",INDEX('Top Down inputs'!$D$50:$F$89,MATCH($A140,'Top Down inputs'!$A$50:$A$89,0),MATCH('Copper Weighted Price'!$B$105,'Top Down inputs'!$D$47:$F$47,0)),INDEX('Top Down inputs'!$D$5:$F$44,MATCH($A140,'Top Down inputs'!$A$5:$A$44,0),MATCH('Copper Weighted Price'!$B$105,'Top Down inputs'!$D$2:$F$2,0)))</f>
        <v>-7.7499999999999999E-2</v>
      </c>
      <c r="D140" s="13">
        <f>IF($B$2="Headline",INDEX('Top Down inputs'!$J$5:$J$44,MATCH($A140,'Top Down inputs'!$H$5:$H$44,0)),INDEX('Top Down inputs'!$J$50:$J$89,MATCH($A140,'Top Down inputs'!$H$50:$H$89,0)))</f>
        <v>175.44301879380498</v>
      </c>
      <c r="E140" s="183">
        <f t="shared" si="104"/>
        <v>116.88318523763766</v>
      </c>
      <c r="F140" s="183">
        <f t="shared" si="164"/>
        <v>118.30062978770599</v>
      </c>
      <c r="G140" s="183">
        <f t="shared" si="164"/>
        <v>114.66526632763443</v>
      </c>
      <c r="H140" s="19">
        <f t="shared" si="164"/>
        <v>167.51184256730423</v>
      </c>
      <c r="I140" s="19">
        <f t="shared" si="164"/>
        <v>125.07266408969942</v>
      </c>
      <c r="J140" s="30">
        <f t="shared" si="156"/>
        <v>165.67492467790515</v>
      </c>
      <c r="K140" s="30">
        <f t="shared" ref="K140:N140" si="180">J140*(1+($C140+K$62))</f>
        <v>156.13797702899842</v>
      </c>
      <c r="L140" s="30">
        <f t="shared" si="180"/>
        <v>147.30952982095874</v>
      </c>
      <c r="M140" s="30">
        <f t="shared" si="180"/>
        <v>138.85320270576591</v>
      </c>
      <c r="N140" s="30">
        <f t="shared" si="180"/>
        <v>130.8689861418344</v>
      </c>
      <c r="O140" s="102">
        <f t="shared" si="108"/>
        <v>1350.8751413696671</v>
      </c>
      <c r="P140" s="102">
        <f t="shared" si="125"/>
        <v>1534.0705764314532</v>
      </c>
      <c r="Q140" s="102">
        <f t="shared" si="110"/>
        <v>0</v>
      </c>
      <c r="R140" s="102">
        <f t="shared" si="167"/>
        <v>0</v>
      </c>
      <c r="S140" s="102">
        <f t="shared" si="167"/>
        <v>0</v>
      </c>
      <c r="U140" s="9" t="s">
        <v>275</v>
      </c>
      <c r="V140" s="9" t="s">
        <v>261</v>
      </c>
      <c r="W140" s="9" t="str">
        <v>SL150</v>
      </c>
      <c r="X140" t="s">
        <v>311</v>
      </c>
      <c r="Y140" s="28">
        <f t="shared" si="153"/>
        <v>116.88318523763766</v>
      </c>
      <c r="Z140" s="28">
        <f t="shared" si="138"/>
        <v>118.30062978770599</v>
      </c>
      <c r="AA140" s="28">
        <f t="shared" si="139"/>
        <v>114.66526632763443</v>
      </c>
      <c r="AB140" s="28">
        <f t="shared" si="140"/>
        <v>167.51184256730423</v>
      </c>
      <c r="AC140" s="28">
        <f t="shared" si="141"/>
        <v>125.07266408969942</v>
      </c>
      <c r="AD140" s="28">
        <f t="shared" si="142"/>
        <v>165.67492467790515</v>
      </c>
      <c r="AE140" s="28">
        <f t="shared" si="143"/>
        <v>156.13797702899842</v>
      </c>
      <c r="AF140" s="28">
        <f t="shared" si="144"/>
        <v>147.30952982095874</v>
      </c>
      <c r="AG140" s="28">
        <f t="shared" si="145"/>
        <v>138.85320270576591</v>
      </c>
      <c r="AH140" s="28">
        <f t="shared" si="146"/>
        <v>130.8689861418344</v>
      </c>
      <c r="AI140" s="28">
        <f t="shared" si="147"/>
        <v>1350.8751413696671</v>
      </c>
      <c r="AJ140" s="28">
        <f t="shared" si="148"/>
        <v>1534.0705764314532</v>
      </c>
      <c r="AK140" s="28">
        <f t="shared" si="149"/>
        <v>0</v>
      </c>
      <c r="AL140" s="28">
        <f t="shared" si="150"/>
        <v>0</v>
      </c>
      <c r="AM140" s="28">
        <f t="shared" si="151"/>
        <v>0</v>
      </c>
    </row>
    <row r="141" spans="1:39" ht="14.65" thickBot="1" x14ac:dyDescent="0.5">
      <c r="A141" s="9" t="str">
        <v>SL151</v>
      </c>
      <c r="B141" t="s">
        <v>312</v>
      </c>
      <c r="C141" s="25">
        <f>IF($B$2="Discounted",INDEX('Top Down inputs'!$D$50:$F$89,MATCH($A141,'Top Down inputs'!$A$50:$A$89,0),MATCH('Copper Weighted Price'!$B$105,'Top Down inputs'!$D$47:$F$47,0)),INDEX('Top Down inputs'!$D$5:$F$44,MATCH($A141,'Top Down inputs'!$A$5:$A$44,0),MATCH('Copper Weighted Price'!$B$105,'Top Down inputs'!$D$2:$F$2,0)))</f>
        <v>-7.7499999999999999E-2</v>
      </c>
      <c r="D141" s="13">
        <f>IF($B$2="Headline",INDEX('Top Down inputs'!$J$5:$J$44,MATCH($A141,'Top Down inputs'!$H$5:$H$44,0)),INDEX('Top Down inputs'!$J$50:$J$89,MATCH($A141,'Top Down inputs'!$H$50:$H$89,0)))</f>
        <v>148.86055769458213</v>
      </c>
      <c r="E141" s="183">
        <f t="shared" si="104"/>
        <v>77.591048142416369</v>
      </c>
      <c r="F141" s="183">
        <f t="shared" si="164"/>
        <v>87.145226603104348</v>
      </c>
      <c r="G141" s="183">
        <f t="shared" si="164"/>
        <v>107.66663912228933</v>
      </c>
      <c r="H141" s="19">
        <f t="shared" si="164"/>
        <v>123.03864418355158</v>
      </c>
      <c r="I141" s="19">
        <f t="shared" si="164"/>
        <v>141.77943619531189</v>
      </c>
      <c r="J141" s="30">
        <f t="shared" si="156"/>
        <v>140.57248816805983</v>
      </c>
      <c r="K141" s="30">
        <f t="shared" ref="K141:N141" si="181">J141*(1+($C141+K$62))</f>
        <v>132.48054267213325</v>
      </c>
      <c r="L141" s="30">
        <f t="shared" si="181"/>
        <v>124.98974831621462</v>
      </c>
      <c r="M141" s="30">
        <f t="shared" si="181"/>
        <v>117.81469182739028</v>
      </c>
      <c r="N141" s="30">
        <f t="shared" si="181"/>
        <v>111.04021348888182</v>
      </c>
      <c r="O141" s="102">
        <f t="shared" si="108"/>
        <v>1248.0114538041746</v>
      </c>
      <c r="P141" s="102">
        <f t="shared" si="125"/>
        <v>1417.2572961770954</v>
      </c>
      <c r="Q141" s="102">
        <f t="shared" si="110"/>
        <v>0</v>
      </c>
      <c r="R141" s="102">
        <f t="shared" si="167"/>
        <v>0</v>
      </c>
      <c r="S141" s="102">
        <f t="shared" si="167"/>
        <v>0</v>
      </c>
      <c r="U141" s="9" t="s">
        <v>275</v>
      </c>
      <c r="V141" s="9" t="s">
        <v>261</v>
      </c>
      <c r="W141" s="9" t="str">
        <v>SL151</v>
      </c>
      <c r="X141" t="s">
        <v>312</v>
      </c>
      <c r="Y141" s="28">
        <f t="shared" si="153"/>
        <v>77.591048142416369</v>
      </c>
      <c r="Z141" s="28">
        <f t="shared" si="138"/>
        <v>87.145226603104348</v>
      </c>
      <c r="AA141" s="28">
        <f t="shared" si="139"/>
        <v>107.66663912228933</v>
      </c>
      <c r="AB141" s="28">
        <f t="shared" si="140"/>
        <v>123.03864418355158</v>
      </c>
      <c r="AC141" s="28">
        <f t="shared" si="141"/>
        <v>141.77943619531189</v>
      </c>
      <c r="AD141" s="28">
        <f t="shared" si="142"/>
        <v>140.57248816805983</v>
      </c>
      <c r="AE141" s="28">
        <f t="shared" si="143"/>
        <v>132.48054267213325</v>
      </c>
      <c r="AF141" s="28">
        <f t="shared" si="144"/>
        <v>124.98974831621462</v>
      </c>
      <c r="AG141" s="28">
        <f t="shared" si="145"/>
        <v>117.81469182739028</v>
      </c>
      <c r="AH141" s="28">
        <f t="shared" si="146"/>
        <v>111.04021348888182</v>
      </c>
      <c r="AI141" s="28">
        <f t="shared" si="147"/>
        <v>1248.0114538041746</v>
      </c>
      <c r="AJ141" s="28">
        <f t="shared" si="148"/>
        <v>1417.2572961770954</v>
      </c>
      <c r="AK141" s="28">
        <f t="shared" si="149"/>
        <v>0</v>
      </c>
      <c r="AL141" s="28">
        <f t="shared" si="150"/>
        <v>0</v>
      </c>
      <c r="AM141" s="28">
        <f t="shared" si="151"/>
        <v>0</v>
      </c>
    </row>
    <row r="142" spans="1:39" ht="14.65" thickBot="1" x14ac:dyDescent="0.5">
      <c r="A142" s="9" t="str">
        <v>SL111</v>
      </c>
      <c r="B142" t="s">
        <v>313</v>
      </c>
      <c r="C142" s="25">
        <f>IF($B$2="Discounted",INDEX('Top Down inputs'!$D$50:$F$89,MATCH($A142,'Top Down inputs'!$A$50:$A$89,0),MATCH('Copper Weighted Price'!$B$105,'Top Down inputs'!$D$47:$F$47,0)),INDEX('Top Down inputs'!$D$5:$F$44,MATCH($A142,'Top Down inputs'!$A$5:$A$44,0),MATCH('Copper Weighted Price'!$B$105,'Top Down inputs'!$D$2:$F$2,0)))</f>
        <v>-7.7499999999999999E-2</v>
      </c>
      <c r="D142" s="13">
        <f>IF($B$2="Headline",INDEX('Top Down inputs'!$J$5:$J$44,MATCH($A142,'Top Down inputs'!$H$5:$H$44,0)),INDEX('Top Down inputs'!$J$50:$J$89,MATCH($A142,'Top Down inputs'!$H$50:$H$89,0)))</f>
        <v>107.08785148909189</v>
      </c>
      <c r="E142" s="183">
        <f t="shared" si="104"/>
        <v>32.4465314495474</v>
      </c>
      <c r="F142" s="183">
        <f t="shared" si="164"/>
        <v>73.825060599802697</v>
      </c>
      <c r="G142" s="183">
        <f t="shared" si="164"/>
        <v>81.71202707495685</v>
      </c>
      <c r="H142" s="19">
        <f t="shared" si="164"/>
        <v>71.871665095799841</v>
      </c>
      <c r="I142" s="19">
        <f t="shared" si="164"/>
        <v>95.607057290980478</v>
      </c>
      <c r="J142" s="30">
        <f t="shared" si="156"/>
        <v>101.12554977308945</v>
      </c>
      <c r="K142" s="30">
        <f t="shared" ref="K142:N142" si="182">J142*(1+($C142+K$62))</f>
        <v>95.304336478272205</v>
      </c>
      <c r="L142" s="30">
        <f t="shared" si="182"/>
        <v>89.915581485376336</v>
      </c>
      <c r="M142" s="30">
        <f t="shared" si="182"/>
        <v>84.753963152080047</v>
      </c>
      <c r="N142" s="30">
        <f t="shared" si="182"/>
        <v>79.880514191081915</v>
      </c>
      <c r="O142" s="102">
        <f t="shared" si="108"/>
        <v>0</v>
      </c>
      <c r="P142" s="102">
        <f t="shared" si="125"/>
        <v>0</v>
      </c>
      <c r="Q142" s="102">
        <f t="shared" si="110"/>
        <v>0</v>
      </c>
      <c r="R142" s="102">
        <f t="shared" si="167"/>
        <v>0</v>
      </c>
      <c r="S142" s="102">
        <f t="shared" si="167"/>
        <v>0</v>
      </c>
      <c r="U142" s="9" t="s">
        <v>3</v>
      </c>
      <c r="V142" s="9" t="s">
        <v>261</v>
      </c>
      <c r="W142" s="9" t="str">
        <v>SL111</v>
      </c>
      <c r="X142" t="s">
        <v>313</v>
      </c>
      <c r="Y142" s="28">
        <f t="shared" si="153"/>
        <v>32.4465314495474</v>
      </c>
      <c r="Z142" s="28">
        <f t="shared" si="138"/>
        <v>73.825060599802697</v>
      </c>
      <c r="AA142" s="28">
        <f t="shared" si="139"/>
        <v>81.71202707495685</v>
      </c>
      <c r="AB142" s="28">
        <f t="shared" si="140"/>
        <v>71.871665095799841</v>
      </c>
      <c r="AC142" s="28">
        <f t="shared" si="141"/>
        <v>95.607057290980478</v>
      </c>
      <c r="AD142" s="28">
        <f t="shared" si="142"/>
        <v>101.12554977308945</v>
      </c>
      <c r="AE142" s="28">
        <f t="shared" si="143"/>
        <v>95.304336478272205</v>
      </c>
      <c r="AF142" s="28">
        <f t="shared" si="144"/>
        <v>89.915581485376336</v>
      </c>
      <c r="AG142" s="28">
        <f t="shared" si="145"/>
        <v>84.753963152080047</v>
      </c>
      <c r="AH142" s="28">
        <f t="shared" si="146"/>
        <v>79.880514191081915</v>
      </c>
      <c r="AI142" s="28">
        <f t="shared" si="147"/>
        <v>0</v>
      </c>
      <c r="AJ142" s="28">
        <f t="shared" si="148"/>
        <v>0</v>
      </c>
      <c r="AK142" s="28">
        <f t="shared" si="149"/>
        <v>0</v>
      </c>
      <c r="AL142" s="28">
        <f t="shared" si="150"/>
        <v>0</v>
      </c>
      <c r="AM142" s="28">
        <f t="shared" si="151"/>
        <v>0</v>
      </c>
    </row>
    <row r="143" spans="1:39" ht="14.65" thickBot="1" x14ac:dyDescent="0.5">
      <c r="A143" s="9" t="str">
        <v>SL112</v>
      </c>
      <c r="B143" t="s">
        <v>314</v>
      </c>
      <c r="C143" s="25">
        <f>IF($B$2="Discounted",INDEX('Top Down inputs'!$D$50:$F$89,MATCH($A143,'Top Down inputs'!$A$50:$A$89,0),MATCH('Copper Weighted Price'!$B$105,'Top Down inputs'!$D$47:$F$47,0)),INDEX('Top Down inputs'!$D$5:$F$44,MATCH($A143,'Top Down inputs'!$A$5:$A$44,0),MATCH('Copper Weighted Price'!$B$105,'Top Down inputs'!$D$2:$F$2,0)))</f>
        <v>-7.7499999999999999E-2</v>
      </c>
      <c r="D143" s="13">
        <f>IF($B$2="Headline",INDEX('Top Down inputs'!$J$5:$J$44,MATCH($A143,'Top Down inputs'!$H$5:$H$44,0)),INDEX('Top Down inputs'!$J$50:$J$89,MATCH($A143,'Top Down inputs'!$H$50:$H$89,0)))</f>
        <v>29.702573594346283</v>
      </c>
      <c r="E143" s="183">
        <f t="shared" si="104"/>
        <v>38.530750326863412</v>
      </c>
      <c r="F143" s="183">
        <f t="shared" si="164"/>
        <v>56.080141297430487</v>
      </c>
      <c r="G143" s="183">
        <f t="shared" si="164"/>
        <v>62.243685177793864</v>
      </c>
      <c r="H143" s="19">
        <f t="shared" si="164"/>
        <v>39.103529865147479</v>
      </c>
      <c r="I143" s="19">
        <f t="shared" si="164"/>
        <v>33.977113774545415</v>
      </c>
      <c r="J143" s="30">
        <f t="shared" si="156"/>
        <v>28.048831334615738</v>
      </c>
      <c r="K143" s="30">
        <f t="shared" ref="K143:N143" si="183">J143*(1+($C143+K$62))</f>
        <v>26.434222264647531</v>
      </c>
      <c r="L143" s="30">
        <f t="shared" si="183"/>
        <v>24.939562604072545</v>
      </c>
      <c r="M143" s="30">
        <f t="shared" si="183"/>
        <v>23.507903024775853</v>
      </c>
      <c r="N143" s="30">
        <f t="shared" si="183"/>
        <v>22.156171951554327</v>
      </c>
      <c r="O143" s="102">
        <f t="shared" si="108"/>
        <v>0</v>
      </c>
      <c r="P143" s="102">
        <f t="shared" si="125"/>
        <v>0</v>
      </c>
      <c r="Q143" s="102">
        <f t="shared" si="110"/>
        <v>0</v>
      </c>
      <c r="R143" s="102">
        <f t="shared" si="167"/>
        <v>0</v>
      </c>
      <c r="S143" s="102">
        <f t="shared" si="167"/>
        <v>0</v>
      </c>
      <c r="U143" s="9" t="s">
        <v>3</v>
      </c>
      <c r="V143" s="9" t="s">
        <v>261</v>
      </c>
      <c r="W143" s="9" t="str">
        <v>SL112</v>
      </c>
      <c r="X143" t="s">
        <v>314</v>
      </c>
      <c r="Y143" s="28">
        <f t="shared" si="153"/>
        <v>38.530750326863412</v>
      </c>
      <c r="Z143" s="28">
        <f t="shared" si="138"/>
        <v>56.080141297430487</v>
      </c>
      <c r="AA143" s="28">
        <f t="shared" si="139"/>
        <v>62.243685177793864</v>
      </c>
      <c r="AB143" s="28">
        <f t="shared" si="140"/>
        <v>39.103529865147479</v>
      </c>
      <c r="AC143" s="28">
        <f t="shared" si="141"/>
        <v>33.977113774545415</v>
      </c>
      <c r="AD143" s="28">
        <f t="shared" si="142"/>
        <v>28.048831334615738</v>
      </c>
      <c r="AE143" s="28">
        <f t="shared" si="143"/>
        <v>26.434222264647531</v>
      </c>
      <c r="AF143" s="28">
        <f t="shared" si="144"/>
        <v>24.939562604072545</v>
      </c>
      <c r="AG143" s="28">
        <f t="shared" si="145"/>
        <v>23.507903024775853</v>
      </c>
      <c r="AH143" s="28">
        <f t="shared" si="146"/>
        <v>22.156171951554327</v>
      </c>
      <c r="AI143" s="28">
        <f t="shared" si="147"/>
        <v>0</v>
      </c>
      <c r="AJ143" s="28">
        <f t="shared" si="148"/>
        <v>0</v>
      </c>
      <c r="AK143" s="28">
        <f t="shared" si="149"/>
        <v>0</v>
      </c>
      <c r="AL143" s="28">
        <f t="shared" si="150"/>
        <v>0</v>
      </c>
      <c r="AM143" s="28">
        <f t="shared" si="151"/>
        <v>0</v>
      </c>
    </row>
    <row r="144" spans="1:39" ht="14.65" thickBot="1" x14ac:dyDescent="0.5">
      <c r="A144" s="9" t="str">
        <v>SL140</v>
      </c>
      <c r="B144" t="s">
        <v>315</v>
      </c>
      <c r="C144" s="25">
        <f>IF($B$2="Discounted",INDEX('Top Down inputs'!$D$50:$F$89,MATCH($A144,'Top Down inputs'!$A$50:$A$89,0),MATCH('Copper Weighted Price'!$B$105,'Top Down inputs'!$D$47:$F$47,0)),INDEX('Top Down inputs'!$D$5:$F$44,MATCH($A144,'Top Down inputs'!$A$5:$A$44,0),MATCH('Copper Weighted Price'!$B$105,'Top Down inputs'!$D$2:$F$2,0)))</f>
        <v>-7.7499999999999999E-2</v>
      </c>
      <c r="D144" s="13">
        <f>IF($B$2="Headline",INDEX('Top Down inputs'!$J$5:$J$44,MATCH($A144,'Top Down inputs'!$H$5:$H$44,0)),INDEX('Top Down inputs'!$J$50:$J$89,MATCH($A144,'Top Down inputs'!$H$50:$H$89,0)))</f>
        <v>44.266012163056857</v>
      </c>
      <c r="E144" s="183">
        <f t="shared" si="104"/>
        <v>38.598923357464614</v>
      </c>
      <c r="F144" s="183">
        <f t="shared" si="164"/>
        <v>52.905294855247334</v>
      </c>
      <c r="G144" s="183">
        <f t="shared" si="164"/>
        <v>50.227283250017997</v>
      </c>
      <c r="H144" s="19">
        <f t="shared" si="164"/>
        <v>50.951403834171202</v>
      </c>
      <c r="I144" s="19">
        <f t="shared" si="164"/>
        <v>33.438495427051549</v>
      </c>
      <c r="J144" s="30">
        <f t="shared" si="156"/>
        <v>41.801425222424633</v>
      </c>
      <c r="K144" s="30">
        <f t="shared" ref="K144:N144" si="184">J144*(1+($C144+K$62))</f>
        <v>39.395158825919552</v>
      </c>
      <c r="L144" s="30">
        <f t="shared" si="184"/>
        <v>37.167654111404296</v>
      </c>
      <c r="M144" s="30">
        <f t="shared" si="184"/>
        <v>35.034038983772149</v>
      </c>
      <c r="N144" s="30">
        <f t="shared" si="184"/>
        <v>33.019542026518742</v>
      </c>
      <c r="O144" s="102">
        <f t="shared" si="108"/>
        <v>0</v>
      </c>
      <c r="P144" s="102">
        <f t="shared" si="125"/>
        <v>0</v>
      </c>
      <c r="Q144" s="102">
        <f t="shared" si="110"/>
        <v>0</v>
      </c>
      <c r="R144" s="102">
        <f t="shared" si="167"/>
        <v>0</v>
      </c>
      <c r="S144" s="102">
        <f t="shared" si="167"/>
        <v>0</v>
      </c>
      <c r="U144" s="9" t="s">
        <v>3</v>
      </c>
      <c r="V144" s="9" t="s">
        <v>261</v>
      </c>
      <c r="W144" s="9" t="str">
        <v>SL140</v>
      </c>
      <c r="X144" t="s">
        <v>315</v>
      </c>
      <c r="Y144" s="28">
        <f>E144</f>
        <v>38.598923357464614</v>
      </c>
      <c r="Z144" s="28">
        <f t="shared" si="138"/>
        <v>52.905294855247334</v>
      </c>
      <c r="AA144" s="28">
        <f t="shared" si="139"/>
        <v>50.227283250017997</v>
      </c>
      <c r="AB144" s="28">
        <f t="shared" si="140"/>
        <v>50.951403834171202</v>
      </c>
      <c r="AC144" s="28">
        <f t="shared" si="141"/>
        <v>33.438495427051549</v>
      </c>
      <c r="AD144" s="28">
        <f t="shared" si="142"/>
        <v>41.801425222424633</v>
      </c>
      <c r="AE144" s="28">
        <f t="shared" si="143"/>
        <v>39.395158825919552</v>
      </c>
      <c r="AF144" s="28">
        <f t="shared" si="144"/>
        <v>37.167654111404296</v>
      </c>
      <c r="AG144" s="28">
        <f t="shared" si="145"/>
        <v>35.034038983772149</v>
      </c>
      <c r="AH144" s="28">
        <f t="shared" si="146"/>
        <v>33.019542026518742</v>
      </c>
      <c r="AI144" s="28">
        <f t="shared" si="147"/>
        <v>0</v>
      </c>
      <c r="AJ144" s="28">
        <f t="shared" si="148"/>
        <v>0</v>
      </c>
      <c r="AK144" s="28">
        <f t="shared" si="149"/>
        <v>0</v>
      </c>
      <c r="AL144" s="28">
        <f t="shared" si="150"/>
        <v>0</v>
      </c>
      <c r="AM144" s="28">
        <f t="shared" si="151"/>
        <v>0</v>
      </c>
    </row>
    <row r="145" spans="1:39" x14ac:dyDescent="0.45">
      <c r="A145" s="9" t="str">
        <v>SL144</v>
      </c>
      <c r="B145" t="s">
        <v>316</v>
      </c>
      <c r="C145" s="25">
        <f>IF($B$2="Discounted",INDEX('Top Down inputs'!$D$50:$F$89,MATCH($A145,'Top Down inputs'!$A$50:$A$89,0),MATCH('Copper Weighted Price'!$B$105,'Top Down inputs'!$D$47:$F$47,0)),INDEX('Top Down inputs'!$D$5:$F$44,MATCH($A145,'Top Down inputs'!$A$5:$A$44,0),MATCH('Copper Weighted Price'!$B$105,'Top Down inputs'!$D$2:$F$2,0)))</f>
        <v>-7.7499999999999999E-2</v>
      </c>
      <c r="D145" s="13">
        <f>IF($B$2="Headline",INDEX('Top Down inputs'!$J$5:$J$44,MATCH($A145,'Top Down inputs'!$H$5:$H$44,0)),INDEX('Top Down inputs'!$J$50:$J$89,MATCH($A145,'Top Down inputs'!$H$50:$H$89,0)))</f>
        <v>81.194323027702026</v>
      </c>
      <c r="E145" s="183">
        <f t="shared" si="104"/>
        <v>41.750676448128331</v>
      </c>
      <c r="F145" s="183">
        <f t="shared" si="164"/>
        <v>69.116814415746404</v>
      </c>
      <c r="G145" s="183">
        <f t="shared" si="164"/>
        <v>69.792192688992287</v>
      </c>
      <c r="H145" s="19">
        <f t="shared" si="164"/>
        <v>96.208004969468064</v>
      </c>
      <c r="I145" s="19">
        <f t="shared" si="164"/>
        <v>80.275819394120987</v>
      </c>
      <c r="J145" s="30">
        <f t="shared" si="156"/>
        <v>76.673688382538415</v>
      </c>
      <c r="K145" s="30">
        <f t="shared" ref="K145:N145" si="185">J145*(1+($C145+K$62))</f>
        <v>72.260027392050716</v>
      </c>
      <c r="L145" s="30">
        <f t="shared" si="185"/>
        <v>68.174257554237727</v>
      </c>
      <c r="M145" s="30">
        <f t="shared" si="185"/>
        <v>64.260703397797698</v>
      </c>
      <c r="N145" s="30">
        <f t="shared" si="185"/>
        <v>60.565640104473452</v>
      </c>
      <c r="O145" s="102">
        <f t="shared" si="108"/>
        <v>0</v>
      </c>
      <c r="P145" s="102">
        <f t="shared" si="125"/>
        <v>0</v>
      </c>
      <c r="Q145" s="102">
        <f t="shared" si="110"/>
        <v>0</v>
      </c>
      <c r="R145" s="102">
        <f t="shared" si="167"/>
        <v>0</v>
      </c>
      <c r="S145" s="102">
        <f t="shared" si="167"/>
        <v>0</v>
      </c>
      <c r="U145" s="9" t="s">
        <v>3</v>
      </c>
      <c r="V145" s="9" t="s">
        <v>261</v>
      </c>
      <c r="W145" s="9" t="str">
        <v>SL144</v>
      </c>
      <c r="X145" t="s">
        <v>316</v>
      </c>
      <c r="Y145" s="28">
        <f t="shared" ref="Y145" si="186">E145</f>
        <v>41.750676448128331</v>
      </c>
      <c r="Z145" s="28">
        <f t="shared" si="138"/>
        <v>69.116814415746404</v>
      </c>
      <c r="AA145" s="28">
        <f t="shared" si="139"/>
        <v>69.792192688992287</v>
      </c>
      <c r="AB145" s="28">
        <f t="shared" si="140"/>
        <v>96.208004969468064</v>
      </c>
      <c r="AC145" s="28">
        <f t="shared" si="141"/>
        <v>80.275819394120987</v>
      </c>
      <c r="AD145" s="28">
        <f t="shared" si="142"/>
        <v>76.673688382538415</v>
      </c>
      <c r="AE145" s="28">
        <f t="shared" si="143"/>
        <v>72.260027392050716</v>
      </c>
      <c r="AF145" s="28">
        <f t="shared" si="144"/>
        <v>68.174257554237727</v>
      </c>
      <c r="AG145" s="28">
        <f t="shared" si="145"/>
        <v>64.260703397797698</v>
      </c>
      <c r="AH145" s="28">
        <f t="shared" si="146"/>
        <v>60.565640104473452</v>
      </c>
      <c r="AI145" s="28">
        <f t="shared" si="147"/>
        <v>0</v>
      </c>
      <c r="AJ145" s="28">
        <f t="shared" si="148"/>
        <v>0</v>
      </c>
      <c r="AK145" s="28">
        <f t="shared" si="149"/>
        <v>0</v>
      </c>
      <c r="AL145" s="28">
        <f t="shared" si="150"/>
        <v>0</v>
      </c>
      <c r="AM145" s="28">
        <f t="shared" si="151"/>
        <v>0</v>
      </c>
    </row>
    <row r="146" spans="1:39" x14ac:dyDescent="0.45">
      <c r="A146" s="9"/>
      <c r="X146" s="5" t="s">
        <v>344</v>
      </c>
      <c r="Y146" s="128" cm="1">
        <f t="array" ref="Y146">SUMPRODUCT(IF($U$106:$U$145="Connections",IF($C$19:$C$58="Connections",(Y$19:Y$58*Y$106:Y$145)/SUMIF($C$19:$C$58,"Connections",Y$19:Y$58))))</f>
        <v>35.688688292515245</v>
      </c>
      <c r="Z146" s="128" cm="1">
        <f t="array" ref="Z146">SUMPRODUCT(IF($U$106:$U$145="Connections",IF($C$19:$C$58="Connections",(Z$19:Z$58*Z$106:Z$145)/SUMIF($C$19:$C$58,"Connections",Z$19:Z$58))))</f>
        <v>43.21827533044852</v>
      </c>
      <c r="AA146" s="128" cm="1">
        <f t="array" ref="AA146">SUMPRODUCT(IF($U$106:$U$145="Connections",IF($C$19:$C$58="Connections",(AA$19:AA$58*AA$106:AA$145)/SUMIF($C$19:$C$58,"Connections",AA$19:AA$58))))</f>
        <v>39.608104856754764</v>
      </c>
      <c r="AB146" s="128" cm="1">
        <f t="array" ref="AB146">SUMPRODUCT(IF($U$106:$U$145="Connections",IF($C$19:$C$58="Connections",(AB$19:AB$58*AB$106:AB$145)/SUMIF($C$19:$C$58,"Connections",AB$19:AB$58))))</f>
        <v>34.878090127696083</v>
      </c>
      <c r="AC146" s="128" cm="1">
        <f t="array" ref="AC146">SUMPRODUCT(IF($U$106:$U$145="Connections",IF($C$19:$C$58="Connections",(AC$19:AC$58*AC$106:AC$145)/SUMIF($C$19:$C$58,"Connections",AC$19:AC$58))))</f>
        <v>41.907066262622386</v>
      </c>
      <c r="AD146" s="128" cm="1">
        <f t="array" ref="AD146">SUMPRODUCT(IF($U$106:$U$145="Connections",IF($C$19:$C$58="Connections",(AD$19:AD$58*AD$106:AD$145)/SUMIF($C$19:$C$58,"Connections",AD$19:AD$58))))</f>
        <v>90.380425076585425</v>
      </c>
      <c r="AE146" s="128" cm="1">
        <f t="array" ref="AE146">SUMPRODUCT(IF($U$106:$U$145="Connections",IF($C$19:$C$58="Connections",(AE$19:AE$58*AE$106:AE$145)/SUMIF($C$19:$C$58,"Connections",AE$19:AE$58))))</f>
        <v>165.27522791206658</v>
      </c>
      <c r="AF146" s="128" cm="1">
        <f t="array" ref="AF146">SUMPRODUCT(IF($U$106:$U$145="Connections",IF($C$19:$C$58="Connections",(AF$19:AF$58*AF$106:AF$145)/SUMIF($C$19:$C$58,"Connections",AF$19:AF$58))))</f>
        <v>304.82458383820028</v>
      </c>
      <c r="AG146" s="128" cm="1">
        <f t="array" ref="AG146">SUMPRODUCT(IF($U$106:$U$145="Connections",IF($C$19:$C$58="Connections",(AG$19:AG$58*AG$106:AG$145)/SUMIF($C$19:$C$58,"Connections",AG$19:AG$58))))</f>
        <v>559.30254607451809</v>
      </c>
      <c r="AH146" s="128" cm="1">
        <f t="array" ref="AH146">SUMPRODUCT(IF($U$106:$U$145="Connections",IF($C$19:$C$58="Connections",(AH$19:AH$58*AH$106:AH$145)/SUMIF($C$19:$C$58,"Connections",AH$19:AH$58))))</f>
        <v>633.84264706390741</v>
      </c>
      <c r="AI146" s="128" cm="1">
        <f t="array" ref="AI146">SUMPRODUCT(IF($U$106:$U$145="Connections",IF($C$19:$C$58="Connections",(AI$19:AI$58*AI$106:AI$145)/SUMIF($C$19:$C$58,"Connections",AI$19:AI$58))))</f>
        <v>1816.6775713667869</v>
      </c>
      <c r="AJ146" s="128" cm="1">
        <f t="array" ref="AJ146">SUMPRODUCT(IF($U$106:$U$145="Connections",IF($C$19:$C$58="Connections",(AJ$19:AJ$58*AJ$106:AJ$145)/SUMIF($C$19:$C$58,"Connections",AJ$19:AJ$58))))</f>
        <v>1773.5352082673849</v>
      </c>
      <c r="AK146" s="128" t="e" cm="1">
        <f t="array" ref="AK146">SUMPRODUCT(IF($U$106:$U$145="Connections",IF($C$19:$C$58="Connections",(AK$19:AK$58*AK$106:AK$145)/SUMIF($C$19:$C$58,"Connections",AK$19:AK$58))))</f>
        <v>#DIV/0!</v>
      </c>
      <c r="AL146" s="128" t="e" cm="1">
        <f t="array" ref="AL146">SUMPRODUCT(IF($U$106:$U$145="Connections",IF($C$19:$C$58="Connections",(AL$19:AL$58*AL$106:AL$145)/SUMIF($C$19:$C$58,"Connections",AL$19:AL$58))))</f>
        <v>#DIV/0!</v>
      </c>
      <c r="AM146" s="128" t="e" cm="1">
        <f t="array" ref="AM146">SUMPRODUCT(IF($U$106:$U$145="Connections",IF($C$19:$C$58="Connections",(AM$19:AM$58*AM$106:AM$145)/SUMIF($C$19:$C$58,"Connections",AM$19:AM$58))))</f>
        <v>#DIV/0!</v>
      </c>
    </row>
    <row r="147" spans="1:39" ht="14.65" thickBot="1" x14ac:dyDescent="0.5">
      <c r="A147" s="10" t="s">
        <v>349</v>
      </c>
      <c r="B147" s="5" t="s">
        <v>350</v>
      </c>
      <c r="C147" t="s">
        <v>321</v>
      </c>
      <c r="D147" t="s">
        <v>322</v>
      </c>
      <c r="E147" s="31">
        <f>E105</f>
        <v>3.9909153378664852E-2</v>
      </c>
      <c r="F147" s="31">
        <f t="shared" ref="F147:S147" si="187">F105</f>
        <v>0.10036409874522789</v>
      </c>
      <c r="G147" s="31">
        <f t="shared" si="187"/>
        <v>5.6703919580784135E-2</v>
      </c>
      <c r="H147" s="31">
        <f t="shared" si="187"/>
        <v>2.3545128743536425E-2</v>
      </c>
      <c r="I147" s="31">
        <f t="shared" si="187"/>
        <v>3.5422237353326391E-2</v>
      </c>
      <c r="J147" s="31">
        <f t="shared" si="187"/>
        <v>2.1823266989722256E-2</v>
      </c>
      <c r="K147" s="31">
        <f t="shared" si="187"/>
        <v>1.9935780988294516E-2</v>
      </c>
      <c r="L147" s="31">
        <f t="shared" si="187"/>
        <v>2.0957399820160205E-2</v>
      </c>
      <c r="M147" s="31">
        <f t="shared" si="187"/>
        <v>2.0094840093029198E-2</v>
      </c>
      <c r="N147" s="31">
        <f t="shared" si="187"/>
        <v>1.9998866368604373E-2</v>
      </c>
      <c r="O147" s="31">
        <f t="shared" si="187"/>
        <v>0.02</v>
      </c>
      <c r="P147" s="31">
        <f t="shared" si="187"/>
        <v>0.02</v>
      </c>
      <c r="Q147" s="31">
        <f t="shared" si="187"/>
        <v>0.02</v>
      </c>
      <c r="R147" s="31">
        <f t="shared" si="187"/>
        <v>0.02</v>
      </c>
      <c r="S147" s="31">
        <f t="shared" si="187"/>
        <v>0.02</v>
      </c>
      <c r="W147" s="10" t="s">
        <v>351</v>
      </c>
    </row>
    <row r="148" spans="1:39" ht="14.65" thickBot="1" x14ac:dyDescent="0.5">
      <c r="A148" s="9" t="str" cm="1">
        <f t="array" ref="A148:A187">TD_service_codes</f>
        <v>WN127</v>
      </c>
      <c r="B148" t="s">
        <v>274</v>
      </c>
      <c r="C148" s="25">
        <f>IF($B$2="Discounted",INDEX('Top Down inputs'!$D$50:$F$89,MATCH($A148,'Top Down inputs'!$A$50:$A$89,0),MATCH('Copper Weighted Price'!$B$147,'Top Down inputs'!$D$47:$F$47,0)),INDEX('Top Down inputs'!$D$5:$F$44,MATCH($A148,'Top Down inputs'!$A$5:$A$44,0),MATCH('Copper Weighted Price'!$B$147,'Top Down inputs'!$D$2:$F$2,0)))</f>
        <v>-4.4999999999999998E-2</v>
      </c>
      <c r="D148" s="13">
        <f>IF($B$2="Headline",INDEX('Top Down inputs'!$J$5:$J$44,MATCH($A148,'Top Down inputs'!$H$5:$H$44,0)),INDEX('Top Down inputs'!$J$50:$J$89,MATCH($A148,'Top Down inputs'!$H$50:$H89,0)))</f>
        <v>110.06830674793559</v>
      </c>
      <c r="E148" s="183">
        <f t="shared" ref="E148:I157" si="188">E63</f>
        <v>103.08914332438485</v>
      </c>
      <c r="F148" s="183">
        <f t="shared" si="188"/>
        <v>95.824976573109652</v>
      </c>
      <c r="G148" s="183">
        <f t="shared" si="188"/>
        <v>84.833600714106851</v>
      </c>
      <c r="H148" s="19">
        <f t="shared" si="188"/>
        <v>95.806738716664029</v>
      </c>
      <c r="I148" s="19">
        <f t="shared" si="188"/>
        <v>102.26141062544374</v>
      </c>
      <c r="J148" s="30">
        <f t="shared" ref="J148:J159" si="189">D148*(1+($C148+J$62))</f>
        <v>107.51728298954534</v>
      </c>
      <c r="K148" s="30">
        <f>J148*(1+($C148+K$62))</f>
        <v>104.82244626115185</v>
      </c>
      <c r="L148" s="30">
        <f>K148*(1+($C148+L$62))</f>
        <v>102.30224209582224</v>
      </c>
      <c r="M148" s="30">
        <f>L148*(1+($C148+M$62))</f>
        <v>99.754388397584137</v>
      </c>
      <c r="N148" s="30">
        <f>M148*(1+($C148+N$62))</f>
        <v>97.260415602937996</v>
      </c>
      <c r="O148" s="102">
        <f t="shared" ref="O148:S148" si="190">IF(O19=0,0,O412/O19)</f>
        <v>320.40739639632125</v>
      </c>
      <c r="P148" s="102">
        <f t="shared" si="190"/>
        <v>310.52443687755385</v>
      </c>
      <c r="Q148" s="102">
        <f t="shared" si="190"/>
        <v>0</v>
      </c>
      <c r="R148" s="102">
        <f t="shared" si="190"/>
        <v>0</v>
      </c>
      <c r="S148" s="102">
        <f t="shared" si="190"/>
        <v>0</v>
      </c>
      <c r="U148" s="9" t="s">
        <v>275</v>
      </c>
      <c r="V148" s="9" t="s">
        <v>261</v>
      </c>
      <c r="W148" s="9" t="str" cm="1">
        <f t="array" ref="W148:W187">TD_service_codes</f>
        <v>WN127</v>
      </c>
      <c r="X148" t="s">
        <v>274</v>
      </c>
      <c r="Y148" s="28">
        <f t="shared" ref="Y148:Y163" si="191">E148</f>
        <v>103.08914332438485</v>
      </c>
      <c r="Z148" s="28">
        <f t="shared" ref="Z148:Z187" si="192">F148</f>
        <v>95.824976573109652</v>
      </c>
      <c r="AA148" s="28">
        <f t="shared" ref="AA148:AA187" si="193">G148</f>
        <v>84.833600714106851</v>
      </c>
      <c r="AB148" s="28">
        <f t="shared" ref="AB148:AB187" si="194">H148</f>
        <v>95.806738716664029</v>
      </c>
      <c r="AC148" s="28">
        <f t="shared" ref="AC148:AC187" si="195">I148</f>
        <v>102.26141062544374</v>
      </c>
      <c r="AD148" s="28">
        <f t="shared" ref="AD148:AD187" si="196">J148</f>
        <v>107.51728298954534</v>
      </c>
      <c r="AE148" s="28">
        <f t="shared" ref="AE148:AE187" si="197">K148</f>
        <v>104.82244626115185</v>
      </c>
      <c r="AF148" s="28">
        <f t="shared" ref="AF148:AF187" si="198">L148</f>
        <v>102.30224209582224</v>
      </c>
      <c r="AG148" s="28">
        <f t="shared" ref="AG148:AG187" si="199">M148</f>
        <v>99.754388397584137</v>
      </c>
      <c r="AH148" s="28">
        <f t="shared" ref="AH148:AH187" si="200">N148</f>
        <v>97.260415602937996</v>
      </c>
      <c r="AI148" s="28">
        <f t="shared" ref="AI148:AI187" si="201">O148</f>
        <v>320.40739639632125</v>
      </c>
      <c r="AJ148" s="28">
        <f t="shared" ref="AJ148:AJ187" si="202">P148</f>
        <v>310.52443687755385</v>
      </c>
      <c r="AK148" s="28">
        <f t="shared" ref="AK148:AK187" si="203">Q148</f>
        <v>0</v>
      </c>
      <c r="AL148" s="28">
        <f t="shared" ref="AL148:AL187" si="204">R148</f>
        <v>0</v>
      </c>
      <c r="AM148" s="28">
        <f t="shared" ref="AM148:AM187" si="205">S148</f>
        <v>0</v>
      </c>
    </row>
    <row r="149" spans="1:39" ht="14.65" thickBot="1" x14ac:dyDescent="0.5">
      <c r="A149" s="9" t="str">
        <v>WN346</v>
      </c>
      <c r="B149" t="s">
        <v>276</v>
      </c>
      <c r="C149" s="25">
        <f>IF($B$2="Discounted",INDEX('Top Down inputs'!$D$50:$F$89,MATCH($A149,'Top Down inputs'!$A$50:$A$89,0),MATCH('Copper Weighted Price'!$B$147,'Top Down inputs'!$D$47:$F$47,0)),INDEX('Top Down inputs'!$D$5:$F$44,MATCH($A149,'Top Down inputs'!$A$5:$A$44,0),MATCH('Copper Weighted Price'!$B$147,'Top Down inputs'!$D$2:$F$2,0)))</f>
        <v>-4.4999999999999998E-2</v>
      </c>
      <c r="D149" s="13">
        <f>IF($B$2="Headline",INDEX('Top Down inputs'!$J$5:$J$44,MATCH($A149,'Top Down inputs'!$H$5:$H$44,0)),INDEX('Top Down inputs'!$J$50:$J$89,MATCH($A149,'Top Down inputs'!$H$50:$H90,0)))</f>
        <v>131.3244088721178</v>
      </c>
      <c r="E149" s="183">
        <f t="shared" si="188"/>
        <v>71.257925430332065</v>
      </c>
      <c r="F149" s="183">
        <f t="shared" si="188"/>
        <v>81.778653674130211</v>
      </c>
      <c r="G149" s="183">
        <f t="shared" si="188"/>
        <v>79.768444897152406</v>
      </c>
      <c r="H149" s="19">
        <f t="shared" si="188"/>
        <v>112.16497348351244</v>
      </c>
      <c r="I149" s="19">
        <f t="shared" si="188"/>
        <v>118.6091703962627</v>
      </c>
      <c r="J149" s="30">
        <f t="shared" si="189"/>
        <v>128.28073810995616</v>
      </c>
      <c r="K149" s="30">
        <f t="shared" ref="K149:N149" si="206">J149*(1+($C149+K$62))</f>
        <v>125.06548159498497</v>
      </c>
      <c r="L149" s="30">
        <f t="shared" si="206"/>
        <v>122.05858222469763</v>
      </c>
      <c r="M149" s="30">
        <f t="shared" si="206"/>
        <v>119.01869371637339</v>
      </c>
      <c r="N149" s="30">
        <f t="shared" si="206"/>
        <v>116.04309145013619</v>
      </c>
      <c r="O149" s="102">
        <f t="shared" ref="O149:S158" si="207">IF(O20=0,0,O413/O20)</f>
        <v>309.44580490728094</v>
      </c>
      <c r="P149" s="102">
        <f t="shared" si="207"/>
        <v>299.90095545140815</v>
      </c>
      <c r="Q149" s="102">
        <f t="shared" si="207"/>
        <v>0</v>
      </c>
      <c r="R149" s="102">
        <f t="shared" si="207"/>
        <v>0</v>
      </c>
      <c r="S149" s="102">
        <f t="shared" si="207"/>
        <v>0</v>
      </c>
      <c r="U149" s="9" t="s">
        <v>275</v>
      </c>
      <c r="V149" s="9" t="s">
        <v>261</v>
      </c>
      <c r="W149" s="9" t="str">
        <v>WN346</v>
      </c>
      <c r="X149" t="s">
        <v>276</v>
      </c>
      <c r="Y149" s="28">
        <f t="shared" si="191"/>
        <v>71.257925430332065</v>
      </c>
      <c r="Z149" s="28">
        <f t="shared" si="192"/>
        <v>81.778653674130211</v>
      </c>
      <c r="AA149" s="28">
        <f t="shared" si="193"/>
        <v>79.768444897152406</v>
      </c>
      <c r="AB149" s="28">
        <f t="shared" si="194"/>
        <v>112.16497348351244</v>
      </c>
      <c r="AC149" s="28">
        <f t="shared" si="195"/>
        <v>118.6091703962627</v>
      </c>
      <c r="AD149" s="28">
        <f t="shared" si="196"/>
        <v>128.28073810995616</v>
      </c>
      <c r="AE149" s="28">
        <f t="shared" si="197"/>
        <v>125.06548159498497</v>
      </c>
      <c r="AF149" s="28">
        <f t="shared" si="198"/>
        <v>122.05858222469763</v>
      </c>
      <c r="AG149" s="28">
        <f t="shared" si="199"/>
        <v>119.01869371637339</v>
      </c>
      <c r="AH149" s="28">
        <f t="shared" si="200"/>
        <v>116.04309145013619</v>
      </c>
      <c r="AI149" s="28">
        <f t="shared" si="201"/>
        <v>309.44580490728094</v>
      </c>
      <c r="AJ149" s="28">
        <f t="shared" si="202"/>
        <v>299.90095545140815</v>
      </c>
      <c r="AK149" s="28">
        <f t="shared" si="203"/>
        <v>0</v>
      </c>
      <c r="AL149" s="28">
        <f t="shared" si="204"/>
        <v>0</v>
      </c>
      <c r="AM149" s="28">
        <f t="shared" si="205"/>
        <v>0</v>
      </c>
    </row>
    <row r="150" spans="1:39" ht="14.65" thickBot="1" x14ac:dyDescent="0.5">
      <c r="A150" s="9" t="str">
        <v>WX130</v>
      </c>
      <c r="B150" t="s">
        <v>277</v>
      </c>
      <c r="C150" s="25">
        <f>IF($B$2="Discounted",INDEX('Top Down inputs'!$D$50:$F$89,MATCH($A150,'Top Down inputs'!$A$50:$A$89,0),MATCH('Copper Weighted Price'!$B$147,'Top Down inputs'!$D$47:$F$47,0)),INDEX('Top Down inputs'!$D$5:$F$44,MATCH($A150,'Top Down inputs'!$A$5:$A$44,0),MATCH('Copper Weighted Price'!$B$147,'Top Down inputs'!$D$2:$F$2,0)))</f>
        <v>-4.4999999999999998E-2</v>
      </c>
      <c r="D150" s="13">
        <f>IF($B$2="Headline",INDEX('Top Down inputs'!$J$5:$J$44,MATCH($A150,'Top Down inputs'!$H$5:$H$44,0)),INDEX('Top Down inputs'!$J$50:$J$89,MATCH($A150,'Top Down inputs'!$H$50:$H91,0)))</f>
        <v>131.25682711340249</v>
      </c>
      <c r="E150" s="183">
        <f t="shared" si="188"/>
        <v>100.61520918241411</v>
      </c>
      <c r="F150" s="183">
        <f t="shared" si="188"/>
        <v>105.33538132509327</v>
      </c>
      <c r="G150" s="183">
        <f t="shared" si="188"/>
        <v>102.28080425913539</v>
      </c>
      <c r="H150" s="19">
        <f t="shared" si="188"/>
        <v>103.33120397059598</v>
      </c>
      <c r="I150" s="19">
        <f t="shared" si="188"/>
        <v>87.061401500010106</v>
      </c>
      <c r="J150" s="30">
        <f t="shared" si="189"/>
        <v>128.21472267561899</v>
      </c>
      <c r="K150" s="30">
        <f t="shared" ref="K150:N150" si="208">J150*(1+($C150+K$62))</f>
        <v>125.00112078595218</v>
      </c>
      <c r="L150" s="30">
        <f t="shared" si="208"/>
        <v>121.99576881686367</v>
      </c>
      <c r="M150" s="30">
        <f t="shared" si="208"/>
        <v>118.95744468650584</v>
      </c>
      <c r="N150" s="30">
        <f t="shared" si="208"/>
        <v>115.98337371544915</v>
      </c>
      <c r="O150" s="102">
        <f t="shared" si="207"/>
        <v>298.68716108347377</v>
      </c>
      <c r="P150" s="102">
        <f t="shared" si="207"/>
        <v>289.47416177395655</v>
      </c>
      <c r="Q150" s="102">
        <f t="shared" si="207"/>
        <v>0</v>
      </c>
      <c r="R150" s="102">
        <f t="shared" si="207"/>
        <v>0</v>
      </c>
      <c r="S150" s="102">
        <f t="shared" si="207"/>
        <v>0</v>
      </c>
      <c r="U150" s="9" t="s">
        <v>275</v>
      </c>
      <c r="V150" s="9" t="s">
        <v>261</v>
      </c>
      <c r="W150" s="9" t="str">
        <v>WX130</v>
      </c>
      <c r="X150" t="s">
        <v>277</v>
      </c>
      <c r="Y150" s="28">
        <f t="shared" si="191"/>
        <v>100.61520918241411</v>
      </c>
      <c r="Z150" s="28">
        <f t="shared" si="192"/>
        <v>105.33538132509327</v>
      </c>
      <c r="AA150" s="28">
        <f t="shared" si="193"/>
        <v>102.28080425913539</v>
      </c>
      <c r="AB150" s="28">
        <f t="shared" si="194"/>
        <v>103.33120397059598</v>
      </c>
      <c r="AC150" s="28">
        <f t="shared" si="195"/>
        <v>87.061401500010106</v>
      </c>
      <c r="AD150" s="28">
        <f t="shared" si="196"/>
        <v>128.21472267561899</v>
      </c>
      <c r="AE150" s="28">
        <f t="shared" si="197"/>
        <v>125.00112078595218</v>
      </c>
      <c r="AF150" s="28">
        <f t="shared" si="198"/>
        <v>121.99576881686367</v>
      </c>
      <c r="AG150" s="28">
        <f t="shared" si="199"/>
        <v>118.95744468650584</v>
      </c>
      <c r="AH150" s="28">
        <f t="shared" si="200"/>
        <v>115.98337371544915</v>
      </c>
      <c r="AI150" s="28">
        <f t="shared" si="201"/>
        <v>298.68716108347377</v>
      </c>
      <c r="AJ150" s="28">
        <f t="shared" si="202"/>
        <v>289.47416177395655</v>
      </c>
      <c r="AK150" s="28">
        <f t="shared" si="203"/>
        <v>0</v>
      </c>
      <c r="AL150" s="28">
        <f t="shared" si="204"/>
        <v>0</v>
      </c>
      <c r="AM150" s="28">
        <f t="shared" si="205"/>
        <v>0</v>
      </c>
    </row>
    <row r="151" spans="1:39" ht="14.65" thickBot="1" x14ac:dyDescent="0.5">
      <c r="A151" s="9" t="str">
        <v>WX347</v>
      </c>
      <c r="B151" t="s">
        <v>278</v>
      </c>
      <c r="C151" s="25">
        <f>IF($B$2="Discounted",INDEX('Top Down inputs'!$D$50:$F$89,MATCH($A151,'Top Down inputs'!$A$50:$A$89,0),MATCH('Copper Weighted Price'!$B$147,'Top Down inputs'!$D$47:$F$47,0)),INDEX('Top Down inputs'!$D$5:$F$44,MATCH($A151,'Top Down inputs'!$A$5:$A$44,0),MATCH('Copper Weighted Price'!$B$147,'Top Down inputs'!$D$2:$F$2,0)))</f>
        <v>-4.4999999999999998E-2</v>
      </c>
      <c r="D151" s="13">
        <f>IF($B$2="Headline",INDEX('Top Down inputs'!$J$5:$J$44,MATCH($A151,'Top Down inputs'!$H$5:$H$44,0)),INDEX('Top Down inputs'!$J$50:$J$89,MATCH($A151,'Top Down inputs'!$H$50:$H92,0)))</f>
        <v>117.09723373760681</v>
      </c>
      <c r="E151" s="183">
        <f t="shared" si="188"/>
        <v>82.346982379430798</v>
      </c>
      <c r="F151" s="183">
        <f t="shared" si="188"/>
        <v>72.933095164197184</v>
      </c>
      <c r="G151" s="183">
        <f t="shared" si="188"/>
        <v>119.16245088756362</v>
      </c>
      <c r="H151" s="19">
        <f t="shared" si="188"/>
        <v>108.19661705918604</v>
      </c>
      <c r="I151" s="19">
        <f t="shared" si="188"/>
        <v>97.026432436910142</v>
      </c>
      <c r="J151" s="30">
        <f t="shared" si="189"/>
        <v>114.38330241502821</v>
      </c>
      <c r="K151" s="30">
        <f t="shared" ref="K151:N151" si="209">J151*(1+($C151+K$62))</f>
        <v>111.5163742720158</v>
      </c>
      <c r="L151" s="30">
        <f t="shared" si="209"/>
        <v>108.83523067188834</v>
      </c>
      <c r="M151" s="30">
        <f t="shared" si="209"/>
        <v>106.12467184849291</v>
      </c>
      <c r="N151" s="30">
        <f t="shared" si="209"/>
        <v>103.47143474602072</v>
      </c>
      <c r="O151" s="102">
        <f t="shared" si="207"/>
        <v>262.35278781493179</v>
      </c>
      <c r="P151" s="102">
        <f t="shared" si="207"/>
        <v>254.26052149782217</v>
      </c>
      <c r="Q151" s="102">
        <f t="shared" si="207"/>
        <v>0</v>
      </c>
      <c r="R151" s="102">
        <f t="shared" si="207"/>
        <v>0</v>
      </c>
      <c r="S151" s="102">
        <f t="shared" si="207"/>
        <v>0</v>
      </c>
      <c r="U151" s="9" t="s">
        <v>275</v>
      </c>
      <c r="V151" s="9" t="s">
        <v>261</v>
      </c>
      <c r="W151" s="9" t="str">
        <v>WX347</v>
      </c>
      <c r="X151" t="s">
        <v>278</v>
      </c>
      <c r="Y151" s="28">
        <f t="shared" si="191"/>
        <v>82.346982379430798</v>
      </c>
      <c r="Z151" s="28">
        <f t="shared" si="192"/>
        <v>72.933095164197184</v>
      </c>
      <c r="AA151" s="28">
        <f t="shared" si="193"/>
        <v>119.16245088756362</v>
      </c>
      <c r="AB151" s="28">
        <f t="shared" si="194"/>
        <v>108.19661705918604</v>
      </c>
      <c r="AC151" s="28">
        <f t="shared" si="195"/>
        <v>97.026432436910142</v>
      </c>
      <c r="AD151" s="28">
        <f t="shared" si="196"/>
        <v>114.38330241502821</v>
      </c>
      <c r="AE151" s="28">
        <f t="shared" si="197"/>
        <v>111.5163742720158</v>
      </c>
      <c r="AF151" s="28">
        <f t="shared" si="198"/>
        <v>108.83523067188834</v>
      </c>
      <c r="AG151" s="28">
        <f t="shared" si="199"/>
        <v>106.12467184849291</v>
      </c>
      <c r="AH151" s="28">
        <f t="shared" si="200"/>
        <v>103.47143474602072</v>
      </c>
      <c r="AI151" s="28">
        <f t="shared" si="201"/>
        <v>262.35278781493179</v>
      </c>
      <c r="AJ151" s="28">
        <f t="shared" si="202"/>
        <v>254.26052149782217</v>
      </c>
      <c r="AK151" s="28">
        <f t="shared" si="203"/>
        <v>0</v>
      </c>
      <c r="AL151" s="28">
        <f t="shared" si="204"/>
        <v>0</v>
      </c>
      <c r="AM151" s="28">
        <f t="shared" si="205"/>
        <v>0</v>
      </c>
    </row>
    <row r="152" spans="1:39" ht="14.65" thickBot="1" x14ac:dyDescent="0.5">
      <c r="A152" s="9" t="str">
        <v>WX129</v>
      </c>
      <c r="B152" t="s">
        <v>279</v>
      </c>
      <c r="C152" s="25">
        <f>IF($B$2="Discounted",INDEX('Top Down inputs'!$D$50:$F$89,MATCH($A152,'Top Down inputs'!$A$50:$A$89,0),MATCH('Copper Weighted Price'!$B$147,'Top Down inputs'!$D$47:$F$47,0)),INDEX('Top Down inputs'!$D$5:$F$44,MATCH($A152,'Top Down inputs'!$A$5:$A$44,0),MATCH('Copper Weighted Price'!$B$147,'Top Down inputs'!$D$2:$F$2,0)))</f>
        <v>0.16250000000000001</v>
      </c>
      <c r="D152" s="13">
        <f>IF($B$2="Headline",INDEX('Top Down inputs'!$J$5:$J$44,MATCH($A152,'Top Down inputs'!$H$5:$H$44,0)),INDEX('Top Down inputs'!$J$50:$J$89,MATCH($A152,'Top Down inputs'!$H$50:$H93,0)))</f>
        <v>33.575930968968088</v>
      </c>
      <c r="E152" s="183">
        <f t="shared" si="188"/>
        <v>25.335818221461203</v>
      </c>
      <c r="F152" s="183">
        <f t="shared" si="188"/>
        <v>36.632542437658792</v>
      </c>
      <c r="G152" s="183">
        <f t="shared" si="188"/>
        <v>41.513153237114054</v>
      </c>
      <c r="H152" s="19">
        <f t="shared" si="188"/>
        <v>23.042154944973156</v>
      </c>
      <c r="I152" s="19">
        <f t="shared" si="188"/>
        <v>35.238949101674976</v>
      </c>
      <c r="J152" s="30">
        <f t="shared" si="189"/>
        <v>39.764756257389678</v>
      </c>
      <c r="K152" s="30">
        <f t="shared" ref="K152:N152" si="210">J152*(1+($C152+K$62))</f>
        <v>47.019270621015735</v>
      </c>
      <c r="L152" s="30">
        <f t="shared" si="210"/>
        <v>55.645303750587736</v>
      </c>
      <c r="M152" s="30">
        <f t="shared" si="210"/>
        <v>65.805849090854352</v>
      </c>
      <c r="N152" s="30">
        <f t="shared" si="210"/>
        <v>77.815341950358729</v>
      </c>
      <c r="O152" s="102">
        <f t="shared" si="207"/>
        <v>0</v>
      </c>
      <c r="P152" s="102">
        <f t="shared" si="207"/>
        <v>0</v>
      </c>
      <c r="Q152" s="102">
        <f t="shared" si="207"/>
        <v>0</v>
      </c>
      <c r="R152" s="102">
        <f t="shared" si="207"/>
        <v>0</v>
      </c>
      <c r="S152" s="102">
        <f t="shared" si="207"/>
        <v>0</v>
      </c>
      <c r="U152" s="9" t="s">
        <v>3</v>
      </c>
      <c r="V152" s="9" t="s">
        <v>261</v>
      </c>
      <c r="W152" s="9" t="str">
        <v>WX129</v>
      </c>
      <c r="X152" t="s">
        <v>279</v>
      </c>
      <c r="Y152" s="28">
        <f t="shared" si="191"/>
        <v>25.335818221461203</v>
      </c>
      <c r="Z152" s="28">
        <f t="shared" si="192"/>
        <v>36.632542437658792</v>
      </c>
      <c r="AA152" s="28">
        <f t="shared" si="193"/>
        <v>41.513153237114054</v>
      </c>
      <c r="AB152" s="28">
        <f t="shared" si="194"/>
        <v>23.042154944973156</v>
      </c>
      <c r="AC152" s="28">
        <f t="shared" si="195"/>
        <v>35.238949101674976</v>
      </c>
      <c r="AD152" s="28">
        <f t="shared" si="196"/>
        <v>39.764756257389678</v>
      </c>
      <c r="AE152" s="28">
        <f t="shared" si="197"/>
        <v>47.019270621015735</v>
      </c>
      <c r="AF152" s="28">
        <f t="shared" si="198"/>
        <v>55.645303750587736</v>
      </c>
      <c r="AG152" s="28">
        <f t="shared" si="199"/>
        <v>65.805849090854352</v>
      </c>
      <c r="AH152" s="28">
        <f t="shared" si="200"/>
        <v>77.815341950358729</v>
      </c>
      <c r="AI152" s="28">
        <f t="shared" si="201"/>
        <v>0</v>
      </c>
      <c r="AJ152" s="28">
        <f t="shared" si="202"/>
        <v>0</v>
      </c>
      <c r="AK152" s="28">
        <f t="shared" si="203"/>
        <v>0</v>
      </c>
      <c r="AL152" s="28">
        <f t="shared" si="204"/>
        <v>0</v>
      </c>
      <c r="AM152" s="28">
        <f t="shared" si="205"/>
        <v>0</v>
      </c>
    </row>
    <row r="153" spans="1:39" ht="14.65" thickBot="1" x14ac:dyDescent="0.5">
      <c r="A153" s="9" t="str">
        <v>WN123</v>
      </c>
      <c r="B153" t="s">
        <v>280</v>
      </c>
      <c r="C153" s="25">
        <f>IF($B$2="Discounted",INDEX('Top Down inputs'!$D$50:$F$89,MATCH($A153,'Top Down inputs'!$A$50:$A$89,0),MATCH('Copper Weighted Price'!$B$147,'Top Down inputs'!$D$47:$F$47,0)),INDEX('Top Down inputs'!$D$5:$F$44,MATCH($A153,'Top Down inputs'!$A$5:$A$44,0),MATCH('Copper Weighted Price'!$B$147,'Top Down inputs'!$D$2:$F$2,0)))</f>
        <v>0.16250000000000001</v>
      </c>
      <c r="D153" s="13">
        <f>IF($B$2="Headline",INDEX('Top Down inputs'!$J$5:$J$44,MATCH($A153,'Top Down inputs'!$H$5:$H$44,0)),INDEX('Top Down inputs'!$J$50:$J$89,MATCH($A153,'Top Down inputs'!$H$50:$H94,0)))</f>
        <v>35.927921953837227</v>
      </c>
      <c r="E153" s="183">
        <f t="shared" si="188"/>
        <v>48.818888792644451</v>
      </c>
      <c r="F153" s="183">
        <f t="shared" si="188"/>
        <v>24.217627077396454</v>
      </c>
      <c r="G153" s="183">
        <f t="shared" si="188"/>
        <v>63.510583922541301</v>
      </c>
      <c r="H153" s="19">
        <f t="shared" si="188"/>
        <v>28.285174920126078</v>
      </c>
      <c r="I153" s="19">
        <f t="shared" si="188"/>
        <v>24.845134282683901</v>
      </c>
      <c r="J153" s="30">
        <f t="shared" si="189"/>
        <v>42.550273904520274</v>
      </c>
      <c r="K153" s="30">
        <f t="shared" ref="K153:N153" si="211">J153*(1+($C153+K$62))</f>
        <v>50.312966355557279</v>
      </c>
      <c r="L153" s="30">
        <f t="shared" si="211"/>
        <v>59.543252340387021</v>
      </c>
      <c r="M153" s="30">
        <f t="shared" si="211"/>
        <v>70.415542980098877</v>
      </c>
      <c r="N153" s="30">
        <f t="shared" si="211"/>
        <v>83.266299748696667</v>
      </c>
      <c r="O153" s="102">
        <f t="shared" si="207"/>
        <v>0</v>
      </c>
      <c r="P153" s="102">
        <f t="shared" si="207"/>
        <v>0</v>
      </c>
      <c r="Q153" s="102">
        <f t="shared" si="207"/>
        <v>0</v>
      </c>
      <c r="R153" s="102">
        <f t="shared" si="207"/>
        <v>0</v>
      </c>
      <c r="S153" s="102">
        <f t="shared" si="207"/>
        <v>0</v>
      </c>
      <c r="U153" s="9" t="s">
        <v>3</v>
      </c>
      <c r="V153" s="9" t="s">
        <v>261</v>
      </c>
      <c r="W153" s="9" t="str">
        <v>WN123</v>
      </c>
      <c r="X153" t="s">
        <v>280</v>
      </c>
      <c r="Y153" s="28">
        <f t="shared" si="191"/>
        <v>48.818888792644451</v>
      </c>
      <c r="Z153" s="28">
        <f t="shared" si="192"/>
        <v>24.217627077396454</v>
      </c>
      <c r="AA153" s="28">
        <f t="shared" si="193"/>
        <v>63.510583922541301</v>
      </c>
      <c r="AB153" s="28">
        <f t="shared" si="194"/>
        <v>28.285174920126078</v>
      </c>
      <c r="AC153" s="28">
        <f t="shared" si="195"/>
        <v>24.845134282683901</v>
      </c>
      <c r="AD153" s="28">
        <f t="shared" si="196"/>
        <v>42.550273904520274</v>
      </c>
      <c r="AE153" s="28">
        <f t="shared" si="197"/>
        <v>50.312966355557279</v>
      </c>
      <c r="AF153" s="28">
        <f t="shared" si="198"/>
        <v>59.543252340387021</v>
      </c>
      <c r="AG153" s="28">
        <f t="shared" si="199"/>
        <v>70.415542980098877</v>
      </c>
      <c r="AH153" s="28">
        <f t="shared" si="200"/>
        <v>83.266299748696667</v>
      </c>
      <c r="AI153" s="28">
        <f t="shared" si="201"/>
        <v>0</v>
      </c>
      <c r="AJ153" s="28">
        <f t="shared" si="202"/>
        <v>0</v>
      </c>
      <c r="AK153" s="28">
        <f t="shared" si="203"/>
        <v>0</v>
      </c>
      <c r="AL153" s="28">
        <f t="shared" si="204"/>
        <v>0</v>
      </c>
      <c r="AM153" s="28">
        <f t="shared" si="205"/>
        <v>0</v>
      </c>
    </row>
    <row r="154" spans="1:39" ht="14.65" thickBot="1" x14ac:dyDescent="0.5">
      <c r="A154" s="9" t="str">
        <v>WN300</v>
      </c>
      <c r="B154" t="s">
        <v>281</v>
      </c>
      <c r="C154" s="25">
        <f>IF($B$2="Discounted",INDEX('Top Down inputs'!$D$50:$F$89,MATCH($A154,'Top Down inputs'!$A$50:$A$89,0),MATCH('Copper Weighted Price'!$B$147,'Top Down inputs'!$D$47:$F$47,0)),INDEX('Top Down inputs'!$D$5:$F$44,MATCH($A154,'Top Down inputs'!$A$5:$A$44,0),MATCH('Copper Weighted Price'!$B$147,'Top Down inputs'!$D$2:$F$2,0)))</f>
        <v>5.2499999999999998E-2</v>
      </c>
      <c r="D154" s="13">
        <f>IF($B$2="Headline",INDEX('Top Down inputs'!$J$5:$J$44,MATCH($A154,'Top Down inputs'!$H$5:$H$44,0)),INDEX('Top Down inputs'!$J$50:$J$89,MATCH($A154,'Top Down inputs'!$H$50:$H95,0)))</f>
        <v>96.92512490916242</v>
      </c>
      <c r="E154" s="183">
        <f t="shared" si="188"/>
        <v>89.163411500888259</v>
      </c>
      <c r="F154" s="183">
        <f t="shared" si="188"/>
        <v>78.563228171487395</v>
      </c>
      <c r="G154" s="183">
        <f t="shared" si="188"/>
        <v>85.295324901979228</v>
      </c>
      <c r="H154" s="19">
        <f t="shared" si="188"/>
        <v>99.860575636032635</v>
      </c>
      <c r="I154" s="19">
        <f t="shared" si="188"/>
        <v>76.006756698891735</v>
      </c>
      <c r="J154" s="30">
        <f t="shared" si="189"/>
        <v>104.12891684579827</v>
      </c>
      <c r="K154" s="30">
        <f t="shared" ref="K154:N154" si="212">J154*(1+($C154+K$62))</f>
        <v>111.67157626098884</v>
      </c>
      <c r="L154" s="30">
        <f t="shared" si="212"/>
        <v>119.87467988693982</v>
      </c>
      <c r="M154" s="30">
        <f t="shared" si="212"/>
        <v>128.57696310453528</v>
      </c>
      <c r="N154" s="30">
        <f t="shared" si="212"/>
        <v>137.89864717073195</v>
      </c>
      <c r="O154" s="102">
        <f t="shared" si="207"/>
        <v>0</v>
      </c>
      <c r="P154" s="102">
        <f t="shared" si="207"/>
        <v>0</v>
      </c>
      <c r="Q154" s="102">
        <f t="shared" si="207"/>
        <v>0</v>
      </c>
      <c r="R154" s="102">
        <f t="shared" si="207"/>
        <v>0</v>
      </c>
      <c r="S154" s="102">
        <f t="shared" si="207"/>
        <v>0</v>
      </c>
      <c r="U154" s="9" t="s">
        <v>275</v>
      </c>
      <c r="V154" s="9" t="s">
        <v>265</v>
      </c>
      <c r="W154" s="9" t="str">
        <v>WN300</v>
      </c>
      <c r="X154" t="s">
        <v>281</v>
      </c>
      <c r="Y154" s="28" cm="1">
        <f t="array" ref="Y154">E112+SUMPRODUCT(IF($U$148:$U$187="Rentals",IF($V$148:$V$187="Legacy",IF($C$19:$C$58="Rentals",IF($D$19:$D$58="Legacy",E$148:E$187*Y$19:Y$58)))))/SUMIFS(Y$19:Y$58,$C$19:$C$58,"Rentals",$D$19:$D$58,"Legacy")</f>
        <v>164.17033150389821</v>
      </c>
      <c r="Z154" s="28" cm="1">
        <f t="array" ref="Z154">F112+SUMPRODUCT(IF($U$148:$U$187="Rentals",IF($V$148:$V$187="Legacy",IF($C$19:$C$58="Rentals",IF($D$19:$D$58="Legacy",F$148:F$187*Z$19:Z$58)))))/SUMIFS(Z$19:Z$58,$C$19:$C$58,"Rentals",$D$19:$D$58,"Legacy")</f>
        <v>167.86514778405518</v>
      </c>
      <c r="AA154" s="28" cm="1">
        <f t="array" ref="AA154">G112+SUMPRODUCT(IF($U$148:$U$187="Rentals",IF($V$148:$V$187="Legacy",IF($C$19:$C$58="Rentals",IF($D$19:$D$58="Legacy",G$148:G$187*AA$19:AA$58)))))/SUMIFS(AA$19:AA$58,$C$19:$C$58,"Rentals",$D$19:$D$58,"Legacy")</f>
        <v>195.72164092126025</v>
      </c>
      <c r="AB154" s="28" cm="1">
        <f t="array" ref="AB154">H112+SUMPRODUCT(IF($U$148:$U$187="Rentals",IF($V$148:$V$187="Legacy",IF($C$19:$C$58="Rentals",IF($D$19:$D$58="Legacy",H$148:H$187*AB$19:AB$58)))))/SUMIFS(AB$19:AB$58,$C$19:$C$58,"Rentals",$D$19:$D$58,"Legacy")</f>
        <v>199.11880246623537</v>
      </c>
      <c r="AC154" s="28" cm="1">
        <f t="array" ref="AC154">I112+SUMPRODUCT(IF($U$148:$U$187="Rentals",IF($V$148:$V$187="Legacy",IF($C$19:$C$58="Rentals",IF($D$19:$D$58="Legacy",I$148:I$187*AC$19:AC$58)))))/SUMIFS(AC$19:AC$58,$C$19:$C$58,"Rentals",$D$19:$D$58,"Legacy")</f>
        <v>185.18763142225444</v>
      </c>
      <c r="AD154" s="28" cm="1">
        <f t="array" ref="AD154">J112+SUMPRODUCT(IF($U$148:$U$187="Rentals",IF($V$148:$V$187="Legacy",IF($C$19:$C$58="Rentals",IF($D$19:$D$58="Legacy",J$148:J$187*AD$19:AD$58)))))/SUMIFS(AD$19:AD$58,$C$19:$C$58,"Rentals",$D$19:$D$58,"Legacy")</f>
        <v>205.01151584378476</v>
      </c>
      <c r="AE154" s="28" cm="1">
        <f t="array" ref="AE154">K112+SUMPRODUCT(IF($U$148:$U$187="Rentals",IF($V$148:$V$187="Legacy",IF($C$19:$C$58="Rentals",IF($D$19:$D$58="Legacy",K$148:K$187*AE$19:AE$58)))))/SUMIFS(AE$19:AE$58,$C$19:$C$58,"Rentals",$D$19:$D$58,"Legacy")</f>
        <v>202.17915607246368</v>
      </c>
      <c r="AF154" s="28" cm="1">
        <f t="array" ref="AF154">L112+SUMPRODUCT(IF($U$148:$U$187="Rentals",IF($V$148:$V$187="Legacy",IF($C$19:$C$58="Rentals",IF($D$19:$D$58="Legacy",L$148:L$187*AF$19:AF$58)))))/SUMIFS(AF$19:AF$58,$C$19:$C$58,"Rentals",$D$19:$D$58,"Legacy")</f>
        <v>207.08707452908328</v>
      </c>
      <c r="AG154" s="28" cm="1">
        <f t="array" ref="AG154">M112+SUMPRODUCT(IF($U$148:$U$187="Rentals",IF($V$148:$V$187="Legacy",IF($C$19:$C$58="Rentals",IF($D$19:$D$58="Legacy",M$148:M$187*AG$19:AG$58)))))/SUMIFS(AG$19:AG$58,$C$19:$C$58,"Rentals",$D$19:$D$58,"Legacy")</f>
        <v>214.89522859112788</v>
      </c>
      <c r="AH154" s="28" cm="1">
        <f t="array" ref="AH154">N112+SUMPRODUCT(IF($U$148:$U$187="Rentals",IF($V$148:$V$187="Legacy",IF($C$19:$C$58="Rentals",IF($D$19:$D$58="Legacy",N$148:N$187*AH$19:AH$58)))))/SUMIFS(AH$19:AH$58,$C$19:$C$58,"Rentals",$D$19:$D$58,"Legacy")</f>
        <v>228.09871246476362</v>
      </c>
      <c r="AI154" s="28" cm="1">
        <f t="array" ref="AI154">O112+SUMPRODUCT(IF($U$148:$U$187="Rentals",IF($V$148:$V$187="Legacy",IF($C$19:$C$58="Rentals",IF($D$19:$D$58="Legacy",O$148:O$187*AI$19:AI$58)))))/SUMIFS(AI$19:AI$58,$C$19:$C$58,"Rentals",$D$19:$D$58,"Legacy")</f>
        <v>290.32506508802004</v>
      </c>
      <c r="AJ154" s="28" cm="1">
        <f t="array" ref="AJ154">P112+SUMPRODUCT(IF($U$148:$U$187="Rentals",IF($V$148:$V$187="Legacy",IF($C$19:$C$58="Rentals",IF($D$19:$D$58="Legacy",P$148:P$187*AJ$19:AJ$58)))))/SUMIFS(AJ$19:AJ$58,$C$19:$C$58,"Rentals",$D$19:$D$58,"Legacy")</f>
        <v>277.13695337250533</v>
      </c>
      <c r="AK154" s="28" cm="1">
        <f t="array" ref="AK154">Q112+IF(SUM(AK19:AK58)=0,0,SUMPRODUCT(IF($U$148:$U$187="Rentals",IF($V$148:$V$187="Legacy",IF($C$19:$C$58="Rentals",IF($D$19:$D$58="Legacy",Q$148:Q$187*AK$19:AK$58)))))/SUMIFS(AK$19:AK$58,$C$19:$C$58,"Rentals",$D$19:$D$58,"Legacy"))</f>
        <v>0</v>
      </c>
      <c r="AL154" s="28" cm="1">
        <f t="array" ref="AL154">R112+IF(SUM(AL19:AL58)=0,0,SUMPRODUCT(IF($U$148:$U$187="Rentals",IF($V$148:$V$187="Legacy",IF($C$19:$C$58="Rentals",IF($D$19:$D$58="Legacy",R$148:R$187*AL$19:AL$58)))))/SUMIFS(AL$19:AL$58,$C$19:$C$58,"Rentals",$D$19:$D$58,"Legacy"))</f>
        <v>0</v>
      </c>
      <c r="AM154" s="28" cm="1">
        <f t="array" ref="AM154">S112+IF(SUM(AM19:AM58)=0,0,SUMPRODUCT(IF($U$148:$U$187="Rentals",IF($V$148:$V$187="Legacy",IF($C$19:$C$58="Rentals",IF($D$19:$D$58="Legacy",S$148:S$187*AM$19:AM$58)))))/SUMIFS(AM$19:AM$58,$C$19:$C$58,"Rentals",$D$19:$D$58,"Legacy"))</f>
        <v>0</v>
      </c>
    </row>
    <row r="155" spans="1:39" ht="14.65" thickBot="1" x14ac:dyDescent="0.5">
      <c r="A155" s="9" t="str">
        <v>WN301</v>
      </c>
      <c r="B155" t="s">
        <v>282</v>
      </c>
      <c r="C155" s="25">
        <f>IF($B$2="Discounted",INDEX('Top Down inputs'!$D$50:$F$89,MATCH($A155,'Top Down inputs'!$A$50:$A$89,0),MATCH('Copper Weighted Price'!$B$147,'Top Down inputs'!$D$47:$F$47,0)),INDEX('Top Down inputs'!$D$5:$F$44,MATCH($A155,'Top Down inputs'!$A$5:$A$44,0),MATCH('Copper Weighted Price'!$B$147,'Top Down inputs'!$D$2:$F$2,0)))</f>
        <v>5.2499999999999998E-2</v>
      </c>
      <c r="D155" s="13">
        <f>IF($B$2="Headline",INDEX('Top Down inputs'!$J$5:$J$44,MATCH($A155,'Top Down inputs'!$H$5:$H$44,0)),INDEX('Top Down inputs'!$J$50:$J$89,MATCH($A155,'Top Down inputs'!$H$50:$H96,0)))</f>
        <v>77.52055977577534</v>
      </c>
      <c r="E155" s="183">
        <f t="shared" si="188"/>
        <v>49.582678878231384</v>
      </c>
      <c r="F155" s="183">
        <f t="shared" si="188"/>
        <v>56.095845244106208</v>
      </c>
      <c r="G155" s="183">
        <f t="shared" si="188"/>
        <v>66.215763141683965</v>
      </c>
      <c r="H155" s="19">
        <f t="shared" si="188"/>
        <v>70.187702240523237</v>
      </c>
      <c r="I155" s="19">
        <f t="shared" si="188"/>
        <v>66.220036945299313</v>
      </c>
      <c r="J155" s="30">
        <f t="shared" si="189"/>
        <v>83.28214103718301</v>
      </c>
      <c r="K155" s="30">
        <f t="shared" ref="K155:N155" si="213">J155*(1+($C155+K$62))</f>
        <v>89.314747965588651</v>
      </c>
      <c r="L155" s="30">
        <f t="shared" si="213"/>
        <v>95.875577116733737</v>
      </c>
      <c r="M155" s="30">
        <f t="shared" si="213"/>
        <v>102.83564930634991</v>
      </c>
      <c r="N155" s="30">
        <f t="shared" si="213"/>
        <v>110.29111730333963</v>
      </c>
      <c r="O155" s="102">
        <f t="shared" si="207"/>
        <v>0</v>
      </c>
      <c r="P155" s="102">
        <f t="shared" si="207"/>
        <v>0</v>
      </c>
      <c r="Q155" s="102">
        <f t="shared" si="207"/>
        <v>0</v>
      </c>
      <c r="R155" s="102">
        <f t="shared" si="207"/>
        <v>0</v>
      </c>
      <c r="S155" s="102">
        <f t="shared" si="207"/>
        <v>0</v>
      </c>
      <c r="U155" s="9" t="s">
        <v>275</v>
      </c>
      <c r="V155" s="9" t="s">
        <v>265</v>
      </c>
      <c r="W155" s="9" t="str">
        <v>WN301</v>
      </c>
      <c r="X155" t="s">
        <v>282</v>
      </c>
      <c r="Y155" s="28" cm="1">
        <f t="array" ref="Y155">E113+SUMPRODUCT(IF($U$148:$U$187="Rentals",IF($V$148:$V$187="Legacy",IF($C$19:$C$58="Rentals",IF($D$19:$D$58="Legacy",E$148:E$187*Y$19:Y$58)))))/SUMIFS(Y$19:Y$58,$C$19:$C$58,"Rentals",$D$19:$D$58,"Legacy")</f>
        <v>124.58959888124133</v>
      </c>
      <c r="Z155" s="28" cm="1">
        <f t="array" ref="Z155">F113+SUMPRODUCT(IF($U$148:$U$187="Rentals",IF($V$148:$V$187="Legacy",IF($C$19:$C$58="Rentals",IF($D$19:$D$58="Legacy",F$148:F$187*Z$19:Z$58)))))/SUMIFS(Z$19:Z$58,$C$19:$C$58,"Rentals",$D$19:$D$58,"Legacy")</f>
        <v>145.397764856674</v>
      </c>
      <c r="AA155" s="28" cm="1">
        <f t="array" ref="AA155">G113+SUMPRODUCT(IF($U$148:$U$187="Rentals",IF($V$148:$V$187="Legacy",IF($C$19:$C$58="Rentals",IF($D$19:$D$58="Legacy",G$148:G$187*AA$19:AA$58)))))/SUMIFS(AA$19:AA$58,$C$19:$C$58,"Rentals",$D$19:$D$58,"Legacy")</f>
        <v>176.64207916096501</v>
      </c>
      <c r="AB155" s="28" cm="1">
        <f t="array" ref="AB155">H113+SUMPRODUCT(IF($U$148:$U$187="Rentals",IF($V$148:$V$187="Legacy",IF($C$19:$C$58="Rentals",IF($D$19:$D$58="Legacy",H$148:H$187*AB$19:AB$58)))))/SUMIFS(AB$19:AB$58,$C$19:$C$58,"Rentals",$D$19:$D$58,"Legacy")</f>
        <v>169.44592907072598</v>
      </c>
      <c r="AC155" s="28" cm="1">
        <f t="array" ref="AC155">I113+SUMPRODUCT(IF($U$148:$U$187="Rentals",IF($V$148:$V$187="Legacy",IF($C$19:$C$58="Rentals",IF($D$19:$D$58="Legacy",I$148:I$187*AC$19:AC$58)))))/SUMIFS(AC$19:AC$58,$C$19:$C$58,"Rentals",$D$19:$D$58,"Legacy")</f>
        <v>175.40091166866202</v>
      </c>
      <c r="AD155" s="28" cm="1">
        <f t="array" ref="AD155">J113+SUMPRODUCT(IF($U$148:$U$187="Rentals",IF($V$148:$V$187="Legacy",IF($C$19:$C$58="Rentals",IF($D$19:$D$58="Legacy",J$148:J$187*AD$19:AD$58)))))/SUMIFS(AD$19:AD$58,$C$19:$C$58,"Rentals",$D$19:$D$58,"Legacy")</f>
        <v>183.63111449400134</v>
      </c>
      <c r="AE155" s="28" cm="1">
        <f t="array" ref="AE155">K113+SUMPRODUCT(IF($U$148:$U$187="Rentals",IF($V$148:$V$187="Legacy",IF($C$19:$C$58="Rentals",IF($D$19:$D$58="Legacy",K$148:K$187*AE$19:AE$58)))))/SUMIFS(AE$19:AE$58,$C$19:$C$58,"Rentals",$D$19:$D$58,"Legacy")</f>
        <v>178.66208761594649</v>
      </c>
      <c r="AF155" s="28" cm="1">
        <f t="array" ref="AF155">L113+SUMPRODUCT(IF($U$148:$U$187="Rentals",IF($V$148:$V$187="Legacy",IF($C$19:$C$58="Rentals",IF($D$19:$D$58="Legacy",L$148:L$187*AF$19:AF$58)))))/SUMIFS(AF$19:AF$58,$C$19:$C$58,"Rentals",$D$19:$D$58,"Legacy")</f>
        <v>181.19578398980337</v>
      </c>
      <c r="AG155" s="28" cm="1">
        <f t="array" ref="AG155">M113+SUMPRODUCT(IF($U$148:$U$187="Rentals",IF($V$148:$V$187="Legacy",IF($C$19:$C$58="Rentals",IF($D$19:$D$58="Legacy",M$148:M$187*AG$19:AG$58)))))/SUMIFS(AG$19:AG$58,$C$19:$C$58,"Rentals",$D$19:$D$58,"Legacy")</f>
        <v>186.41235346551662</v>
      </c>
      <c r="AH155" s="28" cm="1">
        <f t="array" ref="AH155">N113+SUMPRODUCT(IF($U$148:$U$187="Rentals",IF($V$148:$V$187="Legacy",IF($C$19:$C$58="Rentals",IF($D$19:$D$58="Legacy",N$148:N$187*AH$19:AH$58)))))/SUMIFS(AH$19:AH$58,$C$19:$C$58,"Rentals",$D$19:$D$58,"Legacy")</f>
        <v>196.7675821156727</v>
      </c>
      <c r="AI155" s="28" cm="1">
        <f t="array" ref="AI155">O113+SUMPRODUCT(IF($U$148:$U$187="Rentals",IF($V$148:$V$187="Legacy",IF($C$19:$C$58="Rentals",IF($D$19:$D$58="Legacy",O$148:O$187*AI$19:AI$58)))))/SUMIFS(AI$19:AI$58,$C$19:$C$58,"Rentals",$D$19:$D$58,"Legacy")</f>
        <v>290.32506508802004</v>
      </c>
      <c r="AJ155" s="28" cm="1">
        <f t="array" ref="AJ155">P113+SUMPRODUCT(IF($U$148:$U$187="Rentals",IF($V$148:$V$187="Legacy",IF($C$19:$C$58="Rentals",IF($D$19:$D$58="Legacy",P$148:P$187*AJ$19:AJ$58)))))/SUMIFS(AJ$19:AJ$58,$C$19:$C$58,"Rentals",$D$19:$D$58,"Legacy")</f>
        <v>277.13695337250533</v>
      </c>
      <c r="AK155" s="28" cm="1">
        <f t="array" ref="AK155">Q113+IF(SUM(AK20:AK59)=0,0,SUMPRODUCT(IF($U$148:$U$187="Rentals",IF($V$148:$V$187="Legacy",IF($C$19:$C$58="Rentals",IF($D$19:$D$58="Legacy",Q$148:Q$187*AK$19:AK$58)))))/SUMIFS(AK$19:AK$58,$C$19:$C$58,"Rentals",$D$19:$D$58,"Legacy"))</f>
        <v>0</v>
      </c>
      <c r="AL155" s="28" cm="1">
        <f t="array" ref="AL155">R113+IF(SUM(AL20:AL59)=0,0,SUMPRODUCT(IF($U$148:$U$187="Rentals",IF($V$148:$V$187="Legacy",IF($C$19:$C$58="Rentals",IF($D$19:$D$58="Legacy",R$148:R$187*AL$19:AL$58)))))/SUMIFS(AL$19:AL$58,$C$19:$C$58,"Rentals",$D$19:$D$58,"Legacy"))</f>
        <v>0</v>
      </c>
      <c r="AM155" s="28" cm="1">
        <f t="array" ref="AM155">S113+IF(SUM(AM20:AM59)=0,0,SUMPRODUCT(IF($U$148:$U$187="Rentals",IF($V$148:$V$187="Legacy",IF($C$19:$C$58="Rentals",IF($D$19:$D$58="Legacy",S$148:S$187*AM$19:AM$58)))))/SUMIFS(AM$19:AM$58,$C$19:$C$58,"Rentals",$D$19:$D$58,"Legacy"))</f>
        <v>0</v>
      </c>
    </row>
    <row r="156" spans="1:39" ht="14.65" thickBot="1" x14ac:dyDescent="0.5">
      <c r="A156" s="9" t="str">
        <v>WX310</v>
      </c>
      <c r="B156" t="s">
        <v>283</v>
      </c>
      <c r="C156" s="25">
        <f>IF($B$2="Discounted",INDEX('Top Down inputs'!$D$50:$F$89,MATCH($A156,'Top Down inputs'!$A$50:$A$89,0),MATCH('Copper Weighted Price'!$B$147,'Top Down inputs'!$D$47:$F$47,0)),INDEX('Top Down inputs'!$D$5:$F$44,MATCH($A156,'Top Down inputs'!$A$5:$A$44,0),MATCH('Copper Weighted Price'!$B$147,'Top Down inputs'!$D$2:$F$2,0)))</f>
        <v>5.2499999999999998E-2</v>
      </c>
      <c r="D156" s="13">
        <f>IF($B$2="Headline",INDEX('Top Down inputs'!$J$5:$J$44,MATCH($A156,'Top Down inputs'!$H$5:$H$44,0)),INDEX('Top Down inputs'!$J$50:$J$89,MATCH($A156,'Top Down inputs'!$H$50:$H97,0)))</f>
        <v>91.914304356048433</v>
      </c>
      <c r="E156" s="183">
        <f t="shared" si="188"/>
        <v>62.487361804185809</v>
      </c>
      <c r="F156" s="183">
        <f t="shared" si="188"/>
        <v>83.588090030846729</v>
      </c>
      <c r="G156" s="183">
        <f t="shared" si="188"/>
        <v>78.954409742235526</v>
      </c>
      <c r="H156" s="19">
        <f t="shared" si="188"/>
        <v>71.583575649616606</v>
      </c>
      <c r="I156" s="19">
        <f t="shared" si="188"/>
        <v>97.55806370776628</v>
      </c>
      <c r="J156" s="30">
        <f t="shared" si="189"/>
        <v>98.745675738877608</v>
      </c>
      <c r="K156" s="30">
        <f t="shared" ref="K156:N156" si="214">J156*(1+($C156+K$62))</f>
        <v>105.89839588024009</v>
      </c>
      <c r="L156" s="30">
        <f t="shared" si="214"/>
        <v>113.67741668672849</v>
      </c>
      <c r="M156" s="30">
        <f t="shared" si="214"/>
        <v>121.9298105732902</v>
      </c>
      <c r="N156" s="30">
        <f t="shared" si="214"/>
        <v>130.7695836163924</v>
      </c>
      <c r="O156" s="102">
        <f t="shared" si="207"/>
        <v>0</v>
      </c>
      <c r="P156" s="102">
        <f t="shared" si="207"/>
        <v>0</v>
      </c>
      <c r="Q156" s="102">
        <f t="shared" si="207"/>
        <v>0</v>
      </c>
      <c r="R156" s="102">
        <f t="shared" si="207"/>
        <v>0</v>
      </c>
      <c r="S156" s="102">
        <f t="shared" si="207"/>
        <v>0</v>
      </c>
      <c r="U156" s="9" t="s">
        <v>275</v>
      </c>
      <c r="V156" s="9" t="s">
        <v>265</v>
      </c>
      <c r="W156" s="9" t="str">
        <v>WX310</v>
      </c>
      <c r="X156" t="s">
        <v>283</v>
      </c>
      <c r="Y156" s="28" cm="1">
        <f t="array" ref="Y156">E114+SUMPRODUCT(IF($U$148:$U$187="Rentals",IF($V$148:$V$187="Legacy",IF($C$19:$C$58="Rentals",IF($D$19:$D$58="Legacy",E$148:E$187*Y$19:Y$58)))))/SUMIFS(Y$19:Y$58,$C$19:$C$58,"Rentals",$D$19:$D$58,"Legacy")</f>
        <v>137.49428180719576</v>
      </c>
      <c r="Z156" s="28" cm="1">
        <f t="array" ref="Z156">F114+SUMPRODUCT(IF($U$148:$U$187="Rentals",IF($V$148:$V$187="Legacy",IF($C$19:$C$58="Rentals",IF($D$19:$D$58="Legacy",F$148:F$187*Z$19:Z$58)))))/SUMIFS(Z$19:Z$58,$C$19:$C$58,"Rentals",$D$19:$D$58,"Legacy")</f>
        <v>172.89000964341452</v>
      </c>
      <c r="AA156" s="28" cm="1">
        <f t="array" ref="AA156">G114+SUMPRODUCT(IF($U$148:$U$187="Rentals",IF($V$148:$V$187="Legacy",IF($C$19:$C$58="Rentals",IF($D$19:$D$58="Legacy",G$148:G$187*AA$19:AA$58)))))/SUMIFS(AA$19:AA$58,$C$19:$C$58,"Rentals",$D$19:$D$58,"Legacy")</f>
        <v>189.38072576151654</v>
      </c>
      <c r="AB156" s="28" cm="1">
        <f t="array" ref="AB156">H114+SUMPRODUCT(IF($U$148:$U$187="Rentals",IF($V$148:$V$187="Legacy",IF($C$19:$C$58="Rentals",IF($D$19:$D$58="Legacy",H$148:H$187*AB$19:AB$58)))))/SUMIFS(AB$19:AB$58,$C$19:$C$58,"Rentals",$D$19:$D$58,"Legacy")</f>
        <v>170.84180247981934</v>
      </c>
      <c r="AC156" s="28" cm="1">
        <f t="array" ref="AC156">I114+SUMPRODUCT(IF($U$148:$U$187="Rentals",IF($V$148:$V$187="Legacy",IF($C$19:$C$58="Rentals",IF($D$19:$D$58="Legacy",I$148:I$187*AC$19:AC$58)))))/SUMIFS(AC$19:AC$58,$C$19:$C$58,"Rentals",$D$19:$D$58,"Legacy")</f>
        <v>206.73893843112899</v>
      </c>
      <c r="AD156" s="28" cm="1">
        <f t="array" ref="AD156">J114+SUMPRODUCT(IF($U$148:$U$187="Rentals",IF($V$148:$V$187="Legacy",IF($C$19:$C$58="Rentals",IF($D$19:$D$58="Legacy",J$148:J$187*AD$19:AD$58)))))/SUMIFS(AD$19:AD$58,$C$19:$C$58,"Rentals",$D$19:$D$58,"Legacy")</f>
        <v>199.49047717165345</v>
      </c>
      <c r="AE156" s="28" cm="1">
        <f t="array" ref="AE156">K114+SUMPRODUCT(IF($U$148:$U$187="Rentals",IF($V$148:$V$187="Legacy",IF($C$19:$C$58="Rentals",IF($D$19:$D$58="Legacy",K$148:K$187*AE$19:AE$58)))))/SUMIFS(AE$19:AE$58,$C$19:$C$58,"Rentals",$D$19:$D$58,"Legacy")</f>
        <v>196.10636808876637</v>
      </c>
      <c r="AF156" s="28" cm="1">
        <f t="array" ref="AF156">L114+SUMPRODUCT(IF($U$148:$U$187="Rentals",IF($V$148:$V$187="Legacy",IF($C$19:$C$58="Rentals",IF($D$19:$D$58="Legacy",L$148:L$187*AF$19:AF$58)))))/SUMIFS(AF$19:AF$58,$C$19:$C$58,"Rentals",$D$19:$D$58,"Legacy")</f>
        <v>200.40119366089274</v>
      </c>
      <c r="AG156" s="28" cm="1">
        <f t="array" ref="AG156">M114+SUMPRODUCT(IF($U$148:$U$187="Rentals",IF($V$148:$V$187="Legacy",IF($C$19:$C$58="Rentals",IF($D$19:$D$58="Legacy",M$148:M$187*AG$19:AG$58)))))/SUMIFS(AG$19:AG$58,$C$19:$C$58,"Rentals",$D$19:$D$58,"Legacy")</f>
        <v>207.5401255465548</v>
      </c>
      <c r="AH156" s="28" cm="1">
        <f t="array" ref="AH156">N114+SUMPRODUCT(IF($U$148:$U$187="Rentals",IF($V$148:$V$187="Legacy",IF($C$19:$C$58="Rentals",IF($D$19:$D$58="Legacy",N$148:N$187*AH$19:AH$58)))))/SUMIFS(AH$19:AH$58,$C$19:$C$58,"Rentals",$D$19:$D$58,"Legacy")</f>
        <v>220.00810745370896</v>
      </c>
      <c r="AI156" s="28" cm="1">
        <f t="array" ref="AI156">O114+SUMPRODUCT(IF($U$148:$U$187="Rentals",IF($V$148:$V$187="Legacy",IF($C$19:$C$58="Rentals",IF($D$19:$D$58="Legacy",O$148:O$187*AI$19:AI$58)))))/SUMIFS(AI$19:AI$58,$C$19:$C$58,"Rentals",$D$19:$D$58,"Legacy")</f>
        <v>290.32506508802004</v>
      </c>
      <c r="AJ156" s="28" cm="1">
        <f t="array" ref="AJ156">P114+SUMPRODUCT(IF($U$148:$U$187="Rentals",IF($V$148:$V$187="Legacy",IF($C$19:$C$58="Rentals",IF($D$19:$D$58="Legacy",P$148:P$187*AJ$19:AJ$58)))))/SUMIFS(AJ$19:AJ$58,$C$19:$C$58,"Rentals",$D$19:$D$58,"Legacy")</f>
        <v>277.13695337250533</v>
      </c>
      <c r="AK156" s="28" cm="1">
        <f t="array" ref="AK156">Q114+IF(SUM(AK21:AK60)=0,0,SUMPRODUCT(IF($U$148:$U$187="Rentals",IF($V$148:$V$187="Legacy",IF($C$19:$C$58="Rentals",IF($D$19:$D$58="Legacy",Q$148:Q$187*AK$19:AK$58)))))/SUMIFS(AK$19:AK$58,$C$19:$C$58,"Rentals",$D$19:$D$58,"Legacy"))</f>
        <v>0</v>
      </c>
      <c r="AL156" s="28" cm="1">
        <f t="array" ref="AL156">R114+IF(SUM(AL21:AL60)=0,0,SUMPRODUCT(IF($U$148:$U$187="Rentals",IF($V$148:$V$187="Legacy",IF($C$19:$C$58="Rentals",IF($D$19:$D$58="Legacy",R$148:R$187*AL$19:AL$58)))))/SUMIFS(AL$19:AL$58,$C$19:$C$58,"Rentals",$D$19:$D$58,"Legacy"))</f>
        <v>0</v>
      </c>
      <c r="AM156" s="28" cm="1">
        <f t="array" ref="AM156">S114+IF(SUM(AM21:AM60)=0,0,SUMPRODUCT(IF($U$148:$U$187="Rentals",IF($V$148:$V$187="Legacy",IF($C$19:$C$58="Rentals",IF($D$19:$D$58="Legacy",S$148:S$187*AM$19:AM$58)))))/SUMIFS(AM$19:AM$58,$C$19:$C$58,"Rentals",$D$19:$D$58,"Legacy"))</f>
        <v>0</v>
      </c>
    </row>
    <row r="157" spans="1:39" ht="14.65" thickBot="1" x14ac:dyDescent="0.5">
      <c r="A157" s="9" t="str">
        <v>WX311</v>
      </c>
      <c r="B157" t="s">
        <v>284</v>
      </c>
      <c r="C157" s="25">
        <f>IF($B$2="Discounted",INDEX('Top Down inputs'!$D$50:$F$89,MATCH($A157,'Top Down inputs'!$A$50:$A$89,0),MATCH('Copper Weighted Price'!$B$147,'Top Down inputs'!$D$47:$F$47,0)),INDEX('Top Down inputs'!$D$5:$F$44,MATCH($A157,'Top Down inputs'!$A$5:$A$44,0),MATCH('Copper Weighted Price'!$B$147,'Top Down inputs'!$D$2:$F$2,0)))</f>
        <v>5.2499999999999998E-2</v>
      </c>
      <c r="D157" s="13">
        <f>IF($B$2="Headline",INDEX('Top Down inputs'!$J$5:$J$44,MATCH($A157,'Top Down inputs'!$H$5:$H$44,0)),INDEX('Top Down inputs'!$J$50:$J$89,MATCH($A157,'Top Down inputs'!$H$50:$H98,0)))</f>
        <v>84.734806701698801</v>
      </c>
      <c r="E157" s="183">
        <f t="shared" si="188"/>
        <v>49.862846956002535</v>
      </c>
      <c r="F157" s="183">
        <f t="shared" si="188"/>
        <v>58.733926610756555</v>
      </c>
      <c r="G157" s="183">
        <f t="shared" si="188"/>
        <v>74.81387309276414</v>
      </c>
      <c r="H157" s="19">
        <f t="shared" si="188"/>
        <v>62.740901542756454</v>
      </c>
      <c r="I157" s="19">
        <f t="shared" si="188"/>
        <v>71.870945717078158</v>
      </c>
      <c r="J157" s="30">
        <f t="shared" si="189"/>
        <v>91.032574363511671</v>
      </c>
      <c r="K157" s="30">
        <f t="shared" ref="K157:N157" si="215">J157*(1+($C157+K$62))</f>
        <v>97.626589982907632</v>
      </c>
      <c r="L157" s="30">
        <f t="shared" si="215"/>
        <v>104.79798543636092</v>
      </c>
      <c r="M157" s="30">
        <f t="shared" si="215"/>
        <v>112.40577843118514</v>
      </c>
      <c r="N157" s="30">
        <f t="shared" si="215"/>
        <v>120.55506994072658</v>
      </c>
      <c r="O157" s="102">
        <f t="shared" si="207"/>
        <v>0</v>
      </c>
      <c r="P157" s="102">
        <f t="shared" si="207"/>
        <v>0</v>
      </c>
      <c r="Q157" s="102">
        <f t="shared" si="207"/>
        <v>0</v>
      </c>
      <c r="R157" s="102">
        <f t="shared" si="207"/>
        <v>0</v>
      </c>
      <c r="S157" s="102">
        <f t="shared" si="207"/>
        <v>0</v>
      </c>
      <c r="U157" s="9" t="s">
        <v>275</v>
      </c>
      <c r="V157" s="9" t="s">
        <v>265</v>
      </c>
      <c r="W157" s="9" t="str">
        <v>WX311</v>
      </c>
      <c r="X157" t="s">
        <v>284</v>
      </c>
      <c r="Y157" s="28" cm="1">
        <f t="array" ref="Y157">E115+SUMPRODUCT(IF($U$148:$U$187="Rentals",IF($V$148:$V$187="Legacy",IF($C$19:$C$58="Rentals",IF($D$19:$D$58="Legacy",E$148:E$187*Y$19:Y$58)))))/SUMIFS(Y$19:Y$58,$C$19:$C$58,"Rentals",$D$19:$D$58,"Legacy")</f>
        <v>124.86976695901248</v>
      </c>
      <c r="Z157" s="28" cm="1">
        <f t="array" ref="Z157">F115+SUMPRODUCT(IF($U$148:$U$187="Rentals",IF($V$148:$V$187="Legacy",IF($C$19:$C$58="Rentals",IF($D$19:$D$58="Legacy",F$148:F$187*Z$19:Z$58)))))/SUMIFS(Z$19:Z$58,$C$19:$C$58,"Rentals",$D$19:$D$58,"Legacy")</f>
        <v>148.03584622332434</v>
      </c>
      <c r="AA157" s="28" cm="1">
        <f t="array" ref="AA157">G115+SUMPRODUCT(IF($U$148:$U$187="Rentals",IF($V$148:$V$187="Legacy",IF($C$19:$C$58="Rentals",IF($D$19:$D$58="Legacy",G$148:G$187*AA$19:AA$58)))))/SUMIFS(AA$19:AA$58,$C$19:$C$58,"Rentals",$D$19:$D$58,"Legacy")</f>
        <v>185.24018911204519</v>
      </c>
      <c r="AB157" s="28" cm="1">
        <f t="array" ref="AB157">H115+SUMPRODUCT(IF($U$148:$U$187="Rentals",IF($V$148:$V$187="Legacy",IF($C$19:$C$58="Rentals",IF($D$19:$D$58="Legacy",H$148:H$187*AB$19:AB$58)))))/SUMIFS(AB$19:AB$58,$C$19:$C$58,"Rentals",$D$19:$D$58,"Legacy")</f>
        <v>161.99912837295918</v>
      </c>
      <c r="AC157" s="28" cm="1">
        <f t="array" ref="AC157">I115+SUMPRODUCT(IF($U$148:$U$187="Rentals",IF($V$148:$V$187="Legacy",IF($C$19:$C$58="Rentals",IF($D$19:$D$58="Legacy",I$148:I$187*AC$19:AC$58)))))/SUMIFS(AC$19:AC$58,$C$19:$C$58,"Rentals",$D$19:$D$58,"Legacy")</f>
        <v>181.05182044044085</v>
      </c>
      <c r="AD157" s="28" cm="1">
        <f t="array" ref="AD157">J115+SUMPRODUCT(IF($U$148:$U$187="Rentals",IF($V$148:$V$187="Legacy",IF($C$19:$C$58="Rentals",IF($D$19:$D$58="Legacy",J$148:J$187*AD$19:AD$58)))))/SUMIFS(AD$19:AD$58,$C$19:$C$58,"Rentals",$D$19:$D$58,"Legacy")</f>
        <v>191.57993961079291</v>
      </c>
      <c r="AE157" s="28" cm="1">
        <f t="array" ref="AE157">K115+SUMPRODUCT(IF($U$148:$U$187="Rentals",IF($V$148:$V$187="Legacy",IF($C$19:$C$58="Rentals",IF($D$19:$D$58="Legacy",K$148:K$187*AE$19:AE$58)))))/SUMIFS(AE$19:AE$58,$C$19:$C$58,"Rentals",$D$19:$D$58,"Legacy")</f>
        <v>187.40528477872397</v>
      </c>
      <c r="AF157" s="28" cm="1">
        <f t="array" ref="AF157">L115+SUMPRODUCT(IF($U$148:$U$187="Rentals",IF($V$148:$V$187="Legacy",IF($C$19:$C$58="Rentals",IF($D$19:$D$58="Legacy",L$148:L$187*AF$19:AF$58)))))/SUMIFS(AF$19:AF$58,$C$19:$C$58,"Rentals",$D$19:$D$58,"Legacy")</f>
        <v>190.82167160424987</v>
      </c>
      <c r="AG157" s="28" cm="1">
        <f t="array" ref="AG157">M115+SUMPRODUCT(IF($U$148:$U$187="Rentals",IF($V$148:$V$187="Legacy",IF($C$19:$C$58="Rentals",IF($D$19:$D$58="Legacy",M$148:M$187*AG$19:AG$58)))))/SUMIFS(AG$19:AG$58,$C$19:$C$58,"Rentals",$D$19:$D$58,"Legacy")</f>
        <v>197.00174276148459</v>
      </c>
      <c r="AH157" s="28" cm="1">
        <f t="array" ref="AH157">N115+SUMPRODUCT(IF($U$148:$U$187="Rentals",IF($V$148:$V$187="Legacy",IF($C$19:$C$58="Rentals",IF($D$19:$D$58="Legacy",N$148:N$187*AH$19:AH$58)))))/SUMIFS(AH$19:AH$58,$C$19:$C$58,"Rentals",$D$19:$D$58,"Legacy")</f>
        <v>208.41589833677332</v>
      </c>
      <c r="AI157" s="28" cm="1">
        <f t="array" ref="AI157">O115+SUMPRODUCT(IF($U$148:$U$187="Rentals",IF($V$148:$V$187="Legacy",IF($C$19:$C$58="Rentals",IF($D$19:$D$58="Legacy",O$148:O$187*AI$19:AI$58)))))/SUMIFS(AI$19:AI$58,$C$19:$C$58,"Rentals",$D$19:$D$58,"Legacy")</f>
        <v>290.32506508802004</v>
      </c>
      <c r="AJ157" s="28" cm="1">
        <f t="array" ref="AJ157">P115+SUMPRODUCT(IF($U$148:$U$187="Rentals",IF($V$148:$V$187="Legacy",IF($C$19:$C$58="Rentals",IF($D$19:$D$58="Legacy",P$148:P$187*AJ$19:AJ$58)))))/SUMIFS(AJ$19:AJ$58,$C$19:$C$58,"Rentals",$D$19:$D$58,"Legacy")</f>
        <v>277.13695337250533</v>
      </c>
      <c r="AK157" s="28" cm="1">
        <f t="array" ref="AK157">Q115+IF(SUM(AK22:AK61)=0,0,SUMPRODUCT(IF($U$148:$U$187="Rentals",IF($V$148:$V$187="Legacy",IF($C$19:$C$58="Rentals",IF($D$19:$D$58="Legacy",Q$148:Q$187*AK$19:AK$58)))))/SUMIFS(AK$19:AK$58,$C$19:$C$58,"Rentals",$D$19:$D$58,"Legacy"))</f>
        <v>0</v>
      </c>
      <c r="AL157" s="28" cm="1">
        <f t="array" ref="AL157">R115+IF(SUM(AL22:AL61)=0,0,SUMPRODUCT(IF($U$148:$U$187="Rentals",IF($V$148:$V$187="Legacy",IF($C$19:$C$58="Rentals",IF($D$19:$D$58="Legacy",R$148:R$187*AL$19:AL$58)))))/SUMIFS(AL$19:AL$58,$C$19:$C$58,"Rentals",$D$19:$D$58,"Legacy"))</f>
        <v>0</v>
      </c>
      <c r="AM157" s="28" cm="1">
        <f t="array" ref="AM157">S115+IF(SUM(AM22:AM61)=0,0,SUMPRODUCT(IF($U$148:$U$187="Rentals",IF($V$148:$V$187="Legacy",IF($C$19:$C$58="Rentals",IF($D$19:$D$58="Legacy",S$148:S$187*AM$19:AM$58)))))/SUMIFS(AM$19:AM$58,$C$19:$C$58,"Rentals",$D$19:$D$58,"Legacy"))</f>
        <v>0</v>
      </c>
    </row>
    <row r="158" spans="1:39" ht="14.65" thickBot="1" x14ac:dyDescent="0.5">
      <c r="A158" s="9" t="str">
        <v>WN302</v>
      </c>
      <c r="B158" t="s">
        <v>285</v>
      </c>
      <c r="C158" s="25">
        <f>IF($B$2="Discounted",INDEX('Top Down inputs'!$D$50:$F$89,MATCH($A158,'Top Down inputs'!$A$50:$A$89,0),MATCH('Copper Weighted Price'!$B$147,'Top Down inputs'!$D$47:$F$47,0)),INDEX('Top Down inputs'!$D$5:$F$44,MATCH($A158,'Top Down inputs'!$A$5:$A$44,0),MATCH('Copper Weighted Price'!$B$147,'Top Down inputs'!$D$2:$F$2,0)))</f>
        <v>0.75249999999999995</v>
      </c>
      <c r="D158" s="13">
        <f>IF($B$2="Headline",INDEX('Top Down inputs'!$J$5:$J$44,MATCH($A158,'Top Down inputs'!$H$5:$H$44,0)),INDEX('Top Down inputs'!$J$50:$J$89,MATCH($A158,'Top Down inputs'!$H$50:$H99,0)))</f>
        <v>122.7106396118904</v>
      </c>
      <c r="E158" s="183">
        <f t="shared" ref="E158:I167" si="216">E73</f>
        <v>99.543068466897637</v>
      </c>
      <c r="F158" s="183">
        <f t="shared" si="216"/>
        <v>92.092235599505486</v>
      </c>
      <c r="G158" s="183">
        <f t="shared" si="216"/>
        <v>118.95722997866923</v>
      </c>
      <c r="H158" s="19">
        <f t="shared" si="216"/>
        <v>95.951195902547084</v>
      </c>
      <c r="I158" s="19">
        <f t="shared" si="216"/>
        <v>124.85281966200844</v>
      </c>
      <c r="J158" s="30">
        <f t="shared" si="189"/>
        <v>217.72834297056778</v>
      </c>
      <c r="K158" s="30">
        <f t="shared" ref="K158:N158" si="217">J158*(1+($C158+K$62))</f>
        <v>385.90950561632553</v>
      </c>
      <c r="L158" s="30">
        <f t="shared" si="217"/>
        <v>684.39406839621222</v>
      </c>
      <c r="M158" s="30">
        <f t="shared" si="217"/>
        <v>1213.1533942294016</v>
      </c>
      <c r="N158" s="30">
        <f t="shared" si="217"/>
        <v>2150.3130160028386</v>
      </c>
      <c r="O158" s="102">
        <f t="shared" si="207"/>
        <v>0</v>
      </c>
      <c r="P158" s="102">
        <f t="shared" si="207"/>
        <v>0</v>
      </c>
      <c r="Q158" s="102">
        <f t="shared" si="207"/>
        <v>0</v>
      </c>
      <c r="R158" s="102">
        <f t="shared" si="207"/>
        <v>0</v>
      </c>
      <c r="S158" s="102">
        <f t="shared" si="207"/>
        <v>0</v>
      </c>
      <c r="U158" s="9" t="s">
        <v>3</v>
      </c>
      <c r="V158" s="9" t="s">
        <v>265</v>
      </c>
      <c r="W158" s="9" t="str">
        <v>WN302</v>
      </c>
      <c r="X158" t="s">
        <v>285</v>
      </c>
      <c r="Y158" s="28">
        <f t="shared" si="191"/>
        <v>99.543068466897637</v>
      </c>
      <c r="Z158" s="28">
        <f t="shared" si="192"/>
        <v>92.092235599505486</v>
      </c>
      <c r="AA158" s="28">
        <f t="shared" si="193"/>
        <v>118.95722997866923</v>
      </c>
      <c r="AB158" s="28">
        <f t="shared" si="194"/>
        <v>95.951195902547084</v>
      </c>
      <c r="AC158" s="28">
        <f t="shared" si="195"/>
        <v>124.85281966200844</v>
      </c>
      <c r="AD158" s="28">
        <f t="shared" si="196"/>
        <v>217.72834297056778</v>
      </c>
      <c r="AE158" s="28">
        <f t="shared" si="197"/>
        <v>385.90950561632553</v>
      </c>
      <c r="AF158" s="28">
        <f t="shared" si="198"/>
        <v>684.39406839621222</v>
      </c>
      <c r="AG158" s="28">
        <f t="shared" si="199"/>
        <v>1213.1533942294016</v>
      </c>
      <c r="AH158" s="28">
        <f t="shared" si="200"/>
        <v>2150.3130160028386</v>
      </c>
      <c r="AI158" s="28">
        <f t="shared" si="201"/>
        <v>0</v>
      </c>
      <c r="AJ158" s="28">
        <f t="shared" si="202"/>
        <v>0</v>
      </c>
      <c r="AK158" s="28">
        <f t="shared" si="203"/>
        <v>0</v>
      </c>
      <c r="AL158" s="28">
        <f>R158</f>
        <v>0</v>
      </c>
      <c r="AM158" s="28">
        <f t="shared" si="205"/>
        <v>0</v>
      </c>
    </row>
    <row r="159" spans="1:39" ht="14.65" thickBot="1" x14ac:dyDescent="0.5">
      <c r="A159" s="9" t="str">
        <v>WX312</v>
      </c>
      <c r="B159" t="s">
        <v>286</v>
      </c>
      <c r="C159" s="25">
        <f>IF($B$2="Discounted",INDEX('Top Down inputs'!$D$50:$F$89,MATCH($A159,'Top Down inputs'!$A$50:$A$89,0),MATCH('Copper Weighted Price'!$B$147,'Top Down inputs'!$D$47:$F$47,0)),INDEX('Top Down inputs'!$D$5:$F$44,MATCH($A159,'Top Down inputs'!$A$5:$A$44,0),MATCH('Copper Weighted Price'!$B$147,'Top Down inputs'!$D$2:$F$2,0)))</f>
        <v>0.75249999999999995</v>
      </c>
      <c r="D159" s="13">
        <f>IF($B$2="Headline",INDEX('Top Down inputs'!$J$5:$J$44,MATCH($A159,'Top Down inputs'!$H$5:$H$44,0)),INDEX('Top Down inputs'!$J$50:$J$89,MATCH($A159,'Top Down inputs'!$H$50:$H100,0)))</f>
        <v>125.61882004354661</v>
      </c>
      <c r="E159" s="183">
        <f t="shared" si="216"/>
        <v>116.21335337007116</v>
      </c>
      <c r="F159" s="183">
        <f t="shared" si="216"/>
        <v>77.742402294916545</v>
      </c>
      <c r="G159" s="183">
        <f t="shared" si="216"/>
        <v>105.22768543318006</v>
      </c>
      <c r="H159" s="19">
        <f t="shared" si="216"/>
        <v>109.59230515805507</v>
      </c>
      <c r="I159" s="19">
        <f t="shared" si="216"/>
        <v>108.11122656405303</v>
      </c>
      <c r="J159" s="30">
        <f t="shared" si="189"/>
        <v>222.8883951750596</v>
      </c>
      <c r="K159" s="30">
        <f t="shared" ref="K159:N159" si="218">J159*(1+($C159+K$62))</f>
        <v>395.05536677533439</v>
      </c>
      <c r="L159" s="30">
        <f t="shared" si="218"/>
        <v>700.61386354638421</v>
      </c>
      <c r="M159" s="30">
        <f t="shared" si="218"/>
        <v>1241.9045194199623</v>
      </c>
      <c r="N159" s="30">
        <f t="shared" si="218"/>
        <v>2201.2743528099295</v>
      </c>
      <c r="O159" s="102">
        <f t="shared" ref="O159:S168" si="219">IF(O30=0,0,O423/O30)</f>
        <v>0</v>
      </c>
      <c r="P159" s="102">
        <f t="shared" si="219"/>
        <v>0</v>
      </c>
      <c r="Q159" s="102">
        <f t="shared" si="219"/>
        <v>0</v>
      </c>
      <c r="R159" s="102">
        <f t="shared" si="219"/>
        <v>0</v>
      </c>
      <c r="S159" s="102">
        <f t="shared" si="219"/>
        <v>0</v>
      </c>
      <c r="U159" s="9" t="s">
        <v>3</v>
      </c>
      <c r="V159" s="9" t="s">
        <v>265</v>
      </c>
      <c r="W159" s="9" t="str">
        <v>WX312</v>
      </c>
      <c r="X159" t="s">
        <v>286</v>
      </c>
      <c r="Y159" s="28">
        <f t="shared" si="191"/>
        <v>116.21335337007116</v>
      </c>
      <c r="Z159" s="28">
        <f t="shared" si="192"/>
        <v>77.742402294916545</v>
      </c>
      <c r="AA159" s="28">
        <f t="shared" si="193"/>
        <v>105.22768543318006</v>
      </c>
      <c r="AB159" s="28">
        <f t="shared" si="194"/>
        <v>109.59230515805507</v>
      </c>
      <c r="AC159" s="28">
        <f t="shared" si="195"/>
        <v>108.11122656405303</v>
      </c>
      <c r="AD159" s="28">
        <f t="shared" si="196"/>
        <v>222.8883951750596</v>
      </c>
      <c r="AE159" s="28">
        <f t="shared" si="197"/>
        <v>395.05536677533439</v>
      </c>
      <c r="AF159" s="28">
        <f t="shared" si="198"/>
        <v>700.61386354638421</v>
      </c>
      <c r="AG159" s="28">
        <f t="shared" si="199"/>
        <v>1241.9045194199623</v>
      </c>
      <c r="AH159" s="28">
        <f t="shared" si="200"/>
        <v>2201.2743528099295</v>
      </c>
      <c r="AI159" s="28">
        <f t="shared" si="201"/>
        <v>0</v>
      </c>
      <c r="AJ159" s="28">
        <f t="shared" si="202"/>
        <v>0</v>
      </c>
      <c r="AK159" s="28">
        <f t="shared" si="203"/>
        <v>0</v>
      </c>
      <c r="AL159" s="28">
        <f t="shared" si="204"/>
        <v>0</v>
      </c>
      <c r="AM159" s="28">
        <f t="shared" si="205"/>
        <v>0</v>
      </c>
    </row>
    <row r="160" spans="1:39" ht="14.65" thickBot="1" x14ac:dyDescent="0.5">
      <c r="A160" s="9" t="str">
        <v>WX338</v>
      </c>
      <c r="B160" t="s">
        <v>287</v>
      </c>
      <c r="C160" s="25">
        <f>IF($B$2="Discounted",INDEX('Top Down inputs'!$D$50:$F$89,MATCH($A160,'Top Down inputs'!$A$50:$A$89,0),MATCH('Copper Weighted Price'!$B$147,'Top Down inputs'!$D$47:$F$47,0)),INDEX('Top Down inputs'!$D$5:$F$44,MATCH($A160,'Top Down inputs'!$A$5:$A$44,0),MATCH('Copper Weighted Price'!$B$147,'Top Down inputs'!$D$2:$F$2,0)))</f>
        <v>0.75249999999999995</v>
      </c>
      <c r="D160" s="13">
        <f>IF($B$2="Headline",INDEX('Top Down inputs'!$J$5:$J$44,MATCH($A160,'Top Down inputs'!$H$5:$H$44,0)),INDEX('Top Down inputs'!$J$50:$J$89,MATCH($A160,'Top Down inputs'!$H$50:$H101,0)))</f>
        <v>113.12937660540808</v>
      </c>
      <c r="E160" s="183">
        <f t="shared" si="216"/>
        <v>113.21479752300131</v>
      </c>
      <c r="F160" s="183">
        <f t="shared" si="216"/>
        <v>99.33783104904586</v>
      </c>
      <c r="G160" s="183">
        <f t="shared" si="216"/>
        <v>92.323124089314703</v>
      </c>
      <c r="H160" s="19">
        <f t="shared" si="216"/>
        <v>97.879397113387384</v>
      </c>
      <c r="I160" s="19">
        <f t="shared" si="216"/>
        <v>120.79796555692505</v>
      </c>
      <c r="J160" s="30">
        <f t="shared" ref="J160" si="220">D160*(1+($C160+J$62))</f>
        <v>200.72808509101833</v>
      </c>
      <c r="K160" s="30">
        <f t="shared" ref="K160:N160" si="221">J160*(1+($C160+K$62))</f>
        <v>355.77764026458391</v>
      </c>
      <c r="L160" s="30">
        <f t="shared" si="221"/>
        <v>630.95648881778129</v>
      </c>
      <c r="M160" s="30">
        <f t="shared" si="221"/>
        <v>1118.4302164016142</v>
      </c>
      <c r="N160" s="30">
        <f t="shared" si="221"/>
        <v>1982.4162906842539</v>
      </c>
      <c r="O160" s="102">
        <f t="shared" si="219"/>
        <v>0</v>
      </c>
      <c r="P160" s="102">
        <f t="shared" si="219"/>
        <v>0</v>
      </c>
      <c r="Q160" s="102">
        <f t="shared" si="219"/>
        <v>0</v>
      </c>
      <c r="R160" s="102">
        <f t="shared" si="219"/>
        <v>0</v>
      </c>
      <c r="S160" s="102">
        <f t="shared" si="219"/>
        <v>0</v>
      </c>
      <c r="U160" s="9" t="s">
        <v>3</v>
      </c>
      <c r="V160" s="9" t="s">
        <v>265</v>
      </c>
      <c r="W160" s="9" t="str">
        <v>WX338</v>
      </c>
      <c r="X160" t="s">
        <v>287</v>
      </c>
      <c r="Y160" s="28">
        <f t="shared" si="191"/>
        <v>113.21479752300131</v>
      </c>
      <c r="Z160" s="28">
        <f t="shared" si="192"/>
        <v>99.33783104904586</v>
      </c>
      <c r="AA160" s="28">
        <f t="shared" si="193"/>
        <v>92.323124089314703</v>
      </c>
      <c r="AB160" s="28">
        <f t="shared" si="194"/>
        <v>97.879397113387384</v>
      </c>
      <c r="AC160" s="28">
        <f t="shared" si="195"/>
        <v>120.79796555692505</v>
      </c>
      <c r="AD160" s="28">
        <f t="shared" si="196"/>
        <v>200.72808509101833</v>
      </c>
      <c r="AE160" s="28">
        <f t="shared" si="197"/>
        <v>355.77764026458391</v>
      </c>
      <c r="AF160" s="28">
        <f t="shared" si="198"/>
        <v>630.95648881778129</v>
      </c>
      <c r="AG160" s="28">
        <f t="shared" si="199"/>
        <v>1118.4302164016142</v>
      </c>
      <c r="AH160" s="28">
        <f t="shared" si="200"/>
        <v>1982.4162906842539</v>
      </c>
      <c r="AI160" s="28">
        <f t="shared" si="201"/>
        <v>0</v>
      </c>
      <c r="AJ160" s="28">
        <f t="shared" si="202"/>
        <v>0</v>
      </c>
      <c r="AK160" s="28">
        <f t="shared" si="203"/>
        <v>0</v>
      </c>
      <c r="AL160" s="28">
        <f t="shared" si="204"/>
        <v>0</v>
      </c>
      <c r="AM160" s="28">
        <f t="shared" si="205"/>
        <v>0</v>
      </c>
    </row>
    <row r="161" spans="1:39" ht="14.65" thickBot="1" x14ac:dyDescent="0.5">
      <c r="A161" s="9" t="str">
        <v>WN336</v>
      </c>
      <c r="B161" t="s">
        <v>288</v>
      </c>
      <c r="C161" s="25">
        <f>IF($B$2="Discounted",INDEX('Top Down inputs'!$D$50:$F$89,MATCH($A161,'Top Down inputs'!$A$50:$A$89,0),MATCH('Copper Weighted Price'!$B$147,'Top Down inputs'!$D$47:$F$47,0)),INDEX('Top Down inputs'!$D$5:$F$44,MATCH($A161,'Top Down inputs'!$A$5:$A$44,0),MATCH('Copper Weighted Price'!$B$147,'Top Down inputs'!$D$2:$F$2,0)))</f>
        <v>0.75249999999999995</v>
      </c>
      <c r="D161" s="13">
        <f>IF($B$2="Headline",INDEX('Top Down inputs'!$J$5:$J$44,MATCH($A161,'Top Down inputs'!$H$5:$H$44,0)),INDEX('Top Down inputs'!$J$50:$J$89,MATCH($A161,'Top Down inputs'!$H$50:$H102,0)))</f>
        <v>113.05610048895701</v>
      </c>
      <c r="E161" s="183">
        <f t="shared" si="216"/>
        <v>101.28558029451823</v>
      </c>
      <c r="F161" s="183">
        <f t="shared" si="216"/>
        <v>80.443748822735714</v>
      </c>
      <c r="G161" s="183">
        <f t="shared" si="216"/>
        <v>102.9530474353063</v>
      </c>
      <c r="H161" s="19">
        <f t="shared" si="216"/>
        <v>92.923752991023875</v>
      </c>
      <c r="I161" s="19">
        <f t="shared" si="216"/>
        <v>131.1079809226386</v>
      </c>
      <c r="J161" s="30">
        <f t="shared" ref="J161:J187" si="222">D161*(1+($C161+J$62))</f>
        <v>200.59806957268455</v>
      </c>
      <c r="K161" s="30">
        <f t="shared" ref="K161:N161" si="223">J161*(1+($C161+K$62))</f>
        <v>355.54719610780535</v>
      </c>
      <c r="L161" s="30">
        <f t="shared" si="223"/>
        <v>630.54780592269708</v>
      </c>
      <c r="M161" s="30">
        <f t="shared" si="223"/>
        <v>1117.7057872105536</v>
      </c>
      <c r="N161" s="30">
        <f t="shared" si="223"/>
        <v>1981.1322407643347</v>
      </c>
      <c r="O161" s="102">
        <f t="shared" si="219"/>
        <v>0</v>
      </c>
      <c r="P161" s="102">
        <f t="shared" si="219"/>
        <v>0</v>
      </c>
      <c r="Q161" s="102">
        <f t="shared" si="219"/>
        <v>0</v>
      </c>
      <c r="R161" s="102">
        <f t="shared" si="219"/>
        <v>0</v>
      </c>
      <c r="S161" s="102">
        <f t="shared" si="219"/>
        <v>0</v>
      </c>
      <c r="U161" s="9" t="s">
        <v>3</v>
      </c>
      <c r="V161" s="9" t="s">
        <v>265</v>
      </c>
      <c r="W161" s="9" t="str">
        <v>WN336</v>
      </c>
      <c r="X161" t="s">
        <v>288</v>
      </c>
      <c r="Y161" s="28">
        <f t="shared" si="191"/>
        <v>101.28558029451823</v>
      </c>
      <c r="Z161" s="28">
        <f t="shared" si="192"/>
        <v>80.443748822735714</v>
      </c>
      <c r="AA161" s="28">
        <f t="shared" si="193"/>
        <v>102.9530474353063</v>
      </c>
      <c r="AB161" s="28">
        <f t="shared" si="194"/>
        <v>92.923752991023875</v>
      </c>
      <c r="AC161" s="28">
        <f t="shared" si="195"/>
        <v>131.1079809226386</v>
      </c>
      <c r="AD161" s="28">
        <f t="shared" si="196"/>
        <v>200.59806957268455</v>
      </c>
      <c r="AE161" s="28">
        <f t="shared" si="197"/>
        <v>355.54719610780535</v>
      </c>
      <c r="AF161" s="28">
        <f t="shared" si="198"/>
        <v>630.54780592269708</v>
      </c>
      <c r="AG161" s="28">
        <f t="shared" si="199"/>
        <v>1117.7057872105536</v>
      </c>
      <c r="AH161" s="28">
        <f t="shared" si="200"/>
        <v>1981.1322407643347</v>
      </c>
      <c r="AI161" s="28">
        <f t="shared" si="201"/>
        <v>0</v>
      </c>
      <c r="AJ161" s="28">
        <f t="shared" si="202"/>
        <v>0</v>
      </c>
      <c r="AK161" s="28">
        <f t="shared" si="203"/>
        <v>0</v>
      </c>
      <c r="AL161" s="28">
        <f t="shared" si="204"/>
        <v>0</v>
      </c>
      <c r="AM161" s="28">
        <f t="shared" si="205"/>
        <v>0</v>
      </c>
    </row>
    <row r="162" spans="1:39" ht="14.65" thickBot="1" x14ac:dyDescent="0.5">
      <c r="A162" s="9" t="str">
        <v>WN303</v>
      </c>
      <c r="B162" t="s">
        <v>289</v>
      </c>
      <c r="C162" s="25">
        <f>IF($B$2="Discounted",INDEX('Top Down inputs'!$D$50:$F$89,MATCH($A162,'Top Down inputs'!$A$50:$A$89,0),MATCH('Copper Weighted Price'!$B$147,'Top Down inputs'!$D$47:$F$47,0)),INDEX('Top Down inputs'!$D$5:$F$44,MATCH($A162,'Top Down inputs'!$A$5:$A$44,0),MATCH('Copper Weighted Price'!$B$147,'Top Down inputs'!$D$2:$F$2,0)))</f>
        <v>0.75249999999999995</v>
      </c>
      <c r="D162" s="13">
        <f>IF($B$2="Headline",INDEX('Top Down inputs'!$J$5:$J$44,MATCH($A162,'Top Down inputs'!$H$5:$H$44,0)),INDEX('Top Down inputs'!$J$50:$J$89,MATCH($A162,'Top Down inputs'!$H$50:$H103,0)))</f>
        <v>64.479073523605194</v>
      </c>
      <c r="E162" s="183">
        <f t="shared" si="216"/>
        <v>48.233397613202214</v>
      </c>
      <c r="F162" s="183">
        <f t="shared" si="216"/>
        <v>56.727372850158559</v>
      </c>
      <c r="G162" s="183">
        <f t="shared" si="216"/>
        <v>61.063898432425646</v>
      </c>
      <c r="H162" s="19">
        <f t="shared" si="216"/>
        <v>55.716637335406425</v>
      </c>
      <c r="I162" s="19">
        <f t="shared" si="216"/>
        <v>60.642813579302988</v>
      </c>
      <c r="J162" s="30">
        <f t="shared" si="222"/>
        <v>114.40672038687367</v>
      </c>
      <c r="K162" s="30">
        <f t="shared" ref="K162:N162" si="224">J162*(1+($C162+K$62))</f>
        <v>202.77856479921786</v>
      </c>
      <c r="L162" s="30">
        <f t="shared" si="224"/>
        <v>359.61914626808476</v>
      </c>
      <c r="M162" s="30">
        <f t="shared" si="224"/>
        <v>637.45904307346734</v>
      </c>
      <c r="N162" s="30">
        <f t="shared" si="224"/>
        <v>1129.8954312041362</v>
      </c>
      <c r="O162" s="102">
        <f t="shared" si="219"/>
        <v>0</v>
      </c>
      <c r="P162" s="102">
        <f t="shared" si="219"/>
        <v>0</v>
      </c>
      <c r="Q162" s="102">
        <f t="shared" si="219"/>
        <v>0</v>
      </c>
      <c r="R162" s="102">
        <f t="shared" si="219"/>
        <v>0</v>
      </c>
      <c r="S162" s="102">
        <f t="shared" si="219"/>
        <v>0</v>
      </c>
      <c r="U162" s="9" t="s">
        <v>3</v>
      </c>
      <c r="V162" s="9" t="s">
        <v>265</v>
      </c>
      <c r="W162" s="9" t="str">
        <v>WN303</v>
      </c>
      <c r="X162" t="s">
        <v>289</v>
      </c>
      <c r="Y162" s="28">
        <f t="shared" si="191"/>
        <v>48.233397613202214</v>
      </c>
      <c r="Z162" s="28">
        <f t="shared" si="192"/>
        <v>56.727372850158559</v>
      </c>
      <c r="AA162" s="28">
        <f t="shared" si="193"/>
        <v>61.063898432425646</v>
      </c>
      <c r="AB162" s="28">
        <f t="shared" si="194"/>
        <v>55.716637335406425</v>
      </c>
      <c r="AC162" s="28">
        <f t="shared" si="195"/>
        <v>60.642813579302988</v>
      </c>
      <c r="AD162" s="28">
        <f t="shared" si="196"/>
        <v>114.40672038687367</v>
      </c>
      <c r="AE162" s="28">
        <f t="shared" si="197"/>
        <v>202.77856479921786</v>
      </c>
      <c r="AF162" s="28">
        <f t="shared" si="198"/>
        <v>359.61914626808476</v>
      </c>
      <c r="AG162" s="28">
        <f t="shared" si="199"/>
        <v>637.45904307346734</v>
      </c>
      <c r="AH162" s="28">
        <f t="shared" si="200"/>
        <v>1129.8954312041362</v>
      </c>
      <c r="AI162" s="28">
        <f t="shared" si="201"/>
        <v>0</v>
      </c>
      <c r="AJ162" s="28">
        <f t="shared" si="202"/>
        <v>0</v>
      </c>
      <c r="AK162" s="28">
        <f t="shared" si="203"/>
        <v>0</v>
      </c>
      <c r="AL162" s="28">
        <f t="shared" si="204"/>
        <v>0</v>
      </c>
      <c r="AM162" s="28">
        <f t="shared" si="205"/>
        <v>0</v>
      </c>
    </row>
    <row r="163" spans="1:39" ht="14.65" thickBot="1" x14ac:dyDescent="0.5">
      <c r="A163" s="9" t="str">
        <v>WN337</v>
      </c>
      <c r="B163" t="s">
        <v>290</v>
      </c>
      <c r="C163" s="25">
        <f>IF($B$2="Discounted",INDEX('Top Down inputs'!$D$50:$F$89,MATCH($A163,'Top Down inputs'!$A$50:$A$89,0),MATCH('Copper Weighted Price'!$B$147,'Top Down inputs'!$D$47:$F$47,0)),INDEX('Top Down inputs'!$D$5:$F$44,MATCH($A163,'Top Down inputs'!$A$5:$A$44,0),MATCH('Copper Weighted Price'!$B$147,'Top Down inputs'!$D$2:$F$2,0)))</f>
        <v>0.75249999999999995</v>
      </c>
      <c r="D163" s="13">
        <f>IF($B$2="Headline",INDEX('Top Down inputs'!$J$5:$J$44,MATCH($A163,'Top Down inputs'!$H$5:$H$44,0)),INDEX('Top Down inputs'!$J$50:$J$89,MATCH($A163,'Top Down inputs'!$H$50:$H104,0)))</f>
        <v>61.747118334499213</v>
      </c>
      <c r="E163" s="183">
        <f t="shared" si="216"/>
        <v>44.177487566778908</v>
      </c>
      <c r="F163" s="183">
        <f t="shared" si="216"/>
        <v>45.320185379199167</v>
      </c>
      <c r="G163" s="183">
        <f t="shared" si="216"/>
        <v>61.332446839574942</v>
      </c>
      <c r="H163" s="19">
        <f t="shared" si="216"/>
        <v>55.592460785298677</v>
      </c>
      <c r="I163" s="19">
        <f t="shared" si="216"/>
        <v>63.004278185972325</v>
      </c>
      <c r="J163" s="30">
        <f t="shared" si="222"/>
        <v>109.55934873046962</v>
      </c>
      <c r="K163" s="30">
        <f t="shared" ref="K163:N163" si="225">J163*(1+($C163+K$62))</f>
        <v>194.18690983165882</v>
      </c>
      <c r="L163" s="30">
        <f t="shared" si="225"/>
        <v>344.38221218916556</v>
      </c>
      <c r="M163" s="30">
        <f t="shared" si="225"/>
        <v>610.45013234633757</v>
      </c>
      <c r="N163" s="30">
        <f t="shared" si="225"/>
        <v>1082.0221675584478</v>
      </c>
      <c r="O163" s="102">
        <f t="shared" si="219"/>
        <v>0</v>
      </c>
      <c r="P163" s="102">
        <f t="shared" si="219"/>
        <v>0</v>
      </c>
      <c r="Q163" s="102">
        <f t="shared" si="219"/>
        <v>0</v>
      </c>
      <c r="R163" s="102">
        <f t="shared" si="219"/>
        <v>0</v>
      </c>
      <c r="S163" s="102">
        <f t="shared" si="219"/>
        <v>0</v>
      </c>
      <c r="U163" s="9" t="s">
        <v>3</v>
      </c>
      <c r="V163" s="9" t="s">
        <v>265</v>
      </c>
      <c r="W163" s="9" t="str">
        <v>WN337</v>
      </c>
      <c r="X163" t="s">
        <v>290</v>
      </c>
      <c r="Y163" s="28">
        <f t="shared" si="191"/>
        <v>44.177487566778908</v>
      </c>
      <c r="Z163" s="28">
        <f t="shared" si="192"/>
        <v>45.320185379199167</v>
      </c>
      <c r="AA163" s="28">
        <f t="shared" si="193"/>
        <v>61.332446839574942</v>
      </c>
      <c r="AB163" s="28">
        <f t="shared" si="194"/>
        <v>55.592460785298677</v>
      </c>
      <c r="AC163" s="28">
        <f t="shared" si="195"/>
        <v>63.004278185972325</v>
      </c>
      <c r="AD163" s="28">
        <f t="shared" si="196"/>
        <v>109.55934873046962</v>
      </c>
      <c r="AE163" s="28">
        <f t="shared" si="197"/>
        <v>194.18690983165882</v>
      </c>
      <c r="AF163" s="28">
        <f t="shared" si="198"/>
        <v>344.38221218916556</v>
      </c>
      <c r="AG163" s="28">
        <f t="shared" si="199"/>
        <v>610.45013234633757</v>
      </c>
      <c r="AH163" s="28">
        <f t="shared" si="200"/>
        <v>1082.0221675584478</v>
      </c>
      <c r="AI163" s="28">
        <f t="shared" si="201"/>
        <v>0</v>
      </c>
      <c r="AJ163" s="28">
        <f t="shared" si="202"/>
        <v>0</v>
      </c>
      <c r="AK163" s="28">
        <f t="shared" si="203"/>
        <v>0</v>
      </c>
      <c r="AL163" s="28">
        <f t="shared" si="204"/>
        <v>0</v>
      </c>
      <c r="AM163" s="28">
        <f t="shared" si="205"/>
        <v>0</v>
      </c>
    </row>
    <row r="164" spans="1:39" ht="14.65" thickBot="1" x14ac:dyDescent="0.5">
      <c r="A164" s="9" t="str">
        <v>WX313</v>
      </c>
      <c r="B164" t="s">
        <v>291</v>
      </c>
      <c r="C164" s="25">
        <f>IF($B$2="Discounted",INDEX('Top Down inputs'!$D$50:$F$89,MATCH($A164,'Top Down inputs'!$A$50:$A$89,0),MATCH('Copper Weighted Price'!$B$147,'Top Down inputs'!$D$47:$F$47,0)),INDEX('Top Down inputs'!$D$5:$F$44,MATCH($A164,'Top Down inputs'!$A$5:$A$44,0),MATCH('Copper Weighted Price'!$B$147,'Top Down inputs'!$D$2:$F$2,0)))</f>
        <v>0.75249999999999995</v>
      </c>
      <c r="D164" s="13">
        <f>IF($B$2="Headline",INDEX('Top Down inputs'!$J$5:$J$44,MATCH($A164,'Top Down inputs'!$H$5:$H$44,0)),INDEX('Top Down inputs'!$J$50:$J$89,MATCH($A164,'Top Down inputs'!$H$50:$H105,0)))</f>
        <v>55.228291739992947</v>
      </c>
      <c r="E164" s="183">
        <f t="shared" si="216"/>
        <v>41.566771189055672</v>
      </c>
      <c r="F164" s="183">
        <f t="shared" si="216"/>
        <v>56.036378576205593</v>
      </c>
      <c r="G164" s="183">
        <f t="shared" si="216"/>
        <v>49.128128733571643</v>
      </c>
      <c r="H164" s="19">
        <f t="shared" si="216"/>
        <v>56.204214314236495</v>
      </c>
      <c r="I164" s="19">
        <f t="shared" si="216"/>
        <v>58.328258904722404</v>
      </c>
      <c r="J164" s="30">
        <f t="shared" si="222"/>
        <v>97.992843030365776</v>
      </c>
      <c r="K164" s="30">
        <f t="shared" ref="K164:N164" si="226">J164*(1+($C164+K$62))</f>
        <v>173.68602126778973</v>
      </c>
      <c r="L164" s="30">
        <f t="shared" si="226"/>
        <v>308.02475966268338</v>
      </c>
      <c r="M164" s="30">
        <f t="shared" si="226"/>
        <v>546.00309959896799</v>
      </c>
      <c r="N164" s="30">
        <f t="shared" si="226"/>
        <v>967.78987507291492</v>
      </c>
      <c r="O164" s="102">
        <f t="shared" si="219"/>
        <v>0</v>
      </c>
      <c r="P164" s="102">
        <f t="shared" si="219"/>
        <v>0</v>
      </c>
      <c r="Q164" s="102">
        <f t="shared" si="219"/>
        <v>0</v>
      </c>
      <c r="R164" s="102">
        <f t="shared" si="219"/>
        <v>0</v>
      </c>
      <c r="S164" s="102">
        <f t="shared" si="219"/>
        <v>0</v>
      </c>
      <c r="U164" s="9" t="s">
        <v>3</v>
      </c>
      <c r="V164" s="9" t="s">
        <v>265</v>
      </c>
      <c r="W164" s="9" t="str">
        <v>WX313</v>
      </c>
      <c r="X164" t="s">
        <v>291</v>
      </c>
      <c r="Y164" s="28">
        <f t="shared" ref="Y164:Y187" si="227">E164</f>
        <v>41.566771189055672</v>
      </c>
      <c r="Z164" s="28">
        <f t="shared" si="192"/>
        <v>56.036378576205593</v>
      </c>
      <c r="AA164" s="28">
        <f t="shared" si="193"/>
        <v>49.128128733571643</v>
      </c>
      <c r="AB164" s="28">
        <f t="shared" si="194"/>
        <v>56.204214314236495</v>
      </c>
      <c r="AC164" s="28">
        <f t="shared" si="195"/>
        <v>58.328258904722404</v>
      </c>
      <c r="AD164" s="28">
        <f t="shared" si="196"/>
        <v>97.992843030365776</v>
      </c>
      <c r="AE164" s="28">
        <f t="shared" si="197"/>
        <v>173.68602126778973</v>
      </c>
      <c r="AF164" s="28">
        <f t="shared" si="198"/>
        <v>308.02475966268338</v>
      </c>
      <c r="AG164" s="28">
        <f t="shared" si="199"/>
        <v>546.00309959896799</v>
      </c>
      <c r="AH164" s="28">
        <f t="shared" si="200"/>
        <v>967.78987507291492</v>
      </c>
      <c r="AI164" s="28">
        <f t="shared" si="201"/>
        <v>0</v>
      </c>
      <c r="AJ164" s="28">
        <f t="shared" si="202"/>
        <v>0</v>
      </c>
      <c r="AK164" s="28">
        <f t="shared" si="203"/>
        <v>0</v>
      </c>
      <c r="AL164" s="28">
        <f t="shared" si="204"/>
        <v>0</v>
      </c>
      <c r="AM164" s="28">
        <f t="shared" si="205"/>
        <v>0</v>
      </c>
    </row>
    <row r="165" spans="1:39" ht="14.65" thickBot="1" x14ac:dyDescent="0.5">
      <c r="A165" s="9" t="str">
        <v>WX339</v>
      </c>
      <c r="B165" t="s">
        <v>292</v>
      </c>
      <c r="C165" s="25">
        <f>IF($B$2="Discounted",INDEX('Top Down inputs'!$D$50:$F$89,MATCH($A165,'Top Down inputs'!$A$50:$A$89,0),MATCH('Copper Weighted Price'!$B$147,'Top Down inputs'!$D$47:$F$47,0)),INDEX('Top Down inputs'!$D$5:$F$44,MATCH($A165,'Top Down inputs'!$A$5:$A$44,0),MATCH('Copper Weighted Price'!$B$147,'Top Down inputs'!$D$2:$F$2,0)))</f>
        <v>0.75249999999999995</v>
      </c>
      <c r="D165" s="13">
        <f>IF($B$2="Headline",INDEX('Top Down inputs'!$J$5:$J$44,MATCH($A165,'Top Down inputs'!$H$5:$H$44,0)),INDEX('Top Down inputs'!$J$50:$J$89,MATCH($A165,'Top Down inputs'!$H$50:$H106,0)))</f>
        <v>61.157003145331245</v>
      </c>
      <c r="E165" s="183">
        <f t="shared" si="216"/>
        <v>40.614244207790321</v>
      </c>
      <c r="F165" s="183">
        <f t="shared" si="216"/>
        <v>55.526859061661007</v>
      </c>
      <c r="G165" s="183">
        <f t="shared" si="216"/>
        <v>54.983988567482086</v>
      </c>
      <c r="H165" s="19">
        <f t="shared" si="216"/>
        <v>59.431091696980047</v>
      </c>
      <c r="I165" s="19">
        <f t="shared" si="216"/>
        <v>56.61259765181353</v>
      </c>
      <c r="J165" s="30">
        <f t="shared" si="222"/>
        <v>108.51229362012485</v>
      </c>
      <c r="K165" s="30">
        <f t="shared" ref="K165:N165" si="228">J165*(1+($C165+K$62))</f>
        <v>192.3310718894171</v>
      </c>
      <c r="L165" s="30">
        <f t="shared" si="228"/>
        <v>341.09096265762997</v>
      </c>
      <c r="M165" s="30">
        <f t="shared" si="228"/>
        <v>604.61608040927899</v>
      </c>
      <c r="N165" s="30">
        <f t="shared" si="228"/>
        <v>1071.681317113676</v>
      </c>
      <c r="O165" s="102">
        <f t="shared" si="219"/>
        <v>0</v>
      </c>
      <c r="P165" s="102">
        <f t="shared" si="219"/>
        <v>0</v>
      </c>
      <c r="Q165" s="102">
        <f t="shared" si="219"/>
        <v>0</v>
      </c>
      <c r="R165" s="102">
        <f t="shared" si="219"/>
        <v>0</v>
      </c>
      <c r="S165" s="102">
        <f t="shared" si="219"/>
        <v>0</v>
      </c>
      <c r="U165" s="9" t="s">
        <v>3</v>
      </c>
      <c r="V165" s="9" t="s">
        <v>265</v>
      </c>
      <c r="W165" s="9" t="str">
        <v>WX339</v>
      </c>
      <c r="X165" t="s">
        <v>292</v>
      </c>
      <c r="Y165" s="28">
        <f t="shared" si="227"/>
        <v>40.614244207790321</v>
      </c>
      <c r="Z165" s="28">
        <f t="shared" si="192"/>
        <v>55.526859061661007</v>
      </c>
      <c r="AA165" s="28">
        <f t="shared" si="193"/>
        <v>54.983988567482086</v>
      </c>
      <c r="AB165" s="28">
        <f t="shared" si="194"/>
        <v>59.431091696980047</v>
      </c>
      <c r="AC165" s="28">
        <f t="shared" si="195"/>
        <v>56.61259765181353</v>
      </c>
      <c r="AD165" s="28">
        <f t="shared" si="196"/>
        <v>108.51229362012485</v>
      </c>
      <c r="AE165" s="28">
        <f t="shared" si="197"/>
        <v>192.3310718894171</v>
      </c>
      <c r="AF165" s="28">
        <f t="shared" si="198"/>
        <v>341.09096265762997</v>
      </c>
      <c r="AG165" s="28">
        <f t="shared" si="199"/>
        <v>604.61608040927899</v>
      </c>
      <c r="AH165" s="28">
        <f t="shared" si="200"/>
        <v>1071.681317113676</v>
      </c>
      <c r="AI165" s="28">
        <f t="shared" si="201"/>
        <v>0</v>
      </c>
      <c r="AJ165" s="28">
        <f t="shared" si="202"/>
        <v>0</v>
      </c>
      <c r="AK165" s="28">
        <f t="shared" si="203"/>
        <v>0</v>
      </c>
      <c r="AL165" s="28">
        <f t="shared" si="204"/>
        <v>0</v>
      </c>
      <c r="AM165" s="28">
        <f t="shared" si="205"/>
        <v>0</v>
      </c>
    </row>
    <row r="166" spans="1:39" ht="14.65" thickBot="1" x14ac:dyDescent="0.5">
      <c r="A166" s="9" t="str">
        <v>WN332</v>
      </c>
      <c r="B166" t="s">
        <v>293</v>
      </c>
      <c r="C166" s="25">
        <f>IF($B$2="Discounted",INDEX('Top Down inputs'!$D$50:$F$89,MATCH($A166,'Top Down inputs'!$A$50:$A$89,0),MATCH('Copper Weighted Price'!$B$147,'Top Down inputs'!$D$47:$F$47,0)),INDEX('Top Down inputs'!$D$5:$F$44,MATCH($A166,'Top Down inputs'!$A$5:$A$44,0),MATCH('Copper Weighted Price'!$B$147,'Top Down inputs'!$D$2:$F$2,0)))</f>
        <v>5.2499999999999998E-2</v>
      </c>
      <c r="D166" s="13">
        <f>IF($B$2="Headline",INDEX('Top Down inputs'!$J$5:$J$44,MATCH($A166,'Top Down inputs'!$H$5:$H$44,0)),INDEX('Top Down inputs'!$J$50:$J$89,MATCH($A166,'Top Down inputs'!$H$50:$H107,0)))</f>
        <v>203.73080523136048</v>
      </c>
      <c r="E166" s="183">
        <f t="shared" si="216"/>
        <v>144.36432914912422</v>
      </c>
      <c r="F166" s="183">
        <f t="shared" si="216"/>
        <v>120.70697828730721</v>
      </c>
      <c r="G166" s="183">
        <f t="shared" si="216"/>
        <v>129.09584834765838</v>
      </c>
      <c r="H166" s="19">
        <f t="shared" si="216"/>
        <v>200.82220702970179</v>
      </c>
      <c r="I166" s="19">
        <f t="shared" si="216"/>
        <v>224.27271069303868</v>
      </c>
      <c r="J166" s="30">
        <f t="shared" si="222"/>
        <v>218.872744262602</v>
      </c>
      <c r="K166" s="30">
        <f>J166*(1+($C166+K$62))</f>
        <v>234.72696243031484</v>
      </c>
      <c r="L166" s="30">
        <f t="shared" ref="L166:M166" si="229">K166*(1+($C166+L$62))</f>
        <v>251.96939475813019</v>
      </c>
      <c r="M166" s="30">
        <f t="shared" si="229"/>
        <v>270.261072678934</v>
      </c>
      <c r="N166" s="30">
        <f>M166*(1+($C166+N$62))</f>
        <v>289.85469407171973</v>
      </c>
      <c r="O166" s="102">
        <f t="shared" si="219"/>
        <v>122.87605867248818</v>
      </c>
      <c r="P166" s="102">
        <f t="shared" si="219"/>
        <v>119.88053745782207</v>
      </c>
      <c r="Q166" s="102">
        <f t="shared" si="219"/>
        <v>0</v>
      </c>
      <c r="R166" s="102">
        <f t="shared" si="219"/>
        <v>0</v>
      </c>
      <c r="S166" s="102">
        <f t="shared" si="219"/>
        <v>0</v>
      </c>
      <c r="U166" s="9" t="s">
        <v>275</v>
      </c>
      <c r="V166" s="9" t="s">
        <v>294</v>
      </c>
      <c r="W166" s="9" t="str">
        <v>WN332</v>
      </c>
      <c r="X166" t="s">
        <v>293</v>
      </c>
      <c r="Y166" s="28">
        <f t="shared" si="227"/>
        <v>144.36432914912422</v>
      </c>
      <c r="Z166" s="28">
        <f t="shared" si="192"/>
        <v>120.70697828730721</v>
      </c>
      <c r="AA166" s="28">
        <f t="shared" si="193"/>
        <v>129.09584834765838</v>
      </c>
      <c r="AB166" s="28">
        <f t="shared" si="194"/>
        <v>200.82220702970179</v>
      </c>
      <c r="AC166" s="28">
        <f t="shared" si="195"/>
        <v>224.27271069303868</v>
      </c>
      <c r="AD166" s="28">
        <f t="shared" si="196"/>
        <v>218.872744262602</v>
      </c>
      <c r="AE166" s="28">
        <f t="shared" si="197"/>
        <v>234.72696243031484</v>
      </c>
      <c r="AF166" s="28">
        <f t="shared" si="198"/>
        <v>251.96939475813019</v>
      </c>
      <c r="AG166" s="28">
        <f t="shared" si="199"/>
        <v>270.261072678934</v>
      </c>
      <c r="AH166" s="28">
        <f t="shared" si="200"/>
        <v>289.85469407171973</v>
      </c>
      <c r="AI166" s="28">
        <f t="shared" si="201"/>
        <v>122.87605867248818</v>
      </c>
      <c r="AJ166" s="28">
        <f t="shared" si="202"/>
        <v>119.88053745782207</v>
      </c>
      <c r="AK166" s="28">
        <f t="shared" si="203"/>
        <v>0</v>
      </c>
      <c r="AL166" s="28">
        <f t="shared" si="204"/>
        <v>0</v>
      </c>
      <c r="AM166" s="28">
        <f t="shared" si="205"/>
        <v>0</v>
      </c>
    </row>
    <row r="167" spans="1:39" ht="14.65" thickBot="1" x14ac:dyDescent="0.5">
      <c r="A167" s="9" t="str">
        <v>WX334</v>
      </c>
      <c r="B167" t="s">
        <v>295</v>
      </c>
      <c r="C167" s="25">
        <f>IF($B$2="Discounted",INDEX('Top Down inputs'!$D$50:$F$89,MATCH($A167,'Top Down inputs'!$A$50:$A$89,0),MATCH('Copper Weighted Price'!$B$147,'Top Down inputs'!$D$47:$F$47,0)),INDEX('Top Down inputs'!$D$5:$F$44,MATCH($A167,'Top Down inputs'!$A$5:$A$44,0),MATCH('Copper Weighted Price'!$B$147,'Top Down inputs'!$D$2:$F$2,0)))</f>
        <v>5.2499999999999998E-2</v>
      </c>
      <c r="D167" s="13">
        <f>IF($B$2="Headline",INDEX('Top Down inputs'!$J$5:$J$44,MATCH($A167,'Top Down inputs'!$H$5:$H$44,0)),INDEX('Top Down inputs'!$J$50:$J$89,MATCH($A167,'Top Down inputs'!$H$50:$H108,0)))</f>
        <v>262.31744194658199</v>
      </c>
      <c r="E167" s="183">
        <f t="shared" si="216"/>
        <v>146.39936507848677</v>
      </c>
      <c r="F167" s="183">
        <f t="shared" si="216"/>
        <v>132.66982663698252</v>
      </c>
      <c r="G167" s="183">
        <f t="shared" si="216"/>
        <v>148.13305019273034</v>
      </c>
      <c r="H167" s="19">
        <f t="shared" si="216"/>
        <v>255.6685976390952</v>
      </c>
      <c r="I167" s="19">
        <f t="shared" si="216"/>
        <v>266.34107343745904</v>
      </c>
      <c r="J167" s="30">
        <f t="shared" si="222"/>
        <v>281.8137312204388</v>
      </c>
      <c r="K167" s="30">
        <f t="shared" ref="K167:N167" si="230">J167*(1+($C167+K$62))</f>
        <v>302.22712893461659</v>
      </c>
      <c r="L167" s="30">
        <f t="shared" si="230"/>
        <v>324.42794798126585</v>
      </c>
      <c r="M167" s="30">
        <f t="shared" si="230"/>
        <v>347.97974298667543</v>
      </c>
      <c r="N167" s="30">
        <f t="shared" si="230"/>
        <v>373.20787987244773</v>
      </c>
      <c r="O167" s="102">
        <f t="shared" si="219"/>
        <v>117.74236800858192</v>
      </c>
      <c r="P167" s="102">
        <f t="shared" si="219"/>
        <v>114.87199793775464</v>
      </c>
      <c r="Q167" s="102">
        <f t="shared" si="219"/>
        <v>0</v>
      </c>
      <c r="R167" s="102">
        <f t="shared" si="219"/>
        <v>0</v>
      </c>
      <c r="S167" s="102">
        <f t="shared" si="219"/>
        <v>0</v>
      </c>
      <c r="U167" s="9" t="s">
        <v>275</v>
      </c>
      <c r="V167" s="9" t="s">
        <v>294</v>
      </c>
      <c r="W167" s="9" t="str">
        <v>WX334</v>
      </c>
      <c r="X167" t="s">
        <v>295</v>
      </c>
      <c r="Y167" s="28">
        <f t="shared" si="227"/>
        <v>146.39936507848677</v>
      </c>
      <c r="Z167" s="28">
        <f t="shared" si="192"/>
        <v>132.66982663698252</v>
      </c>
      <c r="AA167" s="28">
        <f t="shared" si="193"/>
        <v>148.13305019273034</v>
      </c>
      <c r="AB167" s="28">
        <f t="shared" si="194"/>
        <v>255.6685976390952</v>
      </c>
      <c r="AC167" s="28">
        <f t="shared" si="195"/>
        <v>266.34107343745904</v>
      </c>
      <c r="AD167" s="28">
        <f t="shared" si="196"/>
        <v>281.8137312204388</v>
      </c>
      <c r="AE167" s="28">
        <f t="shared" si="197"/>
        <v>302.22712893461659</v>
      </c>
      <c r="AF167" s="28">
        <f t="shared" si="198"/>
        <v>324.42794798126585</v>
      </c>
      <c r="AG167" s="28">
        <f t="shared" si="199"/>
        <v>347.97974298667543</v>
      </c>
      <c r="AH167" s="28">
        <f t="shared" si="200"/>
        <v>373.20787987244773</v>
      </c>
      <c r="AI167" s="28">
        <f t="shared" si="201"/>
        <v>117.74236800858192</v>
      </c>
      <c r="AJ167" s="28">
        <f t="shared" si="202"/>
        <v>114.87199793775464</v>
      </c>
      <c r="AK167" s="28">
        <f t="shared" si="203"/>
        <v>0</v>
      </c>
      <c r="AL167" s="28">
        <f t="shared" si="204"/>
        <v>0</v>
      </c>
      <c r="AM167" s="28">
        <f t="shared" si="205"/>
        <v>0</v>
      </c>
    </row>
    <row r="168" spans="1:39" ht="14.65" thickBot="1" x14ac:dyDescent="0.5">
      <c r="A168" s="9" t="str">
        <v>WN333</v>
      </c>
      <c r="B168" t="s">
        <v>296</v>
      </c>
      <c r="C168" s="25">
        <f>IF($B$2="Discounted",INDEX('Top Down inputs'!$D$50:$F$89,MATCH($A168,'Top Down inputs'!$A$50:$A$89,0),MATCH('Copper Weighted Price'!$B$147,'Top Down inputs'!$D$47:$F$47,0)),INDEX('Top Down inputs'!$D$5:$F$44,MATCH($A168,'Top Down inputs'!$A$5:$A$44,0),MATCH('Copper Weighted Price'!$B$147,'Top Down inputs'!$D$2:$F$2,0)))</f>
        <v>0.75249999999999995</v>
      </c>
      <c r="D168" s="13">
        <f>IF($B$2="Headline",INDEX('Top Down inputs'!$J$5:$J$44,MATCH($A168,'Top Down inputs'!$H$5:$H$44,0)),INDEX('Top Down inputs'!$J$50:$J$89,MATCH($A168,'Top Down inputs'!$H$50:$H109,0)))</f>
        <v>98.981248069018321</v>
      </c>
      <c r="E168" s="183">
        <f t="shared" ref="E168:I177" si="231">E83</f>
        <v>45.276715335996528</v>
      </c>
      <c r="F168" s="183">
        <f t="shared" si="231"/>
        <v>69.224229391678136</v>
      </c>
      <c r="G168" s="183">
        <f t="shared" si="231"/>
        <v>93.869898633469944</v>
      </c>
      <c r="H168" s="19">
        <f t="shared" si="231"/>
        <v>79.446489789519717</v>
      </c>
      <c r="I168" s="19">
        <f t="shared" si="231"/>
        <v>116.81378766500012</v>
      </c>
      <c r="J168" s="30">
        <f t="shared" si="222"/>
        <v>175.62473144454071</v>
      </c>
      <c r="K168" s="30">
        <f t="shared" ref="K168:N168" si="232">J168*(1+($C168+K$62))</f>
        <v>311.283558038764</v>
      </c>
      <c r="L168" s="30">
        <f t="shared" si="232"/>
        <v>552.04812944619437</v>
      </c>
      <c r="M168" s="30">
        <f t="shared" si="232"/>
        <v>978.55766573933272</v>
      </c>
      <c r="N168" s="30">
        <f t="shared" si="232"/>
        <v>1734.4923531992749</v>
      </c>
      <c r="O168" s="102">
        <f t="shared" si="219"/>
        <v>2971.3965465469814</v>
      </c>
      <c r="P168" s="102">
        <f t="shared" si="219"/>
        <v>2898.9586649243993</v>
      </c>
      <c r="Q168" s="102">
        <f t="shared" si="219"/>
        <v>0</v>
      </c>
      <c r="R168" s="102">
        <f t="shared" si="219"/>
        <v>0</v>
      </c>
      <c r="S168" s="102">
        <f t="shared" si="219"/>
        <v>0</v>
      </c>
      <c r="U168" s="9" t="s">
        <v>3</v>
      </c>
      <c r="V168" s="9" t="s">
        <v>294</v>
      </c>
      <c r="W168" s="9" t="str">
        <v>WN333</v>
      </c>
      <c r="X168" t="s">
        <v>296</v>
      </c>
      <c r="Y168" s="28">
        <f t="shared" si="227"/>
        <v>45.276715335996528</v>
      </c>
      <c r="Z168" s="28">
        <f t="shared" si="192"/>
        <v>69.224229391678136</v>
      </c>
      <c r="AA168" s="28">
        <f t="shared" si="193"/>
        <v>93.869898633469944</v>
      </c>
      <c r="AB168" s="28">
        <f t="shared" si="194"/>
        <v>79.446489789519717</v>
      </c>
      <c r="AC168" s="28">
        <f t="shared" si="195"/>
        <v>116.81378766500012</v>
      </c>
      <c r="AD168" s="28">
        <f t="shared" si="196"/>
        <v>175.62473144454071</v>
      </c>
      <c r="AE168" s="28">
        <f t="shared" si="197"/>
        <v>311.283558038764</v>
      </c>
      <c r="AF168" s="28">
        <f t="shared" si="198"/>
        <v>552.04812944619437</v>
      </c>
      <c r="AG168" s="28">
        <f t="shared" si="199"/>
        <v>978.55766573933272</v>
      </c>
      <c r="AH168" s="28">
        <f t="shared" si="200"/>
        <v>1734.4923531992749</v>
      </c>
      <c r="AI168" s="28">
        <f t="shared" si="201"/>
        <v>2971.3965465469814</v>
      </c>
      <c r="AJ168" s="28">
        <f t="shared" si="202"/>
        <v>2898.9586649243993</v>
      </c>
      <c r="AK168" s="28">
        <f t="shared" si="203"/>
        <v>0</v>
      </c>
      <c r="AL168" s="28">
        <f t="shared" si="204"/>
        <v>0</v>
      </c>
      <c r="AM168" s="28">
        <f t="shared" si="205"/>
        <v>0</v>
      </c>
    </row>
    <row r="169" spans="1:39" ht="14.65" thickBot="1" x14ac:dyDescent="0.5">
      <c r="A169" s="9" t="str">
        <v>WX335</v>
      </c>
      <c r="B169" t="s">
        <v>297</v>
      </c>
      <c r="C169" s="25">
        <f>IF($B$2="Discounted",INDEX('Top Down inputs'!$D$50:$F$89,MATCH($A169,'Top Down inputs'!$A$50:$A$89,0),MATCH('Copper Weighted Price'!$B$147,'Top Down inputs'!$D$47:$F$47,0)),INDEX('Top Down inputs'!$D$5:$F$44,MATCH($A169,'Top Down inputs'!$A$5:$A$44,0),MATCH('Copper Weighted Price'!$B$147,'Top Down inputs'!$D$2:$F$2,0)))</f>
        <v>0.75249999999999995</v>
      </c>
      <c r="D169" s="13">
        <f>IF($B$2="Headline",INDEX('Top Down inputs'!$J$5:$J$44,MATCH($A169,'Top Down inputs'!$H$5:$H$44,0)),INDEX('Top Down inputs'!$J$50:$J$89,MATCH($A169,'Top Down inputs'!$H$50:$H110,0)))</f>
        <v>112.39692291450467</v>
      </c>
      <c r="E169" s="183">
        <f t="shared" si="231"/>
        <v>141.26175577181198</v>
      </c>
      <c r="F169" s="183">
        <f t="shared" si="231"/>
        <v>129.3011405129219</v>
      </c>
      <c r="G169" s="183">
        <f t="shared" si="231"/>
        <v>115.67189598600996</v>
      </c>
      <c r="H169" s="19">
        <f t="shared" si="231"/>
        <v>110.23423835077756</v>
      </c>
      <c r="I169" s="19">
        <f t="shared" si="231"/>
        <v>117.97931002202228</v>
      </c>
      <c r="J169" s="30">
        <f t="shared" si="222"/>
        <v>199.4284754652559</v>
      </c>
      <c r="K169" s="30">
        <f t="shared" ref="K169:N169" si="233">J169*(1+($C169+K$62))</f>
        <v>353.47416566256578</v>
      </c>
      <c r="L169" s="30">
        <f t="shared" si="233"/>
        <v>626.87137473953442</v>
      </c>
      <c r="M169" s="30">
        <f t="shared" si="233"/>
        <v>1111.1889642653223</v>
      </c>
      <c r="N169" s="30">
        <f t="shared" si="233"/>
        <v>1969.5811794815872</v>
      </c>
      <c r="O169" s="102">
        <f t="shared" ref="O169:S178" si="234">IF(O40=0,0,O433/O40)</f>
        <v>1376.8508405534774</v>
      </c>
      <c r="P169" s="102">
        <f t="shared" si="234"/>
        <v>1343.2854255583406</v>
      </c>
      <c r="Q169" s="102">
        <f t="shared" si="234"/>
        <v>0</v>
      </c>
      <c r="R169" s="102">
        <f t="shared" si="234"/>
        <v>0</v>
      </c>
      <c r="S169" s="102">
        <f t="shared" si="234"/>
        <v>0</v>
      </c>
      <c r="U169" s="9" t="s">
        <v>3</v>
      </c>
      <c r="V169" s="9" t="s">
        <v>294</v>
      </c>
      <c r="W169" s="9" t="str">
        <v>WX335</v>
      </c>
      <c r="X169" t="s">
        <v>297</v>
      </c>
      <c r="Y169" s="28">
        <f t="shared" si="227"/>
        <v>141.26175577181198</v>
      </c>
      <c r="Z169" s="28">
        <f t="shared" si="192"/>
        <v>129.3011405129219</v>
      </c>
      <c r="AA169" s="28">
        <f t="shared" si="193"/>
        <v>115.67189598600996</v>
      </c>
      <c r="AB169" s="28">
        <f t="shared" si="194"/>
        <v>110.23423835077756</v>
      </c>
      <c r="AC169" s="28">
        <f t="shared" si="195"/>
        <v>117.97931002202228</v>
      </c>
      <c r="AD169" s="28">
        <f t="shared" si="196"/>
        <v>199.4284754652559</v>
      </c>
      <c r="AE169" s="28">
        <f t="shared" si="197"/>
        <v>353.47416566256578</v>
      </c>
      <c r="AF169" s="28">
        <f t="shared" si="198"/>
        <v>626.87137473953442</v>
      </c>
      <c r="AG169" s="28">
        <f t="shared" si="199"/>
        <v>1111.1889642653223</v>
      </c>
      <c r="AH169" s="28">
        <f t="shared" si="200"/>
        <v>1969.5811794815872</v>
      </c>
      <c r="AI169" s="28">
        <f t="shared" si="201"/>
        <v>1376.8508405534774</v>
      </c>
      <c r="AJ169" s="28">
        <f t="shared" si="202"/>
        <v>1343.2854255583406</v>
      </c>
      <c r="AK169" s="28">
        <f t="shared" si="203"/>
        <v>0</v>
      </c>
      <c r="AL169" s="28">
        <f t="shared" si="204"/>
        <v>0</v>
      </c>
      <c r="AM169" s="28">
        <f t="shared" si="205"/>
        <v>0</v>
      </c>
    </row>
    <row r="170" spans="1:39" ht="14.65" thickBot="1" x14ac:dyDescent="0.5">
      <c r="A170" s="9" t="str">
        <v>WN348</v>
      </c>
      <c r="B170" t="s">
        <v>298</v>
      </c>
      <c r="C170" s="25">
        <f>IF($B$2="Discounted",INDEX('Top Down inputs'!$D$50:$F$89,MATCH($A170,'Top Down inputs'!$A$50:$A$89,0),MATCH('Copper Weighted Price'!$B$147,'Top Down inputs'!$D$47:$F$47,0)),INDEX('Top Down inputs'!$D$5:$F$44,MATCH($A170,'Top Down inputs'!$A$5:$A$44,0),MATCH('Copper Weighted Price'!$B$147,'Top Down inputs'!$D$2:$F$2,0)))</f>
        <v>5.2499999999999998E-2</v>
      </c>
      <c r="D170" s="13">
        <f>IF($B$2="Headline",INDEX('Top Down inputs'!$J$5:$J$44,MATCH($A170,'Top Down inputs'!$H$5:$H$44,0)),INDEX('Top Down inputs'!$J$50:$J$89,MATCH($A170,'Top Down inputs'!$H$50:$H111,0)))</f>
        <v>209.80383408575128</v>
      </c>
      <c r="E170" s="183">
        <f t="shared" si="231"/>
        <v>173.90369831818444</v>
      </c>
      <c r="F170" s="183">
        <f t="shared" si="231"/>
        <v>135.16559567875632</v>
      </c>
      <c r="G170" s="183">
        <f t="shared" si="231"/>
        <v>170.91135328578872</v>
      </c>
      <c r="H170" s="19">
        <f t="shared" si="231"/>
        <v>197.52796118221636</v>
      </c>
      <c r="I170" s="19">
        <f t="shared" si="231"/>
        <v>183.88956304011066</v>
      </c>
      <c r="J170" s="30">
        <f t="shared" si="222"/>
        <v>225.39714046197395</v>
      </c>
      <c r="K170" s="30">
        <f t="shared" ref="K170:N170" si="235">J170*(1+($C170+K$62))</f>
        <v>241.72395836386534</v>
      </c>
      <c r="L170" s="30">
        <f t="shared" si="235"/>
        <v>259.48037181951156</v>
      </c>
      <c r="M170" s="30">
        <f t="shared" si="235"/>
        <v>278.31730791902874</v>
      </c>
      <c r="N170" s="30">
        <f t="shared" si="235"/>
        <v>298.49499723392012</v>
      </c>
      <c r="O170" s="102">
        <f t="shared" si="234"/>
        <v>0</v>
      </c>
      <c r="P170" s="102">
        <f t="shared" si="234"/>
        <v>0</v>
      </c>
      <c r="Q170" s="102">
        <f t="shared" si="234"/>
        <v>0</v>
      </c>
      <c r="R170" s="102">
        <f t="shared" si="234"/>
        <v>0</v>
      </c>
      <c r="S170" s="102">
        <f t="shared" si="234"/>
        <v>0</v>
      </c>
      <c r="U170" s="9" t="s">
        <v>275</v>
      </c>
      <c r="V170" s="9" t="s">
        <v>299</v>
      </c>
      <c r="W170" s="9" t="str">
        <v>WN348</v>
      </c>
      <c r="X170" t="s">
        <v>298</v>
      </c>
      <c r="Y170" s="28">
        <f t="shared" si="227"/>
        <v>173.90369831818444</v>
      </c>
      <c r="Z170" s="28">
        <f t="shared" si="192"/>
        <v>135.16559567875632</v>
      </c>
      <c r="AA170" s="28">
        <f t="shared" si="193"/>
        <v>170.91135328578872</v>
      </c>
      <c r="AB170" s="28">
        <f t="shared" si="194"/>
        <v>197.52796118221636</v>
      </c>
      <c r="AC170" s="28">
        <f t="shared" si="195"/>
        <v>183.88956304011066</v>
      </c>
      <c r="AD170" s="28">
        <f t="shared" si="196"/>
        <v>225.39714046197395</v>
      </c>
      <c r="AE170" s="28">
        <f t="shared" si="197"/>
        <v>241.72395836386534</v>
      </c>
      <c r="AF170" s="28">
        <f t="shared" si="198"/>
        <v>259.48037181951156</v>
      </c>
      <c r="AG170" s="28">
        <f t="shared" si="199"/>
        <v>278.31730791902874</v>
      </c>
      <c r="AH170" s="28">
        <f t="shared" si="200"/>
        <v>298.49499723392012</v>
      </c>
      <c r="AI170" s="28">
        <f t="shared" si="201"/>
        <v>0</v>
      </c>
      <c r="AJ170" s="28">
        <f t="shared" si="202"/>
        <v>0</v>
      </c>
      <c r="AK170" s="28">
        <f t="shared" si="203"/>
        <v>0</v>
      </c>
      <c r="AL170" s="28">
        <f t="shared" si="204"/>
        <v>0</v>
      </c>
      <c r="AM170" s="28">
        <f t="shared" si="205"/>
        <v>0</v>
      </c>
    </row>
    <row r="171" spans="1:39" ht="14.65" thickBot="1" x14ac:dyDescent="0.5">
      <c r="A171" s="9" t="str">
        <v>WN350</v>
      </c>
      <c r="B171" t="s">
        <v>300</v>
      </c>
      <c r="C171" s="25">
        <f>IF($B$2="Discounted",INDEX('Top Down inputs'!$D$50:$F$89,MATCH($A171,'Top Down inputs'!$A$50:$A$89,0),MATCH('Copper Weighted Price'!$B$147,'Top Down inputs'!$D$47:$F$47,0)),INDEX('Top Down inputs'!$D$5:$F$44,MATCH($A171,'Top Down inputs'!$A$5:$A$44,0),MATCH('Copper Weighted Price'!$B$147,'Top Down inputs'!$D$2:$F$2,0)))</f>
        <v>5.2499999999999998E-2</v>
      </c>
      <c r="D171" s="13">
        <f>IF($B$2="Headline",INDEX('Top Down inputs'!$J$5:$J$44,MATCH($A171,'Top Down inputs'!$H$5:$H$44,0)),INDEX('Top Down inputs'!$J$50:$J$89,MATCH($A171,'Top Down inputs'!$H$50:$H112,0)))</f>
        <v>220.64503346601316</v>
      </c>
      <c r="E171" s="183">
        <f t="shared" si="231"/>
        <v>165.38611998990447</v>
      </c>
      <c r="F171" s="183">
        <f t="shared" si="231"/>
        <v>138.04282113019377</v>
      </c>
      <c r="G171" s="183">
        <f t="shared" si="231"/>
        <v>216.64320414877386</v>
      </c>
      <c r="H171" s="19">
        <f t="shared" si="231"/>
        <v>201.56882523923542</v>
      </c>
      <c r="I171" s="19">
        <f t="shared" si="231"/>
        <v>215.9690940517936</v>
      </c>
      <c r="J171" s="30">
        <f t="shared" si="222"/>
        <v>237.04409319826385</v>
      </c>
      <c r="K171" s="30">
        <f t="shared" ref="K171:N171" si="236">J171*(1+($C171+K$62))</f>
        <v>254.21456721774217</v>
      </c>
      <c r="L171" s="30">
        <f t="shared" si="236"/>
        <v>272.88850832196482</v>
      </c>
      <c r="M171" s="30">
        <f t="shared" si="236"/>
        <v>292.69880594682314</v>
      </c>
      <c r="N171" s="30">
        <f t="shared" si="236"/>
        <v>313.91913756541192</v>
      </c>
      <c r="O171" s="102">
        <f t="shared" si="234"/>
        <v>291.03473897300768</v>
      </c>
      <c r="P171" s="102">
        <f t="shared" si="234"/>
        <v>261.57162095152421</v>
      </c>
      <c r="Q171" s="102">
        <f t="shared" si="234"/>
        <v>0</v>
      </c>
      <c r="R171" s="102">
        <f t="shared" si="234"/>
        <v>0</v>
      </c>
      <c r="S171" s="102">
        <f t="shared" si="234"/>
        <v>0</v>
      </c>
      <c r="U171" s="9" t="s">
        <v>275</v>
      </c>
      <c r="V171" s="9" t="s">
        <v>299</v>
      </c>
      <c r="W171" s="9" t="str">
        <v>WN350</v>
      </c>
      <c r="X171" t="s">
        <v>300</v>
      </c>
      <c r="Y171" s="28">
        <f t="shared" si="227"/>
        <v>165.38611998990447</v>
      </c>
      <c r="Z171" s="28">
        <f t="shared" si="192"/>
        <v>138.04282113019377</v>
      </c>
      <c r="AA171" s="28">
        <f t="shared" si="193"/>
        <v>216.64320414877386</v>
      </c>
      <c r="AB171" s="28">
        <f t="shared" si="194"/>
        <v>201.56882523923542</v>
      </c>
      <c r="AC171" s="28">
        <f t="shared" si="195"/>
        <v>215.9690940517936</v>
      </c>
      <c r="AD171" s="28">
        <f t="shared" si="196"/>
        <v>237.04409319826385</v>
      </c>
      <c r="AE171" s="28">
        <f t="shared" si="197"/>
        <v>254.21456721774217</v>
      </c>
      <c r="AF171" s="28">
        <f t="shared" si="198"/>
        <v>272.88850832196482</v>
      </c>
      <c r="AG171" s="28">
        <f t="shared" si="199"/>
        <v>292.69880594682314</v>
      </c>
      <c r="AH171" s="28">
        <f t="shared" si="200"/>
        <v>313.91913756541192</v>
      </c>
      <c r="AI171" s="28">
        <f t="shared" si="201"/>
        <v>291.03473897300768</v>
      </c>
      <c r="AJ171" s="28">
        <f t="shared" si="202"/>
        <v>261.57162095152421</v>
      </c>
      <c r="AK171" s="28">
        <f t="shared" si="203"/>
        <v>0</v>
      </c>
      <c r="AL171" s="28">
        <f t="shared" si="204"/>
        <v>0</v>
      </c>
      <c r="AM171" s="28">
        <f t="shared" si="205"/>
        <v>0</v>
      </c>
    </row>
    <row r="172" spans="1:39" ht="14.65" thickBot="1" x14ac:dyDescent="0.5">
      <c r="A172" s="9" t="str">
        <v>WX349</v>
      </c>
      <c r="B172" t="s">
        <v>301</v>
      </c>
      <c r="C172" s="25">
        <f>IF($B$2="Discounted",INDEX('Top Down inputs'!$D$50:$F$89,MATCH($A172,'Top Down inputs'!$A$50:$A$89,0),MATCH('Copper Weighted Price'!$B$147,'Top Down inputs'!$D$47:$F$47,0)),INDEX('Top Down inputs'!$D$5:$F$44,MATCH($A172,'Top Down inputs'!$A$5:$A$44,0),MATCH('Copper Weighted Price'!$B$147,'Top Down inputs'!$D$2:$F$2,0)))</f>
        <v>5.2499999999999998E-2</v>
      </c>
      <c r="D172" s="13">
        <f>IF($B$2="Headline",INDEX('Top Down inputs'!$J$5:$J$44,MATCH($A172,'Top Down inputs'!$H$5:$H$44,0)),INDEX('Top Down inputs'!$J$50:$J$89,MATCH($A172,'Top Down inputs'!$H$50:$H113,0)))</f>
        <v>176.58805191581328</v>
      </c>
      <c r="E172" s="183">
        <f t="shared" si="231"/>
        <v>145.4565516059393</v>
      </c>
      <c r="F172" s="183">
        <f t="shared" si="231"/>
        <v>172.6105277314191</v>
      </c>
      <c r="G172" s="183">
        <f t="shared" si="231"/>
        <v>135.79740229493805</v>
      </c>
      <c r="H172" s="19">
        <f t="shared" si="231"/>
        <v>170.12563405863042</v>
      </c>
      <c r="I172" s="19">
        <f t="shared" si="231"/>
        <v>178.35483829354928</v>
      </c>
      <c r="J172" s="30">
        <f t="shared" si="222"/>
        <v>189.71265284554721</v>
      </c>
      <c r="K172" s="30">
        <f t="shared" ref="K172:N172" si="237">J172*(1+($C172+K$62))</f>
        <v>203.45463701777561</v>
      </c>
      <c r="L172" s="30">
        <f t="shared" si="237"/>
        <v>218.39988563445593</v>
      </c>
      <c r="M172" s="30">
        <f t="shared" si="237"/>
        <v>234.25459040842512</v>
      </c>
      <c r="N172" s="30">
        <f t="shared" si="237"/>
        <v>251.23778265467769</v>
      </c>
      <c r="O172" s="102">
        <f t="shared" si="234"/>
        <v>0</v>
      </c>
      <c r="P172" s="102">
        <f t="shared" si="234"/>
        <v>0</v>
      </c>
      <c r="Q172" s="102">
        <f t="shared" si="234"/>
        <v>0</v>
      </c>
      <c r="R172" s="102">
        <f t="shared" si="234"/>
        <v>0</v>
      </c>
      <c r="S172" s="102">
        <f t="shared" si="234"/>
        <v>0</v>
      </c>
      <c r="U172" s="9" t="s">
        <v>275</v>
      </c>
      <c r="V172" s="9" t="s">
        <v>299</v>
      </c>
      <c r="W172" s="9" t="str">
        <v>WX349</v>
      </c>
      <c r="X172" t="s">
        <v>301</v>
      </c>
      <c r="Y172" s="28">
        <f t="shared" si="227"/>
        <v>145.4565516059393</v>
      </c>
      <c r="Z172" s="28">
        <f t="shared" si="192"/>
        <v>172.6105277314191</v>
      </c>
      <c r="AA172" s="28">
        <f t="shared" si="193"/>
        <v>135.79740229493805</v>
      </c>
      <c r="AB172" s="28">
        <f t="shared" si="194"/>
        <v>170.12563405863042</v>
      </c>
      <c r="AC172" s="28">
        <f t="shared" si="195"/>
        <v>178.35483829354928</v>
      </c>
      <c r="AD172" s="28">
        <f t="shared" si="196"/>
        <v>189.71265284554721</v>
      </c>
      <c r="AE172" s="28">
        <f t="shared" si="197"/>
        <v>203.45463701777561</v>
      </c>
      <c r="AF172" s="28">
        <f t="shared" si="198"/>
        <v>218.39988563445593</v>
      </c>
      <c r="AG172" s="28">
        <f t="shared" si="199"/>
        <v>234.25459040842512</v>
      </c>
      <c r="AH172" s="28">
        <f t="shared" si="200"/>
        <v>251.23778265467769</v>
      </c>
      <c r="AI172" s="28">
        <f t="shared" si="201"/>
        <v>0</v>
      </c>
      <c r="AJ172" s="28">
        <f t="shared" si="202"/>
        <v>0</v>
      </c>
      <c r="AK172" s="28">
        <f t="shared" si="203"/>
        <v>0</v>
      </c>
      <c r="AL172" s="28">
        <f t="shared" si="204"/>
        <v>0</v>
      </c>
      <c r="AM172" s="28">
        <f t="shared" si="205"/>
        <v>0</v>
      </c>
    </row>
    <row r="173" spans="1:39" ht="14.65" thickBot="1" x14ac:dyDescent="0.5">
      <c r="A173" s="9" t="str">
        <v>WX351</v>
      </c>
      <c r="B173" t="s">
        <v>302</v>
      </c>
      <c r="C173" s="25">
        <f>IF($B$2="Discounted",INDEX('Top Down inputs'!$D$50:$F$89,MATCH($A173,'Top Down inputs'!$A$50:$A$89,0),MATCH('Copper Weighted Price'!$B$147,'Top Down inputs'!$D$47:$F$47,0)),INDEX('Top Down inputs'!$D$5:$F$44,MATCH($A173,'Top Down inputs'!$A$5:$A$44,0),MATCH('Copper Weighted Price'!$B$147,'Top Down inputs'!$D$2:$F$2,0)))</f>
        <v>5.2499999999999998E-2</v>
      </c>
      <c r="D173" s="13">
        <f>IF($B$2="Headline",INDEX('Top Down inputs'!$J$5:$J$44,MATCH($A173,'Top Down inputs'!$H$5:$H$44,0)),INDEX('Top Down inputs'!$J$50:$J$89,MATCH($A173,'Top Down inputs'!$H$50:$H114,0)))</f>
        <v>234.80405909790278</v>
      </c>
      <c r="E173" s="183">
        <f t="shared" si="231"/>
        <v>138.56373194869053</v>
      </c>
      <c r="F173" s="183">
        <f t="shared" si="231"/>
        <v>159.95215311000374</v>
      </c>
      <c r="G173" s="183">
        <f t="shared" si="231"/>
        <v>177.17707957963754</v>
      </c>
      <c r="H173" s="19">
        <f t="shared" si="231"/>
        <v>180.70452031567345</v>
      </c>
      <c r="I173" s="19">
        <f t="shared" si="231"/>
        <v>176.43949826972155</v>
      </c>
      <c r="J173" s="30">
        <f t="shared" si="222"/>
        <v>252.25546387250674</v>
      </c>
      <c r="K173" s="30">
        <f t="shared" ref="K173:N173" si="238">J173*(1+($C173+K$62))</f>
        <v>270.52778540667629</v>
      </c>
      <c r="L173" s="30">
        <f t="shared" si="238"/>
        <v>290.40005310175701</v>
      </c>
      <c r="M173" s="30">
        <f t="shared" si="238"/>
        <v>311.48159851968626</v>
      </c>
      <c r="N173" s="30">
        <f t="shared" si="238"/>
        <v>334.06366130704424</v>
      </c>
      <c r="O173" s="102">
        <f t="shared" si="234"/>
        <v>286.71336532164975</v>
      </c>
      <c r="P173" s="102">
        <f t="shared" si="234"/>
        <v>257.68772477228578</v>
      </c>
      <c r="Q173" s="102">
        <f t="shared" si="234"/>
        <v>0</v>
      </c>
      <c r="R173" s="102">
        <f t="shared" si="234"/>
        <v>0</v>
      </c>
      <c r="S173" s="102">
        <f t="shared" si="234"/>
        <v>0</v>
      </c>
      <c r="U173" s="9" t="s">
        <v>275</v>
      </c>
      <c r="V173" s="9" t="s">
        <v>299</v>
      </c>
      <c r="W173" s="9" t="str">
        <v>WX351</v>
      </c>
      <c r="X173" t="s">
        <v>302</v>
      </c>
      <c r="Y173" s="28">
        <f t="shared" si="227"/>
        <v>138.56373194869053</v>
      </c>
      <c r="Z173" s="28">
        <f t="shared" si="192"/>
        <v>159.95215311000374</v>
      </c>
      <c r="AA173" s="28">
        <f t="shared" si="193"/>
        <v>177.17707957963754</v>
      </c>
      <c r="AB173" s="28">
        <f t="shared" si="194"/>
        <v>180.70452031567345</v>
      </c>
      <c r="AC173" s="28">
        <f t="shared" si="195"/>
        <v>176.43949826972155</v>
      </c>
      <c r="AD173" s="28">
        <f t="shared" si="196"/>
        <v>252.25546387250674</v>
      </c>
      <c r="AE173" s="28">
        <f t="shared" si="197"/>
        <v>270.52778540667629</v>
      </c>
      <c r="AF173" s="28">
        <f t="shared" si="198"/>
        <v>290.40005310175701</v>
      </c>
      <c r="AG173" s="28">
        <f t="shared" si="199"/>
        <v>311.48159851968626</v>
      </c>
      <c r="AH173" s="28">
        <f t="shared" si="200"/>
        <v>334.06366130704424</v>
      </c>
      <c r="AI173" s="28">
        <f t="shared" si="201"/>
        <v>286.71336532164975</v>
      </c>
      <c r="AJ173" s="28">
        <f t="shared" si="202"/>
        <v>257.68772477228578</v>
      </c>
      <c r="AK173" s="28">
        <f t="shared" si="203"/>
        <v>0</v>
      </c>
      <c r="AL173" s="28">
        <f t="shared" si="204"/>
        <v>0</v>
      </c>
      <c r="AM173" s="28">
        <f t="shared" si="205"/>
        <v>0</v>
      </c>
    </row>
    <row r="174" spans="1:39" ht="14.65" thickBot="1" x14ac:dyDescent="0.5">
      <c r="A174" s="9" t="str">
        <v>WX355</v>
      </c>
      <c r="B174" t="s">
        <v>303</v>
      </c>
      <c r="C174" s="25">
        <f>IF($B$2="Discounted",INDEX('Top Down inputs'!$D$50:$F$89,MATCH($A174,'Top Down inputs'!$A$50:$A$89,0),MATCH('Copper Weighted Price'!$B$147,'Top Down inputs'!$D$47:$F$47,0)),INDEX('Top Down inputs'!$D$5:$F$44,MATCH($A174,'Top Down inputs'!$A$5:$A$44,0),MATCH('Copper Weighted Price'!$B$147,'Top Down inputs'!$D$2:$F$2,0)))</f>
        <v>0.75249999999999995</v>
      </c>
      <c r="D174" s="13">
        <f>IF($B$2="Headline",INDEX('Top Down inputs'!$J$5:$J$44,MATCH($A174,'Top Down inputs'!$H$5:$H$44,0)),INDEX('Top Down inputs'!$J$50:$J$89,MATCH($A174,'Top Down inputs'!$H$50:$H115,0)))</f>
        <v>48.288224428923911</v>
      </c>
      <c r="E174" s="183">
        <f t="shared" si="231"/>
        <v>50.984995674377856</v>
      </c>
      <c r="F174" s="183">
        <f t="shared" si="231"/>
        <v>33.419546301259587</v>
      </c>
      <c r="G174" s="183">
        <f t="shared" si="231"/>
        <v>33.389996491467969</v>
      </c>
      <c r="H174" s="19">
        <f t="shared" si="231"/>
        <v>31.273932726621325</v>
      </c>
      <c r="I174" s="19">
        <f t="shared" si="231"/>
        <v>45.355787185237716</v>
      </c>
      <c r="J174" s="30">
        <f t="shared" si="222"/>
        <v>85.678920125861183</v>
      </c>
      <c r="K174" s="30">
        <f t="shared" ref="K174:N174" si="239">J174*(1+($C174+K$62))</f>
        <v>151.86038370751447</v>
      </c>
      <c r="L174" s="30">
        <f t="shared" si="239"/>
        <v>269.31792122562041</v>
      </c>
      <c r="M174" s="30">
        <f t="shared" si="239"/>
        <v>477.39155750911561</v>
      </c>
      <c r="N174" s="30">
        <f t="shared" si="239"/>
        <v>846.17599449884983</v>
      </c>
      <c r="O174" s="102">
        <f t="shared" si="234"/>
        <v>0</v>
      </c>
      <c r="P174" s="102">
        <f t="shared" si="234"/>
        <v>0</v>
      </c>
      <c r="Q174" s="102">
        <f t="shared" si="234"/>
        <v>0</v>
      </c>
      <c r="R174" s="102">
        <f t="shared" si="234"/>
        <v>0</v>
      </c>
      <c r="S174" s="102">
        <f t="shared" si="234"/>
        <v>0</v>
      </c>
      <c r="U174" s="9" t="s">
        <v>3</v>
      </c>
      <c r="V174" s="9" t="s">
        <v>299</v>
      </c>
      <c r="W174" s="9" t="str">
        <v>WX355</v>
      </c>
      <c r="X174" t="s">
        <v>303</v>
      </c>
      <c r="Y174" s="28">
        <f t="shared" si="227"/>
        <v>50.984995674377856</v>
      </c>
      <c r="Z174" s="28">
        <f t="shared" si="192"/>
        <v>33.419546301259587</v>
      </c>
      <c r="AA174" s="28">
        <f t="shared" si="193"/>
        <v>33.389996491467969</v>
      </c>
      <c r="AB174" s="28">
        <f t="shared" si="194"/>
        <v>31.273932726621325</v>
      </c>
      <c r="AC174" s="28">
        <f t="shared" si="195"/>
        <v>45.355787185237716</v>
      </c>
      <c r="AD174" s="28">
        <f t="shared" si="196"/>
        <v>85.678920125861183</v>
      </c>
      <c r="AE174" s="28">
        <f t="shared" si="197"/>
        <v>151.86038370751447</v>
      </c>
      <c r="AF174" s="28">
        <f t="shared" si="198"/>
        <v>269.31792122562041</v>
      </c>
      <c r="AG174" s="28">
        <f t="shared" si="199"/>
        <v>477.39155750911561</v>
      </c>
      <c r="AH174" s="28">
        <f t="shared" si="200"/>
        <v>846.17599449884983</v>
      </c>
      <c r="AI174" s="28">
        <f t="shared" si="201"/>
        <v>0</v>
      </c>
      <c r="AJ174" s="28">
        <f t="shared" si="202"/>
        <v>0</v>
      </c>
      <c r="AK174" s="28">
        <f t="shared" si="203"/>
        <v>0</v>
      </c>
      <c r="AL174" s="28">
        <f t="shared" si="204"/>
        <v>0</v>
      </c>
      <c r="AM174" s="28">
        <f t="shared" si="205"/>
        <v>0</v>
      </c>
    </row>
    <row r="175" spans="1:39" ht="14.65" thickBot="1" x14ac:dyDescent="0.5">
      <c r="A175" s="9" t="str">
        <v>WN354</v>
      </c>
      <c r="B175" t="s">
        <v>304</v>
      </c>
      <c r="C175" s="25">
        <f>IF($B$2="Discounted",INDEX('Top Down inputs'!$D$50:$F$89,MATCH($A175,'Top Down inputs'!$A$50:$A$89,0),MATCH('Copper Weighted Price'!$B$147,'Top Down inputs'!$D$47:$F$47,0)),INDEX('Top Down inputs'!$D$5:$F$44,MATCH($A175,'Top Down inputs'!$A$5:$A$44,0),MATCH('Copper Weighted Price'!$B$147,'Top Down inputs'!$D$2:$F$2,0)))</f>
        <v>0.75249999999999995</v>
      </c>
      <c r="D175" s="13">
        <f>IF($B$2="Headline",INDEX('Top Down inputs'!$J$5:$J$44,MATCH($A175,'Top Down inputs'!$H$5:$H$44,0)),INDEX('Top Down inputs'!$J$50:$J$89,MATCH($A175,'Top Down inputs'!$H$50:$H116,0)))</f>
        <v>53.605404041605752</v>
      </c>
      <c r="E175" s="183">
        <f t="shared" si="231"/>
        <v>16.92577121680031</v>
      </c>
      <c r="F175" s="183">
        <f t="shared" si="231"/>
        <v>32.709812337904751</v>
      </c>
      <c r="G175" s="183">
        <f t="shared" si="231"/>
        <v>30.408724173639566</v>
      </c>
      <c r="H175" s="19">
        <f t="shared" si="231"/>
        <v>31.339039097179224</v>
      </c>
      <c r="I175" s="19">
        <f t="shared" si="231"/>
        <v>37.205135094451819</v>
      </c>
      <c r="J175" s="30">
        <f t="shared" si="222"/>
        <v>95.113315627405981</v>
      </c>
      <c r="K175" s="30">
        <f t="shared" ref="K175:N175" si="240">J175*(1+($C175+K$62))</f>
        <v>168.58224386644747</v>
      </c>
      <c r="L175" s="30">
        <f t="shared" si="240"/>
        <v>298.9734278632381</v>
      </c>
      <c r="M175" s="30">
        <f t="shared" si="240"/>
        <v>529.95875555530131</v>
      </c>
      <c r="N175" s="30">
        <f t="shared" si="240"/>
        <v>939.35129344388781</v>
      </c>
      <c r="O175" s="102">
        <f t="shared" si="234"/>
        <v>0</v>
      </c>
      <c r="P175" s="102">
        <f t="shared" si="234"/>
        <v>0</v>
      </c>
      <c r="Q175" s="102">
        <f t="shared" si="234"/>
        <v>0</v>
      </c>
      <c r="R175" s="102">
        <f t="shared" si="234"/>
        <v>0</v>
      </c>
      <c r="S175" s="102">
        <f t="shared" si="234"/>
        <v>0</v>
      </c>
      <c r="U175" s="9" t="s">
        <v>3</v>
      </c>
      <c r="V175" s="9" t="s">
        <v>299</v>
      </c>
      <c r="W175" s="9" t="str">
        <v>WN354</v>
      </c>
      <c r="X175" t="s">
        <v>304</v>
      </c>
      <c r="Y175" s="28">
        <f t="shared" si="227"/>
        <v>16.92577121680031</v>
      </c>
      <c r="Z175" s="28">
        <f t="shared" si="192"/>
        <v>32.709812337904751</v>
      </c>
      <c r="AA175" s="28">
        <f t="shared" si="193"/>
        <v>30.408724173639566</v>
      </c>
      <c r="AB175" s="28">
        <f t="shared" si="194"/>
        <v>31.339039097179224</v>
      </c>
      <c r="AC175" s="28">
        <f t="shared" si="195"/>
        <v>37.205135094451819</v>
      </c>
      <c r="AD175" s="28">
        <f t="shared" si="196"/>
        <v>95.113315627405981</v>
      </c>
      <c r="AE175" s="28">
        <f t="shared" si="197"/>
        <v>168.58224386644747</v>
      </c>
      <c r="AF175" s="28">
        <f t="shared" si="198"/>
        <v>298.9734278632381</v>
      </c>
      <c r="AG175" s="28">
        <f t="shared" si="199"/>
        <v>529.95875555530131</v>
      </c>
      <c r="AH175" s="28">
        <f t="shared" si="200"/>
        <v>939.35129344388781</v>
      </c>
      <c r="AI175" s="28">
        <f t="shared" si="201"/>
        <v>0</v>
      </c>
      <c r="AJ175" s="28">
        <f t="shared" si="202"/>
        <v>0</v>
      </c>
      <c r="AK175" s="28">
        <f t="shared" si="203"/>
        <v>0</v>
      </c>
      <c r="AL175" s="28">
        <f t="shared" si="204"/>
        <v>0</v>
      </c>
      <c r="AM175" s="28">
        <f t="shared" si="205"/>
        <v>0</v>
      </c>
    </row>
    <row r="176" spans="1:39" ht="14.65" thickBot="1" x14ac:dyDescent="0.5">
      <c r="A176" s="9" t="str">
        <v>WN158</v>
      </c>
      <c r="B176" t="s">
        <v>305</v>
      </c>
      <c r="C176" s="25">
        <f>IF($B$2="Discounted",INDEX('Top Down inputs'!$D$50:$F$89,MATCH($A176,'Top Down inputs'!$A$50:$A$89,0),MATCH('Copper Weighted Price'!$B$147,'Top Down inputs'!$D$47:$F$47,0)),INDEX('Top Down inputs'!$D$5:$F$44,MATCH($A176,'Top Down inputs'!$A$5:$A$44,0),MATCH('Copper Weighted Price'!$B$147,'Top Down inputs'!$D$2:$F$2,0)))</f>
        <v>-4.4999999999999998E-2</v>
      </c>
      <c r="D176" s="13">
        <f>IF($B$2="Headline",INDEX('Top Down inputs'!$J$5:$J$44,MATCH($A176,'Top Down inputs'!$H$5:$H$44,0)),INDEX('Top Down inputs'!$J$50:$J$89,MATCH($A176,'Top Down inputs'!$H$50:$H117,0)))</f>
        <v>8.1915891862328358</v>
      </c>
      <c r="E176" s="183">
        <f t="shared" si="231"/>
        <v>6.2421874880663033</v>
      </c>
      <c r="F176" s="183">
        <f t="shared" si="231"/>
        <v>8.1716227619916832</v>
      </c>
      <c r="G176" s="183">
        <f t="shared" si="231"/>
        <v>8.500107286152792</v>
      </c>
      <c r="H176" s="19">
        <f t="shared" si="231"/>
        <v>7.880076014122583</v>
      </c>
      <c r="I176" s="19">
        <f t="shared" si="231"/>
        <v>7.2668138842427537</v>
      </c>
      <c r="J176" s="30">
        <f t="shared" si="222"/>
        <v>8.0017349107336386</v>
      </c>
      <c r="K176" s="30">
        <f t="shared" ref="K176:N176" si="241">J176*(1+($C176+K$62))</f>
        <v>7.8011776744574011</v>
      </c>
      <c r="L176" s="30">
        <f t="shared" si="241"/>
        <v>7.6136170786985291</v>
      </c>
      <c r="M176" s="30">
        <f t="shared" si="241"/>
        <v>7.4239987278830979</v>
      </c>
      <c r="N176" s="30">
        <f t="shared" si="241"/>
        <v>7.2383903436079811</v>
      </c>
      <c r="O176" s="102">
        <f t="shared" si="234"/>
        <v>0</v>
      </c>
      <c r="P176" s="102">
        <f t="shared" si="234"/>
        <v>0</v>
      </c>
      <c r="Q176" s="102">
        <f t="shared" si="234"/>
        <v>0</v>
      </c>
      <c r="R176" s="102">
        <f t="shared" si="234"/>
        <v>0</v>
      </c>
      <c r="S176" s="102">
        <f t="shared" si="234"/>
        <v>0</v>
      </c>
      <c r="U176" s="9" t="s">
        <v>275</v>
      </c>
      <c r="V176" s="9" t="s">
        <v>261</v>
      </c>
      <c r="W176" s="9" t="str">
        <v>WN158</v>
      </c>
      <c r="X176" t="s">
        <v>305</v>
      </c>
      <c r="Y176" s="28">
        <f t="shared" si="227"/>
        <v>6.2421874880663033</v>
      </c>
      <c r="Z176" s="28">
        <f t="shared" si="192"/>
        <v>8.1716227619916832</v>
      </c>
      <c r="AA176" s="28">
        <f t="shared" si="193"/>
        <v>8.500107286152792</v>
      </c>
      <c r="AB176" s="28">
        <f t="shared" si="194"/>
        <v>7.880076014122583</v>
      </c>
      <c r="AC176" s="28">
        <f t="shared" si="195"/>
        <v>7.2668138842427537</v>
      </c>
      <c r="AD176" s="28">
        <f t="shared" si="196"/>
        <v>8.0017349107336386</v>
      </c>
      <c r="AE176" s="28">
        <f t="shared" si="197"/>
        <v>7.8011776744574011</v>
      </c>
      <c r="AF176" s="28">
        <f t="shared" si="198"/>
        <v>7.6136170786985291</v>
      </c>
      <c r="AG176" s="28">
        <f t="shared" si="199"/>
        <v>7.4239987278830979</v>
      </c>
      <c r="AH176" s="28">
        <f t="shared" si="200"/>
        <v>7.2383903436079811</v>
      </c>
      <c r="AI176" s="28">
        <f t="shared" si="201"/>
        <v>0</v>
      </c>
      <c r="AJ176" s="28">
        <f t="shared" si="202"/>
        <v>0</v>
      </c>
      <c r="AK176" s="28">
        <f t="shared" si="203"/>
        <v>0</v>
      </c>
      <c r="AL176" s="28">
        <f t="shared" si="204"/>
        <v>0</v>
      </c>
      <c r="AM176" s="28">
        <f t="shared" si="205"/>
        <v>0</v>
      </c>
    </row>
    <row r="177" spans="1:39" ht="14.65" thickBot="1" x14ac:dyDescent="0.5">
      <c r="A177" s="9" t="str">
        <v>WX135</v>
      </c>
      <c r="B177" t="s">
        <v>306</v>
      </c>
      <c r="C177" s="25">
        <f>IF($B$2="Discounted",INDEX('Top Down inputs'!$D$50:$F$89,MATCH($A177,'Top Down inputs'!$A$50:$A$89,0),MATCH('Copper Weighted Price'!$B$147,'Top Down inputs'!$D$47:$F$47,0)),INDEX('Top Down inputs'!$D$5:$F$44,MATCH($A177,'Top Down inputs'!$A$5:$A$44,0),MATCH('Copper Weighted Price'!$B$147,'Top Down inputs'!$D$2:$F$2,0)))</f>
        <v>-4.4999999999999998E-2</v>
      </c>
      <c r="D177" s="13">
        <f>IF($B$2="Headline",INDEX('Top Down inputs'!$J$5:$J$44,MATCH($A177,'Top Down inputs'!$H$5:$H$44,0)),INDEX('Top Down inputs'!$J$50:$J$89,MATCH($A177,'Top Down inputs'!$H$50:$H118,0)))</f>
        <v>7.4645364398022611</v>
      </c>
      <c r="E177" s="183">
        <f t="shared" si="231"/>
        <v>5.8419307046279014</v>
      </c>
      <c r="F177" s="183">
        <f t="shared" si="231"/>
        <v>5.7308412796625747</v>
      </c>
      <c r="G177" s="183">
        <f t="shared" si="231"/>
        <v>8.7535972896096901</v>
      </c>
      <c r="H177" s="19">
        <f t="shared" si="231"/>
        <v>6.4516190562049429</v>
      </c>
      <c r="I177" s="19">
        <f t="shared" si="231"/>
        <v>8.1913477350862181</v>
      </c>
      <c r="J177" s="30">
        <f t="shared" si="222"/>
        <v>7.2915328716914747</v>
      </c>
      <c r="K177" s="30">
        <f t="shared" ref="K177:N177" si="242">J177*(1+($C177+K$62))</f>
        <v>7.1087762948643496</v>
      </c>
      <c r="L177" s="30">
        <f t="shared" si="242"/>
        <v>6.9378628286390027</v>
      </c>
      <c r="M177" s="30">
        <f t="shared" si="242"/>
        <v>6.7650742454791191</v>
      </c>
      <c r="N177" s="30">
        <f t="shared" si="242"/>
        <v>6.5959397202415824</v>
      </c>
      <c r="O177" s="102">
        <f t="shared" si="234"/>
        <v>0</v>
      </c>
      <c r="P177" s="102">
        <f t="shared" si="234"/>
        <v>0</v>
      </c>
      <c r="Q177" s="102">
        <f t="shared" si="234"/>
        <v>0</v>
      </c>
      <c r="R177" s="102">
        <f t="shared" si="234"/>
        <v>0</v>
      </c>
      <c r="S177" s="102">
        <f t="shared" si="234"/>
        <v>0</v>
      </c>
      <c r="U177" s="9" t="s">
        <v>275</v>
      </c>
      <c r="V177" s="9" t="s">
        <v>261</v>
      </c>
      <c r="W177" s="9" t="str">
        <v>WX135</v>
      </c>
      <c r="X177" t="s">
        <v>306</v>
      </c>
      <c r="Y177" s="28">
        <f t="shared" si="227"/>
        <v>5.8419307046279014</v>
      </c>
      <c r="Z177" s="28">
        <f t="shared" si="192"/>
        <v>5.7308412796625747</v>
      </c>
      <c r="AA177" s="28">
        <f t="shared" si="193"/>
        <v>8.7535972896096901</v>
      </c>
      <c r="AB177" s="28">
        <f t="shared" si="194"/>
        <v>6.4516190562049429</v>
      </c>
      <c r="AC177" s="28">
        <f t="shared" si="195"/>
        <v>8.1913477350862181</v>
      </c>
      <c r="AD177" s="28">
        <f t="shared" si="196"/>
        <v>7.2915328716914747</v>
      </c>
      <c r="AE177" s="28">
        <f t="shared" si="197"/>
        <v>7.1087762948643496</v>
      </c>
      <c r="AF177" s="28">
        <f t="shared" si="198"/>
        <v>6.9378628286390027</v>
      </c>
      <c r="AG177" s="28">
        <f t="shared" si="199"/>
        <v>6.7650742454791191</v>
      </c>
      <c r="AH177" s="28">
        <f t="shared" si="200"/>
        <v>6.5959397202415824</v>
      </c>
      <c r="AI177" s="28">
        <f t="shared" si="201"/>
        <v>0</v>
      </c>
      <c r="AJ177" s="28">
        <f t="shared" si="202"/>
        <v>0</v>
      </c>
      <c r="AK177" s="28">
        <f t="shared" si="203"/>
        <v>0</v>
      </c>
      <c r="AL177" s="28">
        <f t="shared" si="204"/>
        <v>0</v>
      </c>
      <c r="AM177" s="28">
        <f t="shared" si="205"/>
        <v>0</v>
      </c>
    </row>
    <row r="178" spans="1:39" ht="14.65" thickBot="1" x14ac:dyDescent="0.5">
      <c r="A178" s="9" t="str">
        <v>WN138</v>
      </c>
      <c r="B178" t="s">
        <v>307</v>
      </c>
      <c r="C178" s="25">
        <f>IF($B$2="Discounted",INDEX('Top Down inputs'!$D$50:$F$89,MATCH($A178,'Top Down inputs'!$A$50:$A$89,0),MATCH('Copper Weighted Price'!$B$147,'Top Down inputs'!$D$47:$F$47,0)),INDEX('Top Down inputs'!$D$5:$F$44,MATCH($A178,'Top Down inputs'!$A$5:$A$44,0),MATCH('Copper Weighted Price'!$B$147,'Top Down inputs'!$D$2:$F$2,0)))</f>
        <v>0.16250000000000001</v>
      </c>
      <c r="D178" s="13">
        <f>IF($B$2="Headline",INDEX('Top Down inputs'!$J$5:$J$44,MATCH($A178,'Top Down inputs'!$H$5:$H$44,0)),INDEX('Top Down inputs'!$J$50:$J$89,MATCH($A178,'Top Down inputs'!$H$50:$H119,0)))</f>
        <v>36.903122828170901</v>
      </c>
      <c r="E178" s="183">
        <f t="shared" ref="E178:I187" si="243">E93</f>
        <v>28.173779897771958</v>
      </c>
      <c r="F178" s="183">
        <f t="shared" si="243"/>
        <v>20.784573326782187</v>
      </c>
      <c r="G178" s="183">
        <f t="shared" si="243"/>
        <v>35.214890286332299</v>
      </c>
      <c r="H178" s="19">
        <f t="shared" si="243"/>
        <v>38.879325444222857</v>
      </c>
      <c r="I178" s="19">
        <f t="shared" si="243"/>
        <v>32.608528260625313</v>
      </c>
      <c r="J178" s="30">
        <f t="shared" si="222"/>
        <v>43.705226989982364</v>
      </c>
      <c r="K178" s="30">
        <f t="shared" ref="K178:N178" si="244">J178*(1+($C178+K$62))</f>
        <v>51.678624209170486</v>
      </c>
      <c r="L178" s="30">
        <f t="shared" si="244"/>
        <v>61.159450232868089</v>
      </c>
      <c r="M178" s="30">
        <f t="shared" si="244"/>
        <v>72.326850268316221</v>
      </c>
      <c r="N178" s="30">
        <f t="shared" si="244"/>
        <v>85.526418450295722</v>
      </c>
      <c r="O178" s="102">
        <f t="shared" si="234"/>
        <v>0</v>
      </c>
      <c r="P178" s="102">
        <f t="shared" si="234"/>
        <v>0</v>
      </c>
      <c r="Q178" s="102">
        <f t="shared" si="234"/>
        <v>0</v>
      </c>
      <c r="R178" s="102">
        <f t="shared" si="234"/>
        <v>0</v>
      </c>
      <c r="S178" s="102">
        <f t="shared" si="234"/>
        <v>0</v>
      </c>
      <c r="U178" s="9" t="s">
        <v>3</v>
      </c>
      <c r="V178" s="9" t="s">
        <v>261</v>
      </c>
      <c r="W178" s="9" t="str">
        <v>WN138</v>
      </c>
      <c r="X178" t="s">
        <v>307</v>
      </c>
      <c r="Y178" s="28">
        <f t="shared" si="227"/>
        <v>28.173779897771958</v>
      </c>
      <c r="Z178" s="28">
        <f t="shared" si="192"/>
        <v>20.784573326782187</v>
      </c>
      <c r="AA178" s="28">
        <f t="shared" si="193"/>
        <v>35.214890286332299</v>
      </c>
      <c r="AB178" s="28">
        <f t="shared" si="194"/>
        <v>38.879325444222857</v>
      </c>
      <c r="AC178" s="28">
        <f t="shared" si="195"/>
        <v>32.608528260625313</v>
      </c>
      <c r="AD178" s="28">
        <f t="shared" si="196"/>
        <v>43.705226989982364</v>
      </c>
      <c r="AE178" s="28">
        <f t="shared" si="197"/>
        <v>51.678624209170486</v>
      </c>
      <c r="AF178" s="28">
        <f t="shared" si="198"/>
        <v>61.159450232868089</v>
      </c>
      <c r="AG178" s="28">
        <f t="shared" si="199"/>
        <v>72.326850268316221</v>
      </c>
      <c r="AH178" s="28">
        <f t="shared" si="200"/>
        <v>85.526418450295722</v>
      </c>
      <c r="AI178" s="28">
        <f t="shared" si="201"/>
        <v>0</v>
      </c>
      <c r="AJ178" s="28">
        <f t="shared" si="202"/>
        <v>0</v>
      </c>
      <c r="AK178" s="28">
        <f t="shared" si="203"/>
        <v>0</v>
      </c>
      <c r="AL178" s="28">
        <f t="shared" si="204"/>
        <v>0</v>
      </c>
      <c r="AM178" s="28">
        <f t="shared" si="205"/>
        <v>0</v>
      </c>
    </row>
    <row r="179" spans="1:39" ht="14.65" thickBot="1" x14ac:dyDescent="0.5">
      <c r="A179" s="9" t="str">
        <v>WX134</v>
      </c>
      <c r="B179" t="s">
        <v>308</v>
      </c>
      <c r="C179" s="25">
        <f>IF($B$2="Discounted",INDEX('Top Down inputs'!$D$50:$F$89,MATCH($A179,'Top Down inputs'!$A$50:$A$89,0),MATCH('Copper Weighted Price'!$B$147,'Top Down inputs'!$D$47:$F$47,0)),INDEX('Top Down inputs'!$D$5:$F$44,MATCH($A179,'Top Down inputs'!$A$5:$A$44,0),MATCH('Copper Weighted Price'!$B$147,'Top Down inputs'!$D$2:$F$2,0)))</f>
        <v>0.16250000000000001</v>
      </c>
      <c r="D179" s="13">
        <f>IF($B$2="Headline",INDEX('Top Down inputs'!$J$5:$J$44,MATCH($A179,'Top Down inputs'!$H$5:$H$44,0)),INDEX('Top Down inputs'!$J$50:$J$89,MATCH($A179,'Top Down inputs'!$H$50:$H120,0)))</f>
        <v>33.780700386211755</v>
      </c>
      <c r="E179" s="183">
        <f t="shared" si="243"/>
        <v>30.82996909151305</v>
      </c>
      <c r="F179" s="183">
        <f t="shared" si="243"/>
        <v>28.317983447398539</v>
      </c>
      <c r="G179" s="183">
        <f t="shared" si="243"/>
        <v>37.762647947589976</v>
      </c>
      <c r="H179" s="19">
        <f t="shared" si="243"/>
        <v>36.121227611053683</v>
      </c>
      <c r="I179" s="19">
        <f t="shared" si="243"/>
        <v>33.713914366721959</v>
      </c>
      <c r="J179" s="30">
        <f t="shared" si="222"/>
        <v>40.007269442599281</v>
      </c>
      <c r="K179" s="30">
        <f t="shared" ref="K179:N179" si="245">J179*(1+($C179+K$62))</f>
        <v>47.306026888569015</v>
      </c>
      <c r="L179" s="30">
        <f t="shared" si="245"/>
        <v>55.984667577368477</v>
      </c>
      <c r="M179" s="30">
        <f t="shared" si="245"/>
        <v>66.207179001319474</v>
      </c>
      <c r="N179" s="30">
        <f t="shared" si="245"/>
        <v>78.289914114523555</v>
      </c>
      <c r="O179" s="102">
        <f t="shared" ref="O179:S187" si="246">IF(O50=0,0,O443/O50)</f>
        <v>0</v>
      </c>
      <c r="P179" s="102">
        <f t="shared" si="246"/>
        <v>0</v>
      </c>
      <c r="Q179" s="102">
        <f t="shared" si="246"/>
        <v>0</v>
      </c>
      <c r="R179" s="102">
        <f t="shared" si="246"/>
        <v>0</v>
      </c>
      <c r="S179" s="102">
        <f t="shared" si="246"/>
        <v>0</v>
      </c>
      <c r="U179" s="9" t="s">
        <v>3</v>
      </c>
      <c r="V179" s="9" t="s">
        <v>261</v>
      </c>
      <c r="W179" s="9" t="str">
        <v>WX134</v>
      </c>
      <c r="X179" t="s">
        <v>308</v>
      </c>
      <c r="Y179" s="28">
        <f t="shared" si="227"/>
        <v>30.82996909151305</v>
      </c>
      <c r="Z179" s="28">
        <f t="shared" si="192"/>
        <v>28.317983447398539</v>
      </c>
      <c r="AA179" s="28">
        <f t="shared" si="193"/>
        <v>37.762647947589976</v>
      </c>
      <c r="AB179" s="28">
        <f t="shared" si="194"/>
        <v>36.121227611053683</v>
      </c>
      <c r="AC179" s="28">
        <f t="shared" si="195"/>
        <v>33.713914366721959</v>
      </c>
      <c r="AD179" s="28">
        <f t="shared" si="196"/>
        <v>40.007269442599281</v>
      </c>
      <c r="AE179" s="28">
        <f t="shared" si="197"/>
        <v>47.306026888569015</v>
      </c>
      <c r="AF179" s="28">
        <f t="shared" si="198"/>
        <v>55.984667577368477</v>
      </c>
      <c r="AG179" s="28">
        <f t="shared" si="199"/>
        <v>66.207179001319474</v>
      </c>
      <c r="AH179" s="28">
        <f t="shared" si="200"/>
        <v>78.289914114523555</v>
      </c>
      <c r="AI179" s="28">
        <f t="shared" si="201"/>
        <v>0</v>
      </c>
      <c r="AJ179" s="28">
        <f t="shared" si="202"/>
        <v>0</v>
      </c>
      <c r="AK179" s="28">
        <f t="shared" si="203"/>
        <v>0</v>
      </c>
      <c r="AL179" s="28">
        <f t="shared" si="204"/>
        <v>0</v>
      </c>
      <c r="AM179" s="28">
        <f t="shared" si="205"/>
        <v>0</v>
      </c>
    </row>
    <row r="180" spans="1:39" ht="14.65" thickBot="1" x14ac:dyDescent="0.5">
      <c r="A180" s="9" t="str">
        <v>SL121</v>
      </c>
      <c r="B180" t="s">
        <v>309</v>
      </c>
      <c r="C180" s="25">
        <f>IF($B$2="Discounted",INDEX('Top Down inputs'!$D$50:$F$89,MATCH($A180,'Top Down inputs'!$A$50:$A$89,0),MATCH('Copper Weighted Price'!$B$147,'Top Down inputs'!$D$47:$F$47,0)),INDEX('Top Down inputs'!$D$5:$F$44,MATCH($A180,'Top Down inputs'!$A$5:$A$44,0),MATCH('Copper Weighted Price'!$B$147,'Top Down inputs'!$D$2:$F$2,0)))</f>
        <v>-0.13</v>
      </c>
      <c r="D180" s="13">
        <f>IF($B$2="Headline",INDEX('Top Down inputs'!$J$5:$J$44,MATCH($A180,'Top Down inputs'!$H$5:$H$44,0)),INDEX('Top Down inputs'!$J$50:$J$89,MATCH($A180,'Top Down inputs'!$H$50:$H121,0)))</f>
        <v>177.02226088708801</v>
      </c>
      <c r="E180" s="183">
        <f t="shared" si="243"/>
        <v>139.77560949312738</v>
      </c>
      <c r="F180" s="183">
        <f t="shared" si="243"/>
        <v>106.50753503040416</v>
      </c>
      <c r="G180" s="183">
        <f t="shared" si="243"/>
        <v>117.73571159088019</v>
      </c>
      <c r="H180" s="19">
        <f t="shared" si="243"/>
        <v>121.41766927478932</v>
      </c>
      <c r="I180" s="19">
        <f t="shared" si="243"/>
        <v>160.92508479937368</v>
      </c>
      <c r="J180" s="30">
        <f t="shared" si="222"/>
        <v>157.87257103422976</v>
      </c>
      <c r="K180" s="30">
        <f t="shared" ref="K180:N180" si="247">J180*(1+($C180+K$62))</f>
        <v>140.49644979997726</v>
      </c>
      <c r="L180" s="30">
        <f t="shared" si="247"/>
        <v>125.17635159775141</v>
      </c>
      <c r="M180" s="30">
        <f t="shared" si="247"/>
        <v>111.41882465882934</v>
      </c>
      <c r="N180" s="30">
        <f t="shared" si="247"/>
        <v>99.162627638480416</v>
      </c>
      <c r="O180" s="102">
        <f t="shared" si="246"/>
        <v>595.67580159000704</v>
      </c>
      <c r="P180" s="102">
        <f t="shared" si="246"/>
        <v>616.24137774439635</v>
      </c>
      <c r="Q180" s="102">
        <f t="shared" si="246"/>
        <v>0</v>
      </c>
      <c r="R180" s="102">
        <f t="shared" si="246"/>
        <v>0</v>
      </c>
      <c r="S180" s="102">
        <f t="shared" si="246"/>
        <v>0</v>
      </c>
      <c r="U180" s="9" t="s">
        <v>275</v>
      </c>
      <c r="V180" s="9" t="s">
        <v>261</v>
      </c>
      <c r="W180" s="9" t="str">
        <v>SL121</v>
      </c>
      <c r="X180" t="s">
        <v>309</v>
      </c>
      <c r="Y180" s="28">
        <f t="shared" si="227"/>
        <v>139.77560949312738</v>
      </c>
      <c r="Z180" s="28">
        <f t="shared" si="192"/>
        <v>106.50753503040416</v>
      </c>
      <c r="AA180" s="28">
        <f t="shared" si="193"/>
        <v>117.73571159088019</v>
      </c>
      <c r="AB180" s="28">
        <f t="shared" si="194"/>
        <v>121.41766927478932</v>
      </c>
      <c r="AC180" s="28">
        <f t="shared" si="195"/>
        <v>160.92508479937368</v>
      </c>
      <c r="AD180" s="28">
        <f t="shared" si="196"/>
        <v>157.87257103422976</v>
      </c>
      <c r="AE180" s="28">
        <f t="shared" si="197"/>
        <v>140.49644979997726</v>
      </c>
      <c r="AF180" s="28">
        <f t="shared" si="198"/>
        <v>125.17635159775141</v>
      </c>
      <c r="AG180" s="28">
        <f t="shared" si="199"/>
        <v>111.41882465882934</v>
      </c>
      <c r="AH180" s="28">
        <f t="shared" si="200"/>
        <v>99.162627638480416</v>
      </c>
      <c r="AI180" s="28">
        <f t="shared" si="201"/>
        <v>595.67580159000704</v>
      </c>
      <c r="AJ180" s="28">
        <f t="shared" si="202"/>
        <v>616.24137774439635</v>
      </c>
      <c r="AK180" s="28">
        <f t="shared" si="203"/>
        <v>0</v>
      </c>
      <c r="AL180" s="28">
        <f t="shared" si="204"/>
        <v>0</v>
      </c>
      <c r="AM180" s="28">
        <f t="shared" si="205"/>
        <v>0</v>
      </c>
    </row>
    <row r="181" spans="1:39" ht="14.65" thickBot="1" x14ac:dyDescent="0.5">
      <c r="A181" s="9" t="str">
        <v>SL122</v>
      </c>
      <c r="B181" t="s">
        <v>310</v>
      </c>
      <c r="C181" s="25">
        <f>IF($B$2="Discounted",INDEX('Top Down inputs'!$D$50:$F$89,MATCH($A181,'Top Down inputs'!$A$50:$A$89,0),MATCH('Copper Weighted Price'!$B$147,'Top Down inputs'!$D$47:$F$47,0)),INDEX('Top Down inputs'!$D$5:$F$44,MATCH($A181,'Top Down inputs'!$A$5:$A$44,0),MATCH('Copper Weighted Price'!$B$147,'Top Down inputs'!$D$2:$F$2,0)))</f>
        <v>-0.13</v>
      </c>
      <c r="D181" s="13">
        <f>IF($B$2="Headline",INDEX('Top Down inputs'!$J$5:$J$44,MATCH($A181,'Top Down inputs'!$H$5:$H$44,0)),INDEX('Top Down inputs'!$J$50:$J$89,MATCH($A181,'Top Down inputs'!$H$50:$H122,0)))</f>
        <v>108.86685334062551</v>
      </c>
      <c r="E181" s="183">
        <f t="shared" si="243"/>
        <v>77.151641489501145</v>
      </c>
      <c r="F181" s="183">
        <f t="shared" si="243"/>
        <v>119.16353890930178</v>
      </c>
      <c r="G181" s="183">
        <f t="shared" si="243"/>
        <v>125.79071662287359</v>
      </c>
      <c r="H181" s="19">
        <f t="shared" si="243"/>
        <v>101.0470379752699</v>
      </c>
      <c r="I181" s="19">
        <f t="shared" si="243"/>
        <v>139.33147102653632</v>
      </c>
      <c r="J181" s="30">
        <f t="shared" si="222"/>
        <v>97.089992813127594</v>
      </c>
      <c r="K181" s="30">
        <f t="shared" ref="K181:N181" si="248">J181*(1+($C181+K$62))</f>
        <v>86.403858580298603</v>
      </c>
      <c r="L181" s="30">
        <f t="shared" si="248"/>
        <v>76.982157175131675</v>
      </c>
      <c r="M181" s="30">
        <f t="shared" si="248"/>
        <v>68.52142088081527</v>
      </c>
      <c r="N181" s="30">
        <f t="shared" si="248"/>
        <v>60.983986905891605</v>
      </c>
      <c r="O181" s="102">
        <f t="shared" si="246"/>
        <v>601.55729435888782</v>
      </c>
      <c r="P181" s="102">
        <f t="shared" si="246"/>
        <v>622.32592775870671</v>
      </c>
      <c r="Q181" s="102">
        <f t="shared" si="246"/>
        <v>0</v>
      </c>
      <c r="R181" s="102">
        <f t="shared" si="246"/>
        <v>0</v>
      </c>
      <c r="S181" s="102">
        <f t="shared" si="246"/>
        <v>0</v>
      </c>
      <c r="U181" s="9" t="s">
        <v>275</v>
      </c>
      <c r="V181" s="9" t="s">
        <v>261</v>
      </c>
      <c r="W181" s="9" t="str">
        <v>SL122</v>
      </c>
      <c r="X181" t="s">
        <v>310</v>
      </c>
      <c r="Y181" s="28">
        <f t="shared" si="227"/>
        <v>77.151641489501145</v>
      </c>
      <c r="Z181" s="28">
        <f t="shared" si="192"/>
        <v>119.16353890930178</v>
      </c>
      <c r="AA181" s="28">
        <f t="shared" si="193"/>
        <v>125.79071662287359</v>
      </c>
      <c r="AB181" s="28">
        <f t="shared" si="194"/>
        <v>101.0470379752699</v>
      </c>
      <c r="AC181" s="28">
        <f t="shared" si="195"/>
        <v>139.33147102653632</v>
      </c>
      <c r="AD181" s="28">
        <f t="shared" si="196"/>
        <v>97.089992813127594</v>
      </c>
      <c r="AE181" s="28">
        <f t="shared" si="197"/>
        <v>86.403858580298603</v>
      </c>
      <c r="AF181" s="28">
        <f t="shared" si="198"/>
        <v>76.982157175131675</v>
      </c>
      <c r="AG181" s="28">
        <f t="shared" si="199"/>
        <v>68.52142088081527</v>
      </c>
      <c r="AH181" s="28">
        <f t="shared" si="200"/>
        <v>60.983986905891605</v>
      </c>
      <c r="AI181" s="28">
        <f t="shared" si="201"/>
        <v>601.55729435888782</v>
      </c>
      <c r="AJ181" s="28">
        <f t="shared" si="202"/>
        <v>622.32592775870671</v>
      </c>
      <c r="AK181" s="28">
        <f t="shared" si="203"/>
        <v>0</v>
      </c>
      <c r="AL181" s="28">
        <f t="shared" si="204"/>
        <v>0</v>
      </c>
      <c r="AM181" s="28">
        <f t="shared" si="205"/>
        <v>0</v>
      </c>
    </row>
    <row r="182" spans="1:39" ht="14.65" thickBot="1" x14ac:dyDescent="0.5">
      <c r="A182" s="9" t="str">
        <v>SL150</v>
      </c>
      <c r="B182" t="s">
        <v>311</v>
      </c>
      <c r="C182" s="25">
        <f>IF($B$2="Discounted",INDEX('Top Down inputs'!$D$50:$F$89,MATCH($A182,'Top Down inputs'!$A$50:$A$89,0),MATCH('Copper Weighted Price'!$B$147,'Top Down inputs'!$D$47:$F$47,0)),INDEX('Top Down inputs'!$D$5:$F$44,MATCH($A182,'Top Down inputs'!$A$5:$A$44,0),MATCH('Copper Weighted Price'!$B$147,'Top Down inputs'!$D$2:$F$2,0)))</f>
        <v>-0.13</v>
      </c>
      <c r="D182" s="13">
        <f>IF($B$2="Headline",INDEX('Top Down inputs'!$J$5:$J$44,MATCH($A182,'Top Down inputs'!$H$5:$H$44,0)),INDEX('Top Down inputs'!$J$50:$J$89,MATCH($A182,'Top Down inputs'!$H$50:$H123,0)))</f>
        <v>175.44301879380498</v>
      </c>
      <c r="E182" s="183">
        <f t="shared" si="243"/>
        <v>116.88318523763766</v>
      </c>
      <c r="F182" s="183">
        <f t="shared" si="243"/>
        <v>118.30062978770599</v>
      </c>
      <c r="G182" s="183">
        <f t="shared" si="243"/>
        <v>114.66526632763443</v>
      </c>
      <c r="H182" s="19">
        <f t="shared" si="243"/>
        <v>167.51184256730423</v>
      </c>
      <c r="I182" s="19">
        <f t="shared" si="243"/>
        <v>125.07266408969942</v>
      </c>
      <c r="J182" s="30">
        <f t="shared" si="222"/>
        <v>156.46416619123039</v>
      </c>
      <c r="K182" s="30">
        <f t="shared" ref="K182:N182" si="249">J182*(1+($C182+K$62))</f>
        <v>139.24305993607493</v>
      </c>
      <c r="L182" s="30">
        <f t="shared" si="249"/>
        <v>124.05963462364804</v>
      </c>
      <c r="M182" s="30">
        <f t="shared" si="249"/>
        <v>110.42484064233562</v>
      </c>
      <c r="N182" s="30">
        <f t="shared" si="249"/>
        <v>98.2779829906125</v>
      </c>
      <c r="O182" s="102">
        <f t="shared" si="246"/>
        <v>628.59105180751442</v>
      </c>
      <c r="P182" s="102">
        <f t="shared" si="246"/>
        <v>650.29301974277166</v>
      </c>
      <c r="Q182" s="102">
        <f t="shared" si="246"/>
        <v>0</v>
      </c>
      <c r="R182" s="102">
        <f t="shared" si="246"/>
        <v>0</v>
      </c>
      <c r="S182" s="102">
        <f t="shared" si="246"/>
        <v>0</v>
      </c>
      <c r="U182" s="9" t="s">
        <v>275</v>
      </c>
      <c r="V182" s="9" t="s">
        <v>261</v>
      </c>
      <c r="W182" s="9" t="str">
        <v>SL150</v>
      </c>
      <c r="X182" t="s">
        <v>311</v>
      </c>
      <c r="Y182" s="28">
        <f t="shared" si="227"/>
        <v>116.88318523763766</v>
      </c>
      <c r="Z182" s="28">
        <f t="shared" si="192"/>
        <v>118.30062978770599</v>
      </c>
      <c r="AA182" s="28">
        <f t="shared" si="193"/>
        <v>114.66526632763443</v>
      </c>
      <c r="AB182" s="28">
        <f t="shared" si="194"/>
        <v>167.51184256730423</v>
      </c>
      <c r="AC182" s="28">
        <f t="shared" si="195"/>
        <v>125.07266408969942</v>
      </c>
      <c r="AD182" s="28">
        <f t="shared" si="196"/>
        <v>156.46416619123039</v>
      </c>
      <c r="AE182" s="28">
        <f t="shared" si="197"/>
        <v>139.24305993607493</v>
      </c>
      <c r="AF182" s="28">
        <f t="shared" si="198"/>
        <v>124.05963462364804</v>
      </c>
      <c r="AG182" s="28">
        <f t="shared" si="199"/>
        <v>110.42484064233562</v>
      </c>
      <c r="AH182" s="28">
        <f t="shared" si="200"/>
        <v>98.2779829906125</v>
      </c>
      <c r="AI182" s="28">
        <f t="shared" si="201"/>
        <v>628.59105180751442</v>
      </c>
      <c r="AJ182" s="28">
        <f t="shared" si="202"/>
        <v>650.29301974277166</v>
      </c>
      <c r="AK182" s="28">
        <f t="shared" si="203"/>
        <v>0</v>
      </c>
      <c r="AL182" s="28">
        <f t="shared" si="204"/>
        <v>0</v>
      </c>
      <c r="AM182" s="28">
        <f t="shared" si="205"/>
        <v>0</v>
      </c>
    </row>
    <row r="183" spans="1:39" ht="14.65" thickBot="1" x14ac:dyDescent="0.5">
      <c r="A183" s="9" t="str">
        <v>SL151</v>
      </c>
      <c r="B183" t="s">
        <v>312</v>
      </c>
      <c r="C183" s="25">
        <f>IF($B$2="Discounted",INDEX('Top Down inputs'!$D$50:$F$89,MATCH($A183,'Top Down inputs'!$A$50:$A$89,0),MATCH('Copper Weighted Price'!$B$147,'Top Down inputs'!$D$47:$F$47,0)),INDEX('Top Down inputs'!$D$5:$F$44,MATCH($A183,'Top Down inputs'!$A$5:$A$44,0),MATCH('Copper Weighted Price'!$B$147,'Top Down inputs'!$D$2:$F$2,0)))</f>
        <v>-0.13</v>
      </c>
      <c r="D183" s="13">
        <f>IF($B$2="Headline",INDEX('Top Down inputs'!$J$5:$J$44,MATCH($A183,'Top Down inputs'!$H$5:$H$44,0)),INDEX('Top Down inputs'!$J$50:$J$89,MATCH($A183,'Top Down inputs'!$H$50:$H124,0)))</f>
        <v>148.86055769458213</v>
      </c>
      <c r="E183" s="183">
        <f t="shared" si="243"/>
        <v>77.591048142416369</v>
      </c>
      <c r="F183" s="183">
        <f t="shared" si="243"/>
        <v>87.145226603104348</v>
      </c>
      <c r="G183" s="183">
        <f t="shared" si="243"/>
        <v>107.66663912228933</v>
      </c>
      <c r="H183" s="19">
        <f t="shared" si="243"/>
        <v>123.03864418355158</v>
      </c>
      <c r="I183" s="19">
        <f t="shared" si="243"/>
        <v>141.77943619531189</v>
      </c>
      <c r="J183" s="30">
        <f t="shared" si="222"/>
        <v>132.75730888909428</v>
      </c>
      <c r="K183" s="30">
        <f t="shared" ref="K183:N183" si="250">J183*(1+($C183+K$62))</f>
        <v>118.14547936812036</v>
      </c>
      <c r="L183" s="30">
        <f t="shared" si="250"/>
        <v>105.2625890983269</v>
      </c>
      <c r="M183" s="30">
        <f t="shared" si="250"/>
        <v>93.693687411253521</v>
      </c>
      <c r="N183" s="30">
        <f t="shared" si="250"/>
        <v>83.387275581910018</v>
      </c>
      <c r="O183" s="102">
        <f t="shared" si="246"/>
        <v>579.40246034497397</v>
      </c>
      <c r="P183" s="102">
        <f t="shared" si="246"/>
        <v>599.40620296882889</v>
      </c>
      <c r="Q183" s="102">
        <f t="shared" si="246"/>
        <v>0</v>
      </c>
      <c r="R183" s="102">
        <f t="shared" si="246"/>
        <v>0</v>
      </c>
      <c r="S183" s="102">
        <f t="shared" si="246"/>
        <v>0</v>
      </c>
      <c r="U183" s="9" t="s">
        <v>275</v>
      </c>
      <c r="V183" s="9" t="s">
        <v>261</v>
      </c>
      <c r="W183" s="9" t="str">
        <v>SL151</v>
      </c>
      <c r="X183" t="s">
        <v>312</v>
      </c>
      <c r="Y183" s="28">
        <f t="shared" si="227"/>
        <v>77.591048142416369</v>
      </c>
      <c r="Z183" s="28">
        <f t="shared" si="192"/>
        <v>87.145226603104348</v>
      </c>
      <c r="AA183" s="28">
        <f t="shared" si="193"/>
        <v>107.66663912228933</v>
      </c>
      <c r="AB183" s="28">
        <f t="shared" si="194"/>
        <v>123.03864418355158</v>
      </c>
      <c r="AC183" s="28">
        <f t="shared" si="195"/>
        <v>141.77943619531189</v>
      </c>
      <c r="AD183" s="28">
        <f t="shared" si="196"/>
        <v>132.75730888909428</v>
      </c>
      <c r="AE183" s="28">
        <f t="shared" si="197"/>
        <v>118.14547936812036</v>
      </c>
      <c r="AF183" s="28">
        <f t="shared" si="198"/>
        <v>105.2625890983269</v>
      </c>
      <c r="AG183" s="28">
        <f t="shared" si="199"/>
        <v>93.693687411253521</v>
      </c>
      <c r="AH183" s="28">
        <f t="shared" si="200"/>
        <v>83.387275581910018</v>
      </c>
      <c r="AI183" s="28">
        <f t="shared" si="201"/>
        <v>579.40246034497397</v>
      </c>
      <c r="AJ183" s="28">
        <f t="shared" si="202"/>
        <v>599.40620296882889</v>
      </c>
      <c r="AK183" s="28">
        <f t="shared" si="203"/>
        <v>0</v>
      </c>
      <c r="AL183" s="28">
        <f t="shared" si="204"/>
        <v>0</v>
      </c>
      <c r="AM183" s="28">
        <f t="shared" si="205"/>
        <v>0</v>
      </c>
    </row>
    <row r="184" spans="1:39" ht="14.65" thickBot="1" x14ac:dyDescent="0.5">
      <c r="A184" s="9" t="str">
        <v>SL111</v>
      </c>
      <c r="B184" t="s">
        <v>313</v>
      </c>
      <c r="C184" s="25">
        <f>IF($B$2="Discounted",INDEX('Top Down inputs'!$D$50:$F$89,MATCH($A184,'Top Down inputs'!$A$50:$A$89,0),MATCH('Copper Weighted Price'!$B$147,'Top Down inputs'!$D$47:$F$47,0)),INDEX('Top Down inputs'!$D$5:$F$44,MATCH($A184,'Top Down inputs'!$A$5:$A$44,0),MATCH('Copper Weighted Price'!$B$147,'Top Down inputs'!$D$2:$F$2,0)))</f>
        <v>-0.13</v>
      </c>
      <c r="D184" s="13">
        <f>IF($B$2="Headline",INDEX('Top Down inputs'!$J$5:$J$44,MATCH($A184,'Top Down inputs'!$H$5:$H$44,0)),INDEX('Top Down inputs'!$J$50:$J$89,MATCH($A184,'Top Down inputs'!$H$50:$H125,0)))</f>
        <v>107.08785148909189</v>
      </c>
      <c r="E184" s="183">
        <f t="shared" si="243"/>
        <v>32.4465314495474</v>
      </c>
      <c r="F184" s="183">
        <f t="shared" si="243"/>
        <v>73.825060599802697</v>
      </c>
      <c r="G184" s="183">
        <f t="shared" si="243"/>
        <v>81.71202707495685</v>
      </c>
      <c r="H184" s="19">
        <f t="shared" si="243"/>
        <v>71.871665095799841</v>
      </c>
      <c r="I184" s="19">
        <f t="shared" si="243"/>
        <v>95.607057290980478</v>
      </c>
      <c r="J184" s="30">
        <f t="shared" si="222"/>
        <v>95.503437569912123</v>
      </c>
      <c r="K184" s="30">
        <f t="shared" ref="K184:N184" si="251">J184*(1+($C184+K$62))</f>
        <v>84.991926300846572</v>
      </c>
      <c r="L184" s="30">
        <f t="shared" si="251"/>
        <v>75.724185662708948</v>
      </c>
      <c r="M184" s="30">
        <f t="shared" si="251"/>
        <v>67.401706928623781</v>
      </c>
      <c r="N184" s="30">
        <f t="shared" si="251"/>
        <v>59.987442757784073</v>
      </c>
      <c r="O184" s="102">
        <f t="shared" si="246"/>
        <v>0</v>
      </c>
      <c r="P184" s="102">
        <f t="shared" si="246"/>
        <v>0</v>
      </c>
      <c r="Q184" s="102">
        <f t="shared" si="246"/>
        <v>0</v>
      </c>
      <c r="R184" s="102">
        <f t="shared" si="246"/>
        <v>0</v>
      </c>
      <c r="S184" s="102">
        <f t="shared" si="246"/>
        <v>0</v>
      </c>
      <c r="U184" s="9" t="s">
        <v>3</v>
      </c>
      <c r="V184" s="9" t="s">
        <v>261</v>
      </c>
      <c r="W184" s="9" t="str">
        <v>SL111</v>
      </c>
      <c r="X184" t="s">
        <v>313</v>
      </c>
      <c r="Y184" s="28">
        <f t="shared" si="227"/>
        <v>32.4465314495474</v>
      </c>
      <c r="Z184" s="28">
        <f t="shared" si="192"/>
        <v>73.825060599802697</v>
      </c>
      <c r="AA184" s="28">
        <f t="shared" si="193"/>
        <v>81.71202707495685</v>
      </c>
      <c r="AB184" s="28">
        <f t="shared" si="194"/>
        <v>71.871665095799841</v>
      </c>
      <c r="AC184" s="28">
        <f t="shared" si="195"/>
        <v>95.607057290980478</v>
      </c>
      <c r="AD184" s="28">
        <f t="shared" si="196"/>
        <v>95.503437569912123</v>
      </c>
      <c r="AE184" s="28">
        <f t="shared" si="197"/>
        <v>84.991926300846572</v>
      </c>
      <c r="AF184" s="28">
        <f t="shared" si="198"/>
        <v>75.724185662708948</v>
      </c>
      <c r="AG184" s="28">
        <f t="shared" si="199"/>
        <v>67.401706928623781</v>
      </c>
      <c r="AH184" s="28">
        <f t="shared" si="200"/>
        <v>59.987442757784073</v>
      </c>
      <c r="AI184" s="28">
        <f t="shared" si="201"/>
        <v>0</v>
      </c>
      <c r="AJ184" s="28">
        <f t="shared" si="202"/>
        <v>0</v>
      </c>
      <c r="AK184" s="28">
        <f t="shared" si="203"/>
        <v>0</v>
      </c>
      <c r="AL184" s="28">
        <f t="shared" si="204"/>
        <v>0</v>
      </c>
      <c r="AM184" s="28">
        <f t="shared" si="205"/>
        <v>0</v>
      </c>
    </row>
    <row r="185" spans="1:39" ht="14.65" thickBot="1" x14ac:dyDescent="0.5">
      <c r="A185" s="9" t="str">
        <v>SL112</v>
      </c>
      <c r="B185" t="s">
        <v>314</v>
      </c>
      <c r="C185" s="25">
        <f>IF($B$2="Discounted",INDEX('Top Down inputs'!$D$50:$F$89,MATCH($A185,'Top Down inputs'!$A$50:$A$89,0),MATCH('Copper Weighted Price'!$B$147,'Top Down inputs'!$D$47:$F$47,0)),INDEX('Top Down inputs'!$D$5:$F$44,MATCH($A185,'Top Down inputs'!$A$5:$A$44,0),MATCH('Copper Weighted Price'!$B$147,'Top Down inputs'!$D$2:$F$2,0)))</f>
        <v>-0.13</v>
      </c>
      <c r="D185" s="13">
        <f>IF($B$2="Headline",INDEX('Top Down inputs'!$J$5:$J$44,MATCH($A185,'Top Down inputs'!$H$5:$H$44,0)),INDEX('Top Down inputs'!$J$50:$J$89,MATCH($A185,'Top Down inputs'!$H$50:$H126,0)))</f>
        <v>29.702573594346283</v>
      </c>
      <c r="E185" s="183">
        <f t="shared" si="243"/>
        <v>38.530750326863412</v>
      </c>
      <c r="F185" s="183">
        <f t="shared" si="243"/>
        <v>56.080141297430487</v>
      </c>
      <c r="G185" s="183">
        <f t="shared" si="243"/>
        <v>62.243685177793864</v>
      </c>
      <c r="H185" s="19">
        <f t="shared" si="243"/>
        <v>39.103529865147479</v>
      </c>
      <c r="I185" s="19">
        <f t="shared" si="243"/>
        <v>33.977113774545415</v>
      </c>
      <c r="J185" s="30">
        <f t="shared" si="222"/>
        <v>26.489446220912559</v>
      </c>
      <c r="K185" s="30">
        <f t="shared" ref="K185:N185" si="252">J185*(1+($C185+K$62))</f>
        <v>23.573906010555245</v>
      </c>
      <c r="L185" s="30">
        <f t="shared" si="252"/>
        <v>21.003346002769145</v>
      </c>
      <c r="M185" s="30">
        <f t="shared" si="252"/>
        <v>18.694969901753367</v>
      </c>
      <c r="N185" s="30">
        <f t="shared" si="252"/>
        <v>16.638502019355677</v>
      </c>
      <c r="O185" s="102">
        <f t="shared" si="246"/>
        <v>0</v>
      </c>
      <c r="P185" s="102">
        <f t="shared" si="246"/>
        <v>0</v>
      </c>
      <c r="Q185" s="102">
        <f t="shared" si="246"/>
        <v>0</v>
      </c>
      <c r="R185" s="102">
        <f t="shared" si="246"/>
        <v>0</v>
      </c>
      <c r="S185" s="102">
        <f t="shared" si="246"/>
        <v>0</v>
      </c>
      <c r="U185" s="9" t="s">
        <v>3</v>
      </c>
      <c r="V185" s="9" t="s">
        <v>261</v>
      </c>
      <c r="W185" s="9" t="str">
        <v>SL112</v>
      </c>
      <c r="X185" t="s">
        <v>314</v>
      </c>
      <c r="Y185" s="28">
        <f t="shared" si="227"/>
        <v>38.530750326863412</v>
      </c>
      <c r="Z185" s="28">
        <f t="shared" si="192"/>
        <v>56.080141297430487</v>
      </c>
      <c r="AA185" s="28">
        <f t="shared" si="193"/>
        <v>62.243685177793864</v>
      </c>
      <c r="AB185" s="28">
        <f t="shared" si="194"/>
        <v>39.103529865147479</v>
      </c>
      <c r="AC185" s="28">
        <f t="shared" si="195"/>
        <v>33.977113774545415</v>
      </c>
      <c r="AD185" s="28">
        <f t="shared" si="196"/>
        <v>26.489446220912559</v>
      </c>
      <c r="AE185" s="28">
        <f t="shared" si="197"/>
        <v>23.573906010555245</v>
      </c>
      <c r="AF185" s="28">
        <f t="shared" si="198"/>
        <v>21.003346002769145</v>
      </c>
      <c r="AG185" s="28">
        <f t="shared" si="199"/>
        <v>18.694969901753367</v>
      </c>
      <c r="AH185" s="28">
        <f t="shared" si="200"/>
        <v>16.638502019355677</v>
      </c>
      <c r="AI185" s="28">
        <f t="shared" si="201"/>
        <v>0</v>
      </c>
      <c r="AJ185" s="28">
        <f t="shared" si="202"/>
        <v>0</v>
      </c>
      <c r="AK185" s="28">
        <f t="shared" si="203"/>
        <v>0</v>
      </c>
      <c r="AL185" s="28">
        <f t="shared" si="204"/>
        <v>0</v>
      </c>
      <c r="AM185" s="28">
        <f t="shared" si="205"/>
        <v>0</v>
      </c>
    </row>
    <row r="186" spans="1:39" ht="14.65" thickBot="1" x14ac:dyDescent="0.5">
      <c r="A186" s="9" t="str">
        <v>SL140</v>
      </c>
      <c r="B186" t="s">
        <v>315</v>
      </c>
      <c r="C186" s="25">
        <f>IF($B$2="Discounted",INDEX('Top Down inputs'!$D$50:$F$89,MATCH($A186,'Top Down inputs'!$A$50:$A$89,0),MATCH('Copper Weighted Price'!$B$147,'Top Down inputs'!$D$47:$F$47,0)),INDEX('Top Down inputs'!$D$5:$F$44,MATCH($A186,'Top Down inputs'!$A$5:$A$44,0),MATCH('Copper Weighted Price'!$B$147,'Top Down inputs'!$D$2:$F$2,0)))</f>
        <v>-0.13</v>
      </c>
      <c r="D186" s="13">
        <f>IF($B$2="Headline",INDEX('Top Down inputs'!$J$5:$J$44,MATCH($A186,'Top Down inputs'!$H$5:$H$44,0)),INDEX('Top Down inputs'!$J$50:$J$89,MATCH($A186,'Top Down inputs'!$H$50:$H127,0)))</f>
        <v>44.266012163056857</v>
      </c>
      <c r="E186" s="183">
        <f t="shared" si="243"/>
        <v>38.598923357464614</v>
      </c>
      <c r="F186" s="183">
        <f t="shared" si="243"/>
        <v>52.905294855247334</v>
      </c>
      <c r="G186" s="183">
        <f t="shared" si="243"/>
        <v>50.227283250017997</v>
      </c>
      <c r="H186" s="19">
        <f t="shared" si="243"/>
        <v>50.951403834171202</v>
      </c>
      <c r="I186" s="19">
        <f t="shared" si="243"/>
        <v>33.438495427051549</v>
      </c>
      <c r="J186" s="30">
        <f t="shared" si="222"/>
        <v>39.477459583864146</v>
      </c>
      <c r="K186" s="30">
        <f t="shared" ref="K186:N186" si="253">J186*(1+($C186+K$62))</f>
        <v>35.132403826199969</v>
      </c>
      <c r="L186" s="30">
        <f t="shared" si="253"/>
        <v>31.301475162422971</v>
      </c>
      <c r="M186" s="30">
        <f t="shared" si="253"/>
        <v>27.8612815293728</v>
      </c>
      <c r="N186" s="30">
        <f t="shared" si="253"/>
        <v>24.796508976718329</v>
      </c>
      <c r="O186" s="102">
        <f t="shared" si="246"/>
        <v>0</v>
      </c>
      <c r="P186" s="102">
        <f t="shared" si="246"/>
        <v>0</v>
      </c>
      <c r="Q186" s="102">
        <f t="shared" si="246"/>
        <v>0</v>
      </c>
      <c r="R186" s="102">
        <f t="shared" si="246"/>
        <v>0</v>
      </c>
      <c r="S186" s="102">
        <f t="shared" si="246"/>
        <v>0</v>
      </c>
      <c r="U186" s="9" t="s">
        <v>3</v>
      </c>
      <c r="V186" s="9" t="s">
        <v>261</v>
      </c>
      <c r="W186" s="9" t="str">
        <v>SL140</v>
      </c>
      <c r="X186" t="s">
        <v>315</v>
      </c>
      <c r="Y186" s="28">
        <f t="shared" si="227"/>
        <v>38.598923357464614</v>
      </c>
      <c r="Z186" s="28">
        <f t="shared" si="192"/>
        <v>52.905294855247334</v>
      </c>
      <c r="AA186" s="28">
        <f t="shared" si="193"/>
        <v>50.227283250017997</v>
      </c>
      <c r="AB186" s="28">
        <f t="shared" si="194"/>
        <v>50.951403834171202</v>
      </c>
      <c r="AC186" s="28">
        <f t="shared" si="195"/>
        <v>33.438495427051549</v>
      </c>
      <c r="AD186" s="28">
        <f t="shared" si="196"/>
        <v>39.477459583864146</v>
      </c>
      <c r="AE186" s="28">
        <f t="shared" si="197"/>
        <v>35.132403826199969</v>
      </c>
      <c r="AF186" s="28">
        <f t="shared" si="198"/>
        <v>31.301475162422971</v>
      </c>
      <c r="AG186" s="28">
        <f t="shared" si="199"/>
        <v>27.8612815293728</v>
      </c>
      <c r="AH186" s="28">
        <f t="shared" si="200"/>
        <v>24.796508976718329</v>
      </c>
      <c r="AI186" s="28">
        <f t="shared" si="201"/>
        <v>0</v>
      </c>
      <c r="AJ186" s="28">
        <f t="shared" si="202"/>
        <v>0</v>
      </c>
      <c r="AK186" s="28">
        <f t="shared" si="203"/>
        <v>0</v>
      </c>
      <c r="AL186" s="28">
        <f t="shared" si="204"/>
        <v>0</v>
      </c>
      <c r="AM186" s="28">
        <f t="shared" si="205"/>
        <v>0</v>
      </c>
    </row>
    <row r="187" spans="1:39" x14ac:dyDescent="0.45">
      <c r="A187" s="9" t="str">
        <v>SL144</v>
      </c>
      <c r="B187" t="s">
        <v>316</v>
      </c>
      <c r="C187" s="25">
        <f>IF($B$2="Discounted",INDEX('Top Down inputs'!$D$50:$F$89,MATCH($A187,'Top Down inputs'!$A$50:$A$89,0),MATCH('Copper Weighted Price'!$B$147,'Top Down inputs'!$D$47:$F$47,0)),INDEX('Top Down inputs'!$D$5:$F$44,MATCH($A187,'Top Down inputs'!$A$5:$A$44,0),MATCH('Copper Weighted Price'!$B$147,'Top Down inputs'!$D$2:$F$2,0)))</f>
        <v>-0.13</v>
      </c>
      <c r="D187" s="13">
        <f>IF($B$2="Headline",INDEX('Top Down inputs'!$J$5:$J$44,MATCH($A187,'Top Down inputs'!$H$5:$H$44,0)),INDEX('Top Down inputs'!$J$50:$J$89,MATCH($A187,'Top Down inputs'!$H$50:$H128,0)))</f>
        <v>81.194323027702026</v>
      </c>
      <c r="E187" s="183">
        <f t="shared" si="243"/>
        <v>41.750676448128331</v>
      </c>
      <c r="F187" s="183">
        <f t="shared" si="243"/>
        <v>69.116814415746404</v>
      </c>
      <c r="G187" s="183">
        <f t="shared" si="243"/>
        <v>69.792192688992287</v>
      </c>
      <c r="H187" s="19">
        <f t="shared" si="243"/>
        <v>96.208004969468064</v>
      </c>
      <c r="I187" s="19">
        <f t="shared" si="243"/>
        <v>80.275819394120987</v>
      </c>
      <c r="J187" s="30">
        <f t="shared" si="222"/>
        <v>72.410986423584063</v>
      </c>
      <c r="K187" s="30">
        <f t="shared" ref="K187:N187" si="254">J187*(1+($C187+K$62))</f>
        <v>64.44112775500507</v>
      </c>
      <c r="L187" s="30">
        <f t="shared" si="254"/>
        <v>57.414299626078076</v>
      </c>
      <c r="M187" s="30">
        <f t="shared" si="254"/>
        <v>51.104171844727233</v>
      </c>
      <c r="N187" s="30">
        <f t="shared" si="254"/>
        <v>45.482655008513589</v>
      </c>
      <c r="O187" s="102">
        <f t="shared" si="246"/>
        <v>0</v>
      </c>
      <c r="P187" s="102">
        <f t="shared" si="246"/>
        <v>0</v>
      </c>
      <c r="Q187" s="102">
        <f t="shared" si="246"/>
        <v>0</v>
      </c>
      <c r="R187" s="102">
        <f t="shared" si="246"/>
        <v>0</v>
      </c>
      <c r="S187" s="102">
        <f t="shared" si="246"/>
        <v>0</v>
      </c>
      <c r="U187" s="9" t="s">
        <v>3</v>
      </c>
      <c r="V187" s="9" t="s">
        <v>261</v>
      </c>
      <c r="W187" s="9" t="str">
        <v>SL144</v>
      </c>
      <c r="X187" t="s">
        <v>316</v>
      </c>
      <c r="Y187" s="28">
        <f t="shared" si="227"/>
        <v>41.750676448128331</v>
      </c>
      <c r="Z187" s="28">
        <f t="shared" si="192"/>
        <v>69.116814415746404</v>
      </c>
      <c r="AA187" s="28">
        <f t="shared" si="193"/>
        <v>69.792192688992287</v>
      </c>
      <c r="AB187" s="28">
        <f t="shared" si="194"/>
        <v>96.208004969468064</v>
      </c>
      <c r="AC187" s="28">
        <f t="shared" si="195"/>
        <v>80.275819394120987</v>
      </c>
      <c r="AD187" s="28">
        <f t="shared" si="196"/>
        <v>72.410986423584063</v>
      </c>
      <c r="AE187" s="28">
        <f t="shared" si="197"/>
        <v>64.44112775500507</v>
      </c>
      <c r="AF187" s="28">
        <f t="shared" si="198"/>
        <v>57.414299626078076</v>
      </c>
      <c r="AG187" s="28">
        <f t="shared" si="199"/>
        <v>51.104171844727233</v>
      </c>
      <c r="AH187" s="28">
        <f t="shared" si="200"/>
        <v>45.482655008513589</v>
      </c>
      <c r="AI187" s="28">
        <f t="shared" si="201"/>
        <v>0</v>
      </c>
      <c r="AJ187" s="28">
        <f t="shared" si="202"/>
        <v>0</v>
      </c>
      <c r="AK187" s="28">
        <f t="shared" si="203"/>
        <v>0</v>
      </c>
      <c r="AL187" s="28">
        <f t="shared" si="204"/>
        <v>0</v>
      </c>
      <c r="AM187" s="28">
        <f t="shared" si="205"/>
        <v>0</v>
      </c>
    </row>
    <row r="188" spans="1:39" x14ac:dyDescent="0.45">
      <c r="A188" s="9"/>
      <c r="X188" s="5" t="s">
        <v>352</v>
      </c>
      <c r="Y188" s="128" cm="1">
        <f t="array" ref="Y188">SUMPRODUCT(IF($U$148:$U$187="Connections",IF($C$19:$C$58="Connections",Y148:Y187*Y19:Y58)))/SUMIF($C$19:$C58,"Connections",Y19:Y58)</f>
        <v>35.688688292515245</v>
      </c>
      <c r="Z188" s="128" cm="1">
        <f t="array" ref="Z188">SUMPRODUCT(IF($U$148:$U$187="Connections",IF($C$19:$C$58="Connections",Z148:Z187*Z19:Z58)))/SUMIF($C$19:$C58,"Connections",Z19:Z58)</f>
        <v>43.21827533044852</v>
      </c>
      <c r="AA188" s="128" cm="1">
        <f t="array" ref="AA188">SUMPRODUCT(IF($U$148:$U$187="Connections",IF($C$19:$C$58="Connections",AA148:AA187*AA19:AA58)))/SUMIF($C$19:$C58,"Connections",AA19:AA58)</f>
        <v>39.608104856754757</v>
      </c>
      <c r="AB188" s="128" cm="1">
        <f t="array" ref="AB188">SUMPRODUCT(IF($U$148:$U$187="Connections",IF($C$19:$C$58="Connections",AB148:AB187*AB19:AB58)))/SUMIF($C$19:$C58,"Connections",AB19:AB58)</f>
        <v>34.878090127696083</v>
      </c>
      <c r="AC188" s="128" cm="1">
        <f t="array" ref="AC188">SUMPRODUCT(IF($U$148:$U$187="Connections",IF($C$19:$C$58="Connections",AC148:AC187*AC19:AC58)))/SUMIF($C$19:$C58,"Connections",AC19:AC58)</f>
        <v>41.907066262622365</v>
      </c>
      <c r="AD188" s="128" cm="1">
        <f t="array" ref="AD188">SUMPRODUCT(IF($U$148:$U$187="Connections",IF($C$19:$C$58="Connections",AD148:AD187*AD19:AD58)))/SUMIF($C$19:$C58,"Connections",AD19:AD58)</f>
        <v>87.582967176016297</v>
      </c>
      <c r="AE188" s="128" cm="1">
        <f t="array" ref="AE188">SUMPRODUCT(IF($U$148:$U$187="Connections",IF($C$19:$C$58="Connections",AE148:AE187*AE19:AE58)))/SUMIF($C$19:$C58,"Connections",AE19:AE58)</f>
        <v>155.35880604401058</v>
      </c>
      <c r="AF188" s="128" cm="1">
        <f t="array" ref="AF188">SUMPRODUCT(IF($U$148:$U$187="Connections",IF($C$19:$C$58="Connections",AF148:AF187*AF19:AF58)))/SUMIF($C$19:$C58,"Connections",AF19:AF58)</f>
        <v>277.98127974499801</v>
      </c>
      <c r="AG188" s="128" cm="1">
        <f t="array" ref="AG188">SUMPRODUCT(IF($U$148:$U$187="Connections",IF($C$19:$C$58="Connections",AG148:AG187*AG19:AG58)))/SUMIF($C$19:$C58,"Connections",AG19:AG58)</f>
        <v>494.75509138552775</v>
      </c>
      <c r="AH188" s="128" cm="1">
        <f t="array" ref="AH188">SUMPRODUCT(IF($U$148:$U$187="Connections",IF($C$19:$C$58="Connections",AH148:AH187*AH19:AH58)))/SUMIF($C$19:$C58,"Connections",AH19:AH58)</f>
        <v>538.86754293189892</v>
      </c>
      <c r="AI188" s="128" cm="1">
        <f t="array" ref="AI188">SUMPRODUCT(IF($U$148:$U$187="Connections",IF($C$19:$C$58="Connections",AI148:AI187*AI19:AI58)))/SUMIF($C$19:$C58,"Connections",AI19:AI58)</f>
        <v>1521.369897864294</v>
      </c>
      <c r="AJ188" s="128" cm="1">
        <f t="array" ref="AJ188">SUMPRODUCT(IF($U$148:$U$187="Connections",IF($C$19:$C$58="Connections",AJ148:AJ187*AJ19:AJ58)))/SUMIF($C$19:$C58,"Connections",AJ19:AJ58)</f>
        <v>1484.2813400635114</v>
      </c>
      <c r="AK188" s="128" t="e" cm="1">
        <f t="array" ref="AK188">SUMPRODUCT(IF($U$148:$U$187="Connections",IF($C$19:$C$58="Connections",AK148:AK187*AK19:AK58)))/SUMIF($C$19:$C58,"Connections",AK19:AK58)</f>
        <v>#DIV/0!</v>
      </c>
      <c r="AL188" s="128" t="e" cm="1">
        <f t="array" ref="AL188">SUMPRODUCT(IF($U$148:$U$187="Connections",IF($C$19:$C$58="Connections",AL148:AL187*AL19:AL58)))/SUMIF($C$19:$C58,"Connections",AL19:AL58)</f>
        <v>#DIV/0!</v>
      </c>
      <c r="AM188" s="128" t="e" cm="1">
        <f t="array" ref="AM188">SUMPRODUCT(IF($U$148:$U$187="Connections",IF($C$19:$C$58="Connections",AM148:AM187*AM19:AM58)))/SUMIF($C$19:$C58,"Connections",AM19:AM58)</f>
        <v>#DIV/0!</v>
      </c>
    </row>
    <row r="189" spans="1:39" x14ac:dyDescent="0.45">
      <c r="AD189" t="s">
        <v>353</v>
      </c>
    </row>
    <row r="190" spans="1:39" x14ac:dyDescent="0.45">
      <c r="H190" s="9"/>
      <c r="I190" s="12"/>
      <c r="J190" t="s">
        <v>354</v>
      </c>
      <c r="W190" s="10" t="s">
        <v>355</v>
      </c>
      <c r="Y190" s="31">
        <f>'Top Down inputs'!C140</f>
        <v>3.9909153378664852E-2</v>
      </c>
      <c r="Z190" s="31">
        <f>'Top Down inputs'!D140</f>
        <v>0.10036409874522789</v>
      </c>
      <c r="AA190" s="31">
        <f>'Top Down inputs'!E140</f>
        <v>5.6703919580784135E-2</v>
      </c>
      <c r="AB190" s="31">
        <f>'Top Down inputs'!F140</f>
        <v>2.3545128743536425E-2</v>
      </c>
      <c r="AC190" s="31">
        <f>'Top Down inputs'!G140</f>
        <v>3.5422237353326391E-2</v>
      </c>
      <c r="AD190" s="32">
        <v>0</v>
      </c>
      <c r="AE190" s="32">
        <v>0</v>
      </c>
      <c r="AF190" s="32">
        <v>0</v>
      </c>
      <c r="AG190" s="32">
        <v>0</v>
      </c>
      <c r="AH190" s="32">
        <v>0</v>
      </c>
      <c r="AI190" s="32">
        <v>0</v>
      </c>
      <c r="AJ190" s="32">
        <v>0</v>
      </c>
      <c r="AK190" s="32">
        <v>0</v>
      </c>
      <c r="AL190" s="32">
        <v>0</v>
      </c>
      <c r="AM190" s="32">
        <v>0</v>
      </c>
    </row>
    <row r="191" spans="1:39" x14ac:dyDescent="0.45">
      <c r="A191" s="23" t="s">
        <v>356</v>
      </c>
      <c r="E191" s="41"/>
      <c r="F191" s="41"/>
      <c r="G191" s="41"/>
      <c r="H191" s="41"/>
      <c r="I191" s="41"/>
      <c r="J191" t="s">
        <v>357</v>
      </c>
      <c r="U191" s="9" t="s">
        <v>275</v>
      </c>
      <c r="V191" s="9" t="s">
        <v>261</v>
      </c>
      <c r="W191" s="9" t="str" cm="1">
        <f t="array" ref="W191:W230">TD_service_codes</f>
        <v>WN127</v>
      </c>
      <c r="X191" t="s">
        <v>274</v>
      </c>
      <c r="Y191" s="28">
        <f t="shared" ref="Y191:Y232" si="255">Y63*(1+Y$190)</f>
        <v>107.20334375699289</v>
      </c>
      <c r="Z191" s="28">
        <f>Y191*(1+Z$190)</f>
        <v>117.96271073563834</v>
      </c>
      <c r="AA191" s="28">
        <f t="shared" ref="AA191:AC191" si="256">Z191*(1+AA$190)</f>
        <v>124.65165879872328</v>
      </c>
      <c r="AB191" s="28">
        <f t="shared" si="256"/>
        <v>127.58659815323459</v>
      </c>
      <c r="AC191" s="28">
        <f t="shared" si="256"/>
        <v>132.10600091612193</v>
      </c>
      <c r="AD191" s="28">
        <f>AC191*(1+AD$190)</f>
        <v>132.10600091612193</v>
      </c>
      <c r="AE191" s="28">
        <f t="shared" ref="AE191:AM191" si="257">AD191*(1+AE$190)</f>
        <v>132.10600091612193</v>
      </c>
      <c r="AF191" s="28">
        <f t="shared" si="257"/>
        <v>132.10600091612193</v>
      </c>
      <c r="AG191" s="28">
        <f t="shared" si="257"/>
        <v>132.10600091612193</v>
      </c>
      <c r="AH191" s="28">
        <f t="shared" si="257"/>
        <v>132.10600091612193</v>
      </c>
      <c r="AI191" s="28">
        <f t="shared" si="257"/>
        <v>132.10600091612193</v>
      </c>
      <c r="AJ191" s="28">
        <f t="shared" si="257"/>
        <v>132.10600091612193</v>
      </c>
      <c r="AK191" s="28">
        <f t="shared" si="257"/>
        <v>132.10600091612193</v>
      </c>
      <c r="AL191" s="28">
        <f t="shared" si="257"/>
        <v>132.10600091612193</v>
      </c>
      <c r="AM191" s="28">
        <f t="shared" si="257"/>
        <v>132.10600091612193</v>
      </c>
    </row>
    <row r="192" spans="1:39" x14ac:dyDescent="0.45">
      <c r="A192" s="9" t="str" cm="1">
        <f t="array" ref="A192:A231">TD_service_codes</f>
        <v>WN127</v>
      </c>
      <c r="B192" t="s">
        <v>274</v>
      </c>
      <c r="C192" t="s">
        <v>261</v>
      </c>
      <c r="D192" s="45"/>
      <c r="E192" s="46"/>
      <c r="F192" s="46"/>
      <c r="G192" s="46"/>
      <c r="H192" s="46"/>
      <c r="I192" s="46"/>
      <c r="J192" s="156">
        <f t="shared" ref="J192:J231" si="258">IF(J19=0,0,-(1-(1-WLA_Opex_Efficiency)*(1+Fcast_CPI)*(1+(((AD19-AC19)/I19)*IF($C192="Legacy",CVE_Legacy,CVE_FTTC)))))</f>
        <v>-0.12047539667485119</v>
      </c>
      <c r="K192" s="70">
        <f t="shared" ref="K192:K231" si="259">IF(K19=0,0,-(1-(1-WLA_Opex_Efficiency)*(1+Fcast_CPI)*(1+(((AE19-AD19)/J19)*IF($C192="Legacy",CVE_Legacy,CVE_FTTC)))))</f>
        <v>-0.26456018624957989</v>
      </c>
      <c r="L192" s="70">
        <f t="shared" ref="L192:L231" si="260">IF(L19=0,0,-(1-(1-WLA_Opex_Efficiency)*(1+Fcast_CPI)*(1+(((AF19-AE19)/K19)*IF($C192="Legacy",CVE_Legacy,CVE_FTTC)))))</f>
        <v>-0.20114106823454481</v>
      </c>
      <c r="M192" s="70">
        <f t="shared" ref="M192:M231" si="261">IF(M19=0,0,-(1-(1-WLA_Opex_Efficiency)*(1+Fcast_CPI)*(1+(((AG19-AF19)/L19)*IF($C192="Legacy",CVE_Legacy,CVE_FTTC)))))</f>
        <v>-0.14803167201097778</v>
      </c>
      <c r="N192" s="70">
        <f t="shared" ref="N192:N231" si="262">IF(N19=0,0,-(1-(1-WLA_Opex_Efficiency)*(1+Fcast_CPI)*(1+(((AH19-AG19)/M19)*IF($C192="Legacy",CVE_Legacy,CVE_FTTC)))))</f>
        <v>-0.13621699795846653</v>
      </c>
      <c r="O192" s="70">
        <f t="shared" ref="O192:O231" si="263">IF(O19=0,0,-(1-(1-WLA_Opex_Efficiency)*(1+Fcast_CPI)*(1+(((AI19-AH19)/N19)*IF($C192="Legacy",CVE_Legacy,CVE_FTTC)))))</f>
        <v>-0.2182395639313055</v>
      </c>
      <c r="P192" s="70">
        <f t="shared" ref="P192:P231" si="264">IF(P19=0,0,-(1-(1-WLA_Opex_Efficiency)*(1+Fcast_CPI)*(1+(((AJ19-AI19)/O19)*IF($C192="Legacy",CVE_Legacy,CVE_FTTC)))))</f>
        <v>2.2114320880555205E-3</v>
      </c>
      <c r="Q192" s="70">
        <f t="shared" ref="Q192:Q231" si="265">IF(Q19=0,0,-(1-(1-WLA_Opex_Efficiency)*(1+Fcast_CPI)*(1+(((AK19-AJ19)/P19)*IF($C192="Legacy",CVE_Legacy,CVE_FTTC)))))</f>
        <v>0</v>
      </c>
      <c r="R192" s="70">
        <f t="shared" ref="R192:R231" si="266">IF(R19=0,0,-(1-(1-WLA_Opex_Efficiency)*(1+Fcast_CPI)*(1+(((AL19-AK19)/Q19)*IF($C192="Legacy",CVE_Legacy,CVE_FTTC)))))</f>
        <v>0</v>
      </c>
      <c r="S192" s="70">
        <f t="shared" ref="S192:S231" si="267">IF(S19=0,0,-(1-(1-WLA_Opex_Efficiency)*(1+Fcast_CPI)*(1+(((AM19-AL19)/R19)*IF($C192="Legacy",CVE_Legacy,CVE_FTTC)))))</f>
        <v>0</v>
      </c>
      <c r="U192" s="9" t="s">
        <v>275</v>
      </c>
      <c r="V192" s="9" t="s">
        <v>261</v>
      </c>
      <c r="W192" s="9" t="str">
        <v>WN346</v>
      </c>
      <c r="X192" t="s">
        <v>276</v>
      </c>
      <c r="Y192" s="28">
        <f t="shared" si="255"/>
        <v>74.101768905776652</v>
      </c>
      <c r="Z192" s="28">
        <f t="shared" ref="Z192:AC230" si="268">Y192*(1+Z$190)</f>
        <v>81.538926157432073</v>
      </c>
      <c r="AA192" s="28">
        <f t="shared" si="268"/>
        <v>86.162502868966598</v>
      </c>
      <c r="AB192" s="28">
        <f t="shared" si="268"/>
        <v>88.191210091881743</v>
      </c>
      <c r="AC192" s="28">
        <f t="shared" si="268"/>
        <v>91.315140068233447</v>
      </c>
      <c r="AD192" s="28">
        <f t="shared" ref="AD192:AM230" si="269">AC192*(1+AD$190)</f>
        <v>91.315140068233447</v>
      </c>
      <c r="AE192" s="28">
        <f t="shared" si="269"/>
        <v>91.315140068233447</v>
      </c>
      <c r="AF192" s="28">
        <f t="shared" si="269"/>
        <v>91.315140068233447</v>
      </c>
      <c r="AG192" s="28">
        <f t="shared" si="269"/>
        <v>91.315140068233447</v>
      </c>
      <c r="AH192" s="28">
        <f t="shared" si="269"/>
        <v>91.315140068233447</v>
      </c>
      <c r="AI192" s="28">
        <f t="shared" si="269"/>
        <v>91.315140068233447</v>
      </c>
      <c r="AJ192" s="28">
        <f t="shared" si="269"/>
        <v>91.315140068233447</v>
      </c>
      <c r="AK192" s="28">
        <f t="shared" si="269"/>
        <v>91.315140068233447</v>
      </c>
      <c r="AL192" s="28">
        <f t="shared" si="269"/>
        <v>91.315140068233447</v>
      </c>
      <c r="AM192" s="28">
        <f t="shared" si="269"/>
        <v>91.315140068233447</v>
      </c>
    </row>
    <row r="193" spans="1:50" x14ac:dyDescent="0.45">
      <c r="A193" s="9" t="str">
        <v>WN346</v>
      </c>
      <c r="B193" t="s">
        <v>276</v>
      </c>
      <c r="C193" t="s">
        <v>261</v>
      </c>
      <c r="E193" s="46"/>
      <c r="F193" s="46"/>
      <c r="G193" s="46"/>
      <c r="H193" s="46">
        <f>CVE_Legacy</f>
        <v>0.67992120891451202</v>
      </c>
      <c r="I193" s="46"/>
      <c r="J193" s="70">
        <f t="shared" si="258"/>
        <v>-0.1204753966748513</v>
      </c>
      <c r="K193" s="70">
        <f t="shared" si="259"/>
        <v>-0.26456018624957989</v>
      </c>
      <c r="L193" s="70">
        <f t="shared" si="260"/>
        <v>-0.2011410682345447</v>
      </c>
      <c r="M193" s="70">
        <f t="shared" si="261"/>
        <v>-0.14803167201097789</v>
      </c>
      <c r="N193" s="70">
        <f t="shared" si="262"/>
        <v>-0.1362169979584662</v>
      </c>
      <c r="O193" s="70">
        <f t="shared" si="263"/>
        <v>-0.21823956393130572</v>
      </c>
      <c r="P193" s="70">
        <f t="shared" si="264"/>
        <v>2.2114320880555205E-3</v>
      </c>
      <c r="Q193" s="70">
        <f t="shared" si="265"/>
        <v>0</v>
      </c>
      <c r="R193" s="70">
        <f t="shared" si="266"/>
        <v>0</v>
      </c>
      <c r="S193" s="70">
        <f t="shared" si="267"/>
        <v>0</v>
      </c>
      <c r="U193" s="9" t="s">
        <v>275</v>
      </c>
      <c r="V193" s="9" t="s">
        <v>261</v>
      </c>
      <c r="W193" s="9" t="str">
        <v>WX130</v>
      </c>
      <c r="X193" t="s">
        <v>277</v>
      </c>
      <c r="Y193" s="28">
        <f t="shared" si="255"/>
        <v>104.63067699790152</v>
      </c>
      <c r="Z193" s="28">
        <f t="shared" si="268"/>
        <v>115.13184059589895</v>
      </c>
      <c r="AA193" s="28">
        <f t="shared" si="268"/>
        <v>121.66026722623646</v>
      </c>
      <c r="AB193" s="28">
        <f t="shared" si="268"/>
        <v>124.52477388105125</v>
      </c>
      <c r="AC193" s="28">
        <f t="shared" si="268"/>
        <v>128.93571997783513</v>
      </c>
      <c r="AD193" s="28">
        <f t="shared" si="269"/>
        <v>128.93571997783513</v>
      </c>
      <c r="AE193" s="28">
        <f t="shared" si="269"/>
        <v>128.93571997783513</v>
      </c>
      <c r="AF193" s="28">
        <f t="shared" si="269"/>
        <v>128.93571997783513</v>
      </c>
      <c r="AG193" s="28">
        <f t="shared" si="269"/>
        <v>128.93571997783513</v>
      </c>
      <c r="AH193" s="28">
        <f t="shared" si="269"/>
        <v>128.93571997783513</v>
      </c>
      <c r="AI193" s="28">
        <f t="shared" si="269"/>
        <v>128.93571997783513</v>
      </c>
      <c r="AJ193" s="28">
        <f t="shared" si="269"/>
        <v>128.93571997783513</v>
      </c>
      <c r="AK193" s="28">
        <f t="shared" si="269"/>
        <v>128.93571997783513</v>
      </c>
      <c r="AL193" s="28">
        <f t="shared" si="269"/>
        <v>128.93571997783513</v>
      </c>
      <c r="AM193" s="28">
        <f t="shared" si="269"/>
        <v>128.93571997783513</v>
      </c>
      <c r="AO193" s="12"/>
      <c r="AP193" s="12"/>
      <c r="AQ193" s="12"/>
      <c r="AR193" s="12"/>
      <c r="AS193" s="12"/>
      <c r="AT193" s="12"/>
      <c r="AU193" s="12"/>
      <c r="AV193" s="12"/>
      <c r="AW193" s="12"/>
      <c r="AX193" s="12"/>
    </row>
    <row r="194" spans="1:50" x14ac:dyDescent="0.45">
      <c r="A194" s="9" t="str">
        <v>WX130</v>
      </c>
      <c r="B194" t="s">
        <v>277</v>
      </c>
      <c r="C194" t="s">
        <v>261</v>
      </c>
      <c r="E194" s="46"/>
      <c r="F194" s="46"/>
      <c r="G194" s="46"/>
      <c r="H194" s="46"/>
      <c r="I194" s="46"/>
      <c r="J194" s="70">
        <f t="shared" si="258"/>
        <v>-0.12047539667485119</v>
      </c>
      <c r="K194" s="70">
        <f t="shared" si="259"/>
        <v>-0.26456018624957989</v>
      </c>
      <c r="L194" s="70">
        <f t="shared" si="260"/>
        <v>-0.20114106823454458</v>
      </c>
      <c r="M194" s="70">
        <f t="shared" si="261"/>
        <v>-0.14803167201097789</v>
      </c>
      <c r="N194" s="70">
        <f t="shared" si="262"/>
        <v>-0.13621699795846631</v>
      </c>
      <c r="O194" s="70">
        <f t="shared" si="263"/>
        <v>-0.2182395639313055</v>
      </c>
      <c r="P194" s="70">
        <f t="shared" si="264"/>
        <v>2.2114320880552985E-3</v>
      </c>
      <c r="Q194" s="70">
        <f t="shared" si="265"/>
        <v>0</v>
      </c>
      <c r="R194" s="70">
        <f t="shared" si="266"/>
        <v>0</v>
      </c>
      <c r="S194" s="70">
        <f t="shared" si="267"/>
        <v>0</v>
      </c>
      <c r="U194" s="9" t="s">
        <v>275</v>
      </c>
      <c r="V194" s="9" t="s">
        <v>261</v>
      </c>
      <c r="W194" s="9" t="str">
        <v>WX347</v>
      </c>
      <c r="X194" t="s">
        <v>278</v>
      </c>
      <c r="Y194" s="28">
        <f t="shared" si="255"/>
        <v>85.633380729481715</v>
      </c>
      <c r="Z194" s="28">
        <f t="shared" si="268"/>
        <v>94.227897808903109</v>
      </c>
      <c r="AA194" s="28">
        <f t="shared" si="268"/>
        <v>99.570988948525496</v>
      </c>
      <c r="AB194" s="28">
        <f t="shared" si="268"/>
        <v>101.91540070243977</v>
      </c>
      <c r="AC194" s="28">
        <f t="shared" si="268"/>
        <v>105.52547221608096</v>
      </c>
      <c r="AD194" s="28">
        <f t="shared" si="269"/>
        <v>105.52547221608096</v>
      </c>
      <c r="AE194" s="28">
        <f t="shared" si="269"/>
        <v>105.52547221608096</v>
      </c>
      <c r="AF194" s="28">
        <f t="shared" si="269"/>
        <v>105.52547221608096</v>
      </c>
      <c r="AG194" s="28">
        <f t="shared" si="269"/>
        <v>105.52547221608096</v>
      </c>
      <c r="AH194" s="28">
        <f t="shared" si="269"/>
        <v>105.52547221608096</v>
      </c>
      <c r="AI194" s="28">
        <f t="shared" si="269"/>
        <v>105.52547221608096</v>
      </c>
      <c r="AJ194" s="28">
        <f t="shared" si="269"/>
        <v>105.52547221608096</v>
      </c>
      <c r="AK194" s="28">
        <f t="shared" si="269"/>
        <v>105.52547221608096</v>
      </c>
      <c r="AL194" s="28">
        <f t="shared" si="269"/>
        <v>105.52547221608096</v>
      </c>
      <c r="AM194" s="28">
        <f t="shared" si="269"/>
        <v>105.52547221608096</v>
      </c>
    </row>
    <row r="195" spans="1:50" x14ac:dyDescent="0.45">
      <c r="A195" s="9" t="str">
        <v>WX347</v>
      </c>
      <c r="B195" t="s">
        <v>278</v>
      </c>
      <c r="C195" t="s">
        <v>261</v>
      </c>
      <c r="E195" s="46"/>
      <c r="F195" s="46"/>
      <c r="G195" s="46"/>
      <c r="H195" s="46"/>
      <c r="I195" s="46"/>
      <c r="J195" s="70">
        <f t="shared" si="258"/>
        <v>-0.1204753966748513</v>
      </c>
      <c r="K195" s="70">
        <f t="shared" si="259"/>
        <v>-0.26456018624957989</v>
      </c>
      <c r="L195" s="70">
        <f t="shared" si="260"/>
        <v>-0.2011410682345447</v>
      </c>
      <c r="M195" s="70">
        <f t="shared" si="261"/>
        <v>-0.14803167201097789</v>
      </c>
      <c r="N195" s="70">
        <f t="shared" si="262"/>
        <v>-0.13621699795846631</v>
      </c>
      <c r="O195" s="70">
        <f t="shared" si="263"/>
        <v>-0.21823956393130561</v>
      </c>
      <c r="P195" s="70">
        <f t="shared" si="264"/>
        <v>2.2114320880552985E-3</v>
      </c>
      <c r="Q195" s="70">
        <f t="shared" si="265"/>
        <v>0</v>
      </c>
      <c r="R195" s="70">
        <f t="shared" si="266"/>
        <v>0</v>
      </c>
      <c r="S195" s="70">
        <f t="shared" si="267"/>
        <v>0</v>
      </c>
      <c r="U195" s="9" t="s">
        <v>3</v>
      </c>
      <c r="V195" s="9" t="s">
        <v>261</v>
      </c>
      <c r="W195" s="9" t="str">
        <v>WX129</v>
      </c>
      <c r="X195" t="s">
        <v>279</v>
      </c>
      <c r="Y195" s="28">
        <f t="shared" si="255"/>
        <v>26.34694927683547</v>
      </c>
      <c r="Z195" s="28">
        <f t="shared" si="268"/>
        <v>28.991237095691297</v>
      </c>
      <c r="AA195" s="28">
        <f t="shared" si="268"/>
        <v>30.63515387251282</v>
      </c>
      <c r="AB195" s="28">
        <f t="shared" si="268"/>
        <v>31.356462514519183</v>
      </c>
      <c r="AC195" s="28">
        <f t="shared" si="268"/>
        <v>32.467178572269162</v>
      </c>
      <c r="AD195" s="28">
        <f t="shared" si="269"/>
        <v>32.467178572269162</v>
      </c>
      <c r="AE195" s="28">
        <f>AD195*(1+AE$190)</f>
        <v>32.467178572269162</v>
      </c>
      <c r="AF195" s="28">
        <f t="shared" si="269"/>
        <v>32.467178572269162</v>
      </c>
      <c r="AG195" s="28">
        <f t="shared" si="269"/>
        <v>32.467178572269162</v>
      </c>
      <c r="AH195" s="28">
        <f t="shared" si="269"/>
        <v>32.467178572269162</v>
      </c>
      <c r="AI195" s="28">
        <f t="shared" si="269"/>
        <v>32.467178572269162</v>
      </c>
      <c r="AJ195" s="28">
        <f t="shared" si="269"/>
        <v>32.467178572269162</v>
      </c>
      <c r="AK195" s="28">
        <f t="shared" si="269"/>
        <v>32.467178572269162</v>
      </c>
      <c r="AL195" s="28">
        <f t="shared" si="269"/>
        <v>32.467178572269162</v>
      </c>
      <c r="AM195" s="28">
        <f t="shared" si="269"/>
        <v>32.467178572269162</v>
      </c>
      <c r="AO195" s="26"/>
      <c r="AP195" s="26"/>
      <c r="AQ195" s="26"/>
      <c r="AR195" s="26"/>
      <c r="AS195" s="26"/>
      <c r="AT195" s="26"/>
      <c r="AU195" s="26"/>
      <c r="AV195" s="26"/>
      <c r="AW195" s="26"/>
      <c r="AX195" s="26"/>
    </row>
    <row r="196" spans="1:50" x14ac:dyDescent="0.45">
      <c r="A196" s="9" t="str">
        <v>WX129</v>
      </c>
      <c r="B196" t="s">
        <v>279</v>
      </c>
      <c r="C196" t="s">
        <v>261</v>
      </c>
      <c r="E196" s="46"/>
      <c r="F196" s="46"/>
      <c r="G196" s="46"/>
      <c r="H196" s="46"/>
      <c r="I196" s="46"/>
      <c r="J196" s="70">
        <f t="shared" si="258"/>
        <v>-0.32990129711724248</v>
      </c>
      <c r="K196" s="70">
        <f t="shared" si="259"/>
        <v>-0.46887785843117125</v>
      </c>
      <c r="L196" s="70">
        <f t="shared" si="260"/>
        <v>-0.22412899321324098</v>
      </c>
      <c r="M196" s="70">
        <f t="shared" si="261"/>
        <v>-0.14803167201097789</v>
      </c>
      <c r="N196" s="70">
        <f t="shared" si="262"/>
        <v>-0.13621699795846631</v>
      </c>
      <c r="O196" s="70">
        <f t="shared" si="263"/>
        <v>0</v>
      </c>
      <c r="P196" s="70">
        <f t="shared" si="264"/>
        <v>0</v>
      </c>
      <c r="Q196" s="70">
        <f t="shared" si="265"/>
        <v>0</v>
      </c>
      <c r="R196" s="70">
        <f t="shared" si="266"/>
        <v>0</v>
      </c>
      <c r="S196" s="70">
        <f t="shared" si="267"/>
        <v>0</v>
      </c>
      <c r="U196" s="9" t="s">
        <v>3</v>
      </c>
      <c r="V196" s="9" t="s">
        <v>261</v>
      </c>
      <c r="W196" s="9" t="str">
        <v>WN123</v>
      </c>
      <c r="X196" t="s">
        <v>280</v>
      </c>
      <c r="Y196" s="28">
        <f t="shared" si="255"/>
        <v>50.767209313246077</v>
      </c>
      <c r="Z196" s="28">
        <f t="shared" si="268"/>
        <v>55.862414521780359</v>
      </c>
      <c r="AA196" s="28">
        <f t="shared" si="268"/>
        <v>59.030032382411818</v>
      </c>
      <c r="AB196" s="28">
        <f t="shared" si="268"/>
        <v>60.419902094590832</v>
      </c>
      <c r="AC196" s="28">
        <f t="shared" si="268"/>
        <v>62.560110207450172</v>
      </c>
      <c r="AD196" s="28">
        <f t="shared" si="269"/>
        <v>62.560110207450172</v>
      </c>
      <c r="AE196" s="28">
        <f t="shared" si="269"/>
        <v>62.560110207450172</v>
      </c>
      <c r="AF196" s="28">
        <f t="shared" si="269"/>
        <v>62.560110207450172</v>
      </c>
      <c r="AG196" s="28">
        <f t="shared" si="269"/>
        <v>62.560110207450172</v>
      </c>
      <c r="AH196" s="28">
        <f t="shared" si="269"/>
        <v>62.560110207450172</v>
      </c>
      <c r="AI196" s="28">
        <f t="shared" si="269"/>
        <v>62.560110207450172</v>
      </c>
      <c r="AJ196" s="28">
        <f t="shared" si="269"/>
        <v>62.560110207450172</v>
      </c>
      <c r="AK196" s="28">
        <f t="shared" si="269"/>
        <v>62.560110207450172</v>
      </c>
      <c r="AL196" s="28">
        <f t="shared" si="269"/>
        <v>62.560110207450172</v>
      </c>
      <c r="AM196" s="28">
        <f t="shared" si="269"/>
        <v>62.560110207450172</v>
      </c>
    </row>
    <row r="197" spans="1:50" x14ac:dyDescent="0.45">
      <c r="A197" s="9" t="str">
        <v>WN123</v>
      </c>
      <c r="B197" t="s">
        <v>280</v>
      </c>
      <c r="C197" t="s">
        <v>261</v>
      </c>
      <c r="E197" s="46"/>
      <c r="F197" s="46"/>
      <c r="G197" s="46"/>
      <c r="H197" s="46"/>
      <c r="I197" s="46"/>
      <c r="J197" s="70">
        <f t="shared" si="258"/>
        <v>0</v>
      </c>
      <c r="K197" s="70">
        <f t="shared" si="259"/>
        <v>0</v>
      </c>
      <c r="L197" s="70">
        <f t="shared" si="260"/>
        <v>0</v>
      </c>
      <c r="M197" s="70">
        <f t="shared" si="261"/>
        <v>0</v>
      </c>
      <c r="N197" s="70">
        <f t="shared" si="262"/>
        <v>0</v>
      </c>
      <c r="O197" s="70">
        <f t="shared" si="263"/>
        <v>0</v>
      </c>
      <c r="P197" s="70">
        <f t="shared" si="264"/>
        <v>0</v>
      </c>
      <c r="Q197" s="70">
        <f t="shared" si="265"/>
        <v>0</v>
      </c>
      <c r="R197" s="70">
        <f t="shared" si="266"/>
        <v>0</v>
      </c>
      <c r="S197" s="70">
        <f t="shared" si="267"/>
        <v>0</v>
      </c>
      <c r="U197" s="9" t="s">
        <v>275</v>
      </c>
      <c r="V197" s="9" t="s">
        <v>265</v>
      </c>
      <c r="W197" s="9" t="str">
        <v>WN300</v>
      </c>
      <c r="X197" t="s">
        <v>281</v>
      </c>
      <c r="Y197" s="28">
        <f t="shared" si="255"/>
        <v>170.72223044411353</v>
      </c>
      <c r="Z197" s="28">
        <f t="shared" si="268"/>
        <v>187.85661323841211</v>
      </c>
      <c r="AA197" s="28">
        <f t="shared" si="268"/>
        <v>198.50881952820149</v>
      </c>
      <c r="AB197" s="28">
        <f>AA197*(1+AB$190)</f>
        <v>203.18273524072043</v>
      </c>
      <c r="AC197" s="28">
        <f t="shared" si="268"/>
        <v>210.37992231451531</v>
      </c>
      <c r="AD197" s="28">
        <f t="shared" si="269"/>
        <v>210.37992231451531</v>
      </c>
      <c r="AE197" s="28">
        <f t="shared" si="269"/>
        <v>210.37992231451531</v>
      </c>
      <c r="AF197" s="28">
        <f t="shared" si="269"/>
        <v>210.37992231451531</v>
      </c>
      <c r="AG197" s="28">
        <f t="shared" si="269"/>
        <v>210.37992231451531</v>
      </c>
      <c r="AH197" s="28">
        <f t="shared" si="269"/>
        <v>210.37992231451531</v>
      </c>
      <c r="AI197" s="28">
        <f t="shared" si="269"/>
        <v>210.37992231451531</v>
      </c>
      <c r="AJ197" s="28">
        <f t="shared" si="269"/>
        <v>210.37992231451531</v>
      </c>
      <c r="AK197" s="28">
        <f t="shared" si="269"/>
        <v>210.37992231451531</v>
      </c>
      <c r="AL197" s="28">
        <f t="shared" si="269"/>
        <v>210.37992231451531</v>
      </c>
      <c r="AM197" s="28">
        <f t="shared" si="269"/>
        <v>210.37992231451531</v>
      </c>
    </row>
    <row r="198" spans="1:50" x14ac:dyDescent="0.45">
      <c r="A198" s="9" t="str">
        <v>WN300</v>
      </c>
      <c r="B198" t="s">
        <v>281</v>
      </c>
      <c r="C198" t="s">
        <v>265</v>
      </c>
      <c r="E198" s="46"/>
      <c r="F198" s="46"/>
      <c r="G198" s="46"/>
      <c r="H198" s="46"/>
      <c r="I198" s="46"/>
      <c r="J198" s="70">
        <f t="shared" si="258"/>
        <v>-0.52593022032028802</v>
      </c>
      <c r="K198" s="70">
        <f t="shared" si="259"/>
        <v>-0.80670436629104136</v>
      </c>
      <c r="L198" s="70">
        <f t="shared" si="260"/>
        <v>0</v>
      </c>
      <c r="M198" s="70">
        <f t="shared" si="261"/>
        <v>0</v>
      </c>
      <c r="N198" s="70">
        <f t="shared" si="262"/>
        <v>0</v>
      </c>
      <c r="O198" s="70">
        <f t="shared" si="263"/>
        <v>0</v>
      </c>
      <c r="P198" s="70">
        <f t="shared" si="264"/>
        <v>0</v>
      </c>
      <c r="Q198" s="70">
        <f t="shared" si="265"/>
        <v>0</v>
      </c>
      <c r="R198" s="70">
        <f t="shared" si="266"/>
        <v>0</v>
      </c>
      <c r="S198" s="70">
        <f t="shared" si="267"/>
        <v>0</v>
      </c>
      <c r="U198" s="9" t="s">
        <v>275</v>
      </c>
      <c r="V198" s="9" t="s">
        <v>265</v>
      </c>
      <c r="W198" s="9" t="str">
        <v>WN301</v>
      </c>
      <c r="X198" t="s">
        <v>282</v>
      </c>
      <c r="Y198" s="28">
        <f t="shared" si="255"/>
        <v>129.56186429237911</v>
      </c>
      <c r="Z198" s="28">
        <f t="shared" si="268"/>
        <v>142.56522403383528</v>
      </c>
      <c r="AA198" s="28">
        <f t="shared" si="268"/>
        <v>150.64923103246636</v>
      </c>
      <c r="AB198" s="28">
        <f t="shared" si="268"/>
        <v>154.19628657224055</v>
      </c>
      <c r="AC198" s="28">
        <f t="shared" si="268"/>
        <v>159.658264034204</v>
      </c>
      <c r="AD198" s="28">
        <f t="shared" si="269"/>
        <v>159.658264034204</v>
      </c>
      <c r="AE198" s="28">
        <f t="shared" si="269"/>
        <v>159.658264034204</v>
      </c>
      <c r="AF198" s="28">
        <f t="shared" si="269"/>
        <v>159.658264034204</v>
      </c>
      <c r="AG198" s="28">
        <f t="shared" si="269"/>
        <v>159.658264034204</v>
      </c>
      <c r="AH198" s="28">
        <f t="shared" si="269"/>
        <v>159.658264034204</v>
      </c>
      <c r="AI198" s="28">
        <f t="shared" si="269"/>
        <v>159.658264034204</v>
      </c>
      <c r="AJ198" s="28">
        <f t="shared" si="269"/>
        <v>159.658264034204</v>
      </c>
      <c r="AK198" s="28">
        <f t="shared" si="269"/>
        <v>159.658264034204</v>
      </c>
      <c r="AL198" s="28">
        <f t="shared" si="269"/>
        <v>159.658264034204</v>
      </c>
      <c r="AM198" s="28">
        <f t="shared" si="269"/>
        <v>159.658264034204</v>
      </c>
    </row>
    <row r="199" spans="1:50" x14ac:dyDescent="0.45">
      <c r="A199" s="9" t="str">
        <v>WN301</v>
      </c>
      <c r="B199" t="s">
        <v>282</v>
      </c>
      <c r="C199" t="s">
        <v>265</v>
      </c>
      <c r="E199" s="46"/>
      <c r="F199" s="46"/>
      <c r="G199" s="46"/>
      <c r="H199" s="46"/>
      <c r="I199" s="46"/>
      <c r="J199" s="70">
        <f t="shared" si="258"/>
        <v>-0.52891723530722989</v>
      </c>
      <c r="K199" s="70">
        <f t="shared" si="259"/>
        <v>-0.80687995882198715</v>
      </c>
      <c r="L199" s="70">
        <f t="shared" si="260"/>
        <v>0</v>
      </c>
      <c r="M199" s="70">
        <f t="shared" si="261"/>
        <v>0</v>
      </c>
      <c r="N199" s="70">
        <f t="shared" si="262"/>
        <v>0</v>
      </c>
      <c r="O199" s="70">
        <f t="shared" si="263"/>
        <v>0</v>
      </c>
      <c r="P199" s="70">
        <f t="shared" si="264"/>
        <v>0</v>
      </c>
      <c r="Q199" s="70">
        <f t="shared" si="265"/>
        <v>0</v>
      </c>
      <c r="R199" s="70">
        <f t="shared" si="266"/>
        <v>0</v>
      </c>
      <c r="S199" s="70">
        <f t="shared" si="267"/>
        <v>0</v>
      </c>
      <c r="U199" s="9" t="s">
        <v>275</v>
      </c>
      <c r="V199" s="9" t="s">
        <v>265</v>
      </c>
      <c r="W199" s="9" t="str">
        <v>WX310</v>
      </c>
      <c r="X199" t="s">
        <v>283</v>
      </c>
      <c r="Y199" s="28">
        <f t="shared" si="255"/>
        <v>142.9815621885285</v>
      </c>
      <c r="Z199" s="28">
        <f t="shared" si="268"/>
        <v>157.33177781476491</v>
      </c>
      <c r="AA199" s="28">
        <f t="shared" si="268"/>
        <v>166.25310629147512</v>
      </c>
      <c r="AB199" s="28">
        <f t="shared" si="268"/>
        <v>170.16755708312076</v>
      </c>
      <c r="AC199" s="28">
        <f t="shared" si="268"/>
        <v>176.19527267995477</v>
      </c>
      <c r="AD199" s="28">
        <f t="shared" si="269"/>
        <v>176.19527267995477</v>
      </c>
      <c r="AE199" s="28">
        <f t="shared" si="269"/>
        <v>176.19527267995477</v>
      </c>
      <c r="AF199" s="28">
        <f t="shared" si="269"/>
        <v>176.19527267995477</v>
      </c>
      <c r="AG199" s="28">
        <f t="shared" si="269"/>
        <v>176.19527267995477</v>
      </c>
      <c r="AH199" s="28">
        <f t="shared" si="269"/>
        <v>176.19527267995477</v>
      </c>
      <c r="AI199" s="28">
        <f t="shared" si="269"/>
        <v>176.19527267995477</v>
      </c>
      <c r="AJ199" s="28">
        <f t="shared" si="269"/>
        <v>176.19527267995477</v>
      </c>
      <c r="AK199" s="28">
        <f t="shared" si="269"/>
        <v>176.19527267995477</v>
      </c>
      <c r="AL199" s="28">
        <f t="shared" si="269"/>
        <v>176.19527267995477</v>
      </c>
      <c r="AM199" s="28">
        <f t="shared" si="269"/>
        <v>176.19527267995477</v>
      </c>
    </row>
    <row r="200" spans="1:50" x14ac:dyDescent="0.45">
      <c r="A200" s="9" t="str">
        <v>WX310</v>
      </c>
      <c r="B200" t="s">
        <v>283</v>
      </c>
      <c r="C200" t="s">
        <v>265</v>
      </c>
      <c r="E200" s="46"/>
      <c r="F200" s="46"/>
      <c r="G200" s="46"/>
      <c r="H200" s="46"/>
      <c r="I200" s="46"/>
      <c r="J200" s="70">
        <f t="shared" si="258"/>
        <v>-0.52593022032028802</v>
      </c>
      <c r="K200" s="70">
        <f t="shared" si="259"/>
        <v>-0.80670436629104125</v>
      </c>
      <c r="L200" s="70">
        <f t="shared" si="260"/>
        <v>0</v>
      </c>
      <c r="M200" s="70">
        <f t="shared" si="261"/>
        <v>0</v>
      </c>
      <c r="N200" s="70">
        <f t="shared" si="262"/>
        <v>0</v>
      </c>
      <c r="O200" s="70">
        <f t="shared" si="263"/>
        <v>0</v>
      </c>
      <c r="P200" s="70">
        <f t="shared" si="264"/>
        <v>0</v>
      </c>
      <c r="Q200" s="70">
        <f t="shared" si="265"/>
        <v>0</v>
      </c>
      <c r="R200" s="70">
        <f t="shared" si="266"/>
        <v>0</v>
      </c>
      <c r="S200" s="70">
        <f t="shared" si="267"/>
        <v>0</v>
      </c>
      <c r="U200" s="9" t="s">
        <v>275</v>
      </c>
      <c r="V200" s="9" t="s">
        <v>265</v>
      </c>
      <c r="W200" s="9" t="str">
        <v>WX311</v>
      </c>
      <c r="X200" t="s">
        <v>284</v>
      </c>
      <c r="Y200" s="28">
        <f t="shared" si="255"/>
        <v>129.85321364093784</v>
      </c>
      <c r="Z200" s="28">
        <f t="shared" si="268"/>
        <v>142.88581439718209</v>
      </c>
      <c r="AA200" s="28">
        <f t="shared" si="268"/>
        <v>150.98800012599474</v>
      </c>
      <c r="AB200" s="28">
        <f t="shared" si="268"/>
        <v>154.54303202769037</v>
      </c>
      <c r="AC200" s="28">
        <f t="shared" si="268"/>
        <v>160.01729198947794</v>
      </c>
      <c r="AD200" s="28">
        <f t="shared" si="269"/>
        <v>160.01729198947794</v>
      </c>
      <c r="AE200" s="28">
        <f t="shared" si="269"/>
        <v>160.01729198947794</v>
      </c>
      <c r="AF200" s="28">
        <f t="shared" si="269"/>
        <v>160.01729198947794</v>
      </c>
      <c r="AG200" s="28">
        <f t="shared" si="269"/>
        <v>160.01729198947794</v>
      </c>
      <c r="AH200" s="28">
        <f t="shared" si="269"/>
        <v>160.01729198947794</v>
      </c>
      <c r="AI200" s="28">
        <f t="shared" si="269"/>
        <v>160.01729198947794</v>
      </c>
      <c r="AJ200" s="28">
        <f t="shared" si="269"/>
        <v>160.01729198947794</v>
      </c>
      <c r="AK200" s="28">
        <f t="shared" si="269"/>
        <v>160.01729198947794</v>
      </c>
      <c r="AL200" s="28">
        <f t="shared" si="269"/>
        <v>160.01729198947794</v>
      </c>
      <c r="AM200" s="28">
        <f t="shared" si="269"/>
        <v>160.01729198947794</v>
      </c>
    </row>
    <row r="201" spans="1:50" x14ac:dyDescent="0.45">
      <c r="A201" s="9" t="str">
        <v>WX311</v>
      </c>
      <c r="B201" t="s">
        <v>284</v>
      </c>
      <c r="C201" t="s">
        <v>265</v>
      </c>
      <c r="E201" s="46"/>
      <c r="F201" s="46"/>
      <c r="G201" s="46"/>
      <c r="H201" s="46"/>
      <c r="I201" s="46"/>
      <c r="J201" s="70">
        <f t="shared" si="258"/>
        <v>-0.52891723530722989</v>
      </c>
      <c r="K201" s="70">
        <f t="shared" si="259"/>
        <v>-0.80687995882198726</v>
      </c>
      <c r="L201" s="70">
        <f t="shared" si="260"/>
        <v>0</v>
      </c>
      <c r="M201" s="70">
        <f t="shared" si="261"/>
        <v>0</v>
      </c>
      <c r="N201" s="70">
        <f t="shared" si="262"/>
        <v>0</v>
      </c>
      <c r="O201" s="70">
        <f t="shared" si="263"/>
        <v>0</v>
      </c>
      <c r="P201" s="70">
        <f t="shared" si="264"/>
        <v>0</v>
      </c>
      <c r="Q201" s="70">
        <f t="shared" si="265"/>
        <v>0</v>
      </c>
      <c r="R201" s="70">
        <f t="shared" si="266"/>
        <v>0</v>
      </c>
      <c r="S201" s="70">
        <f t="shared" si="267"/>
        <v>0</v>
      </c>
      <c r="U201" s="9" t="s">
        <v>3</v>
      </c>
      <c r="V201" s="9" t="s">
        <v>265</v>
      </c>
      <c r="W201" s="9" t="str">
        <v>WN302</v>
      </c>
      <c r="X201" t="s">
        <v>285</v>
      </c>
      <c r="Y201" s="28">
        <f t="shared" si="255"/>
        <v>103.51574805412599</v>
      </c>
      <c r="Z201" s="28">
        <f t="shared" si="268"/>
        <v>113.90501281351642</v>
      </c>
      <c r="AA201" s="28">
        <f t="shared" si="268"/>
        <v>120.36387349994224</v>
      </c>
      <c r="AB201" s="28">
        <f t="shared" si="268"/>
        <v>123.19785639756911</v>
      </c>
      <c r="AC201" s="28">
        <f t="shared" si="268"/>
        <v>127.56180010830482</v>
      </c>
      <c r="AD201" s="28">
        <f t="shared" si="269"/>
        <v>127.56180010830482</v>
      </c>
      <c r="AE201" s="28">
        <f t="shared" si="269"/>
        <v>127.56180010830482</v>
      </c>
      <c r="AF201" s="28">
        <f t="shared" si="269"/>
        <v>127.56180010830482</v>
      </c>
      <c r="AG201" s="28">
        <f t="shared" si="269"/>
        <v>127.56180010830482</v>
      </c>
      <c r="AH201" s="28">
        <f t="shared" si="269"/>
        <v>127.56180010830482</v>
      </c>
      <c r="AI201" s="28">
        <f t="shared" si="269"/>
        <v>127.56180010830482</v>
      </c>
      <c r="AJ201" s="28">
        <f t="shared" si="269"/>
        <v>127.56180010830482</v>
      </c>
      <c r="AK201" s="28">
        <f t="shared" si="269"/>
        <v>127.56180010830482</v>
      </c>
      <c r="AL201" s="28">
        <f t="shared" si="269"/>
        <v>127.56180010830482</v>
      </c>
      <c r="AM201" s="28">
        <f t="shared" si="269"/>
        <v>127.56180010830482</v>
      </c>
    </row>
    <row r="202" spans="1:50" x14ac:dyDescent="0.45">
      <c r="A202" s="9" t="str">
        <v>WN302</v>
      </c>
      <c r="B202" t="s">
        <v>285</v>
      </c>
      <c r="C202" t="s">
        <v>265</v>
      </c>
      <c r="E202" s="46"/>
      <c r="F202" s="46"/>
      <c r="G202" s="46"/>
      <c r="H202" s="46"/>
      <c r="I202" s="46"/>
      <c r="J202" s="70">
        <f t="shared" si="258"/>
        <v>-0.52593022032028802</v>
      </c>
      <c r="K202" s="70">
        <f t="shared" si="259"/>
        <v>-0.80670436629104136</v>
      </c>
      <c r="L202" s="70">
        <f t="shared" si="260"/>
        <v>0</v>
      </c>
      <c r="M202" s="70">
        <f t="shared" si="261"/>
        <v>0</v>
      </c>
      <c r="N202" s="70">
        <f t="shared" si="262"/>
        <v>0</v>
      </c>
      <c r="O202" s="70">
        <f t="shared" si="263"/>
        <v>0</v>
      </c>
      <c r="P202" s="70">
        <f t="shared" si="264"/>
        <v>0</v>
      </c>
      <c r="Q202" s="70">
        <f t="shared" si="265"/>
        <v>0</v>
      </c>
      <c r="R202" s="70">
        <f t="shared" si="266"/>
        <v>0</v>
      </c>
      <c r="S202" s="70">
        <f t="shared" si="267"/>
        <v>0</v>
      </c>
      <c r="U202" s="9" t="s">
        <v>3</v>
      </c>
      <c r="V202" s="9" t="s">
        <v>265</v>
      </c>
      <c r="W202" s="9" t="str">
        <v>WX312</v>
      </c>
      <c r="X202" t="s">
        <v>286</v>
      </c>
      <c r="Y202" s="28">
        <f t="shared" si="255"/>
        <v>120.8513299143663</v>
      </c>
      <c r="Z202" s="28">
        <f t="shared" si="268"/>
        <v>132.98046472338388</v>
      </c>
      <c r="AA202" s="28">
        <f t="shared" si="268"/>
        <v>140.52097830087394</v>
      </c>
      <c r="AB202" s="28">
        <f t="shared" si="268"/>
        <v>143.82956282613571</v>
      </c>
      <c r="AC202" s="28">
        <f t="shared" si="268"/>
        <v>148.92432773898827</v>
      </c>
      <c r="AD202" s="28">
        <f t="shared" si="269"/>
        <v>148.92432773898827</v>
      </c>
      <c r="AE202" s="28">
        <f t="shared" si="269"/>
        <v>148.92432773898827</v>
      </c>
      <c r="AF202" s="28">
        <f t="shared" si="269"/>
        <v>148.92432773898827</v>
      </c>
      <c r="AG202" s="28">
        <f t="shared" si="269"/>
        <v>148.92432773898827</v>
      </c>
      <c r="AH202" s="28">
        <f t="shared" si="269"/>
        <v>148.92432773898827</v>
      </c>
      <c r="AI202" s="28">
        <f t="shared" si="269"/>
        <v>148.92432773898827</v>
      </c>
      <c r="AJ202" s="28">
        <f t="shared" si="269"/>
        <v>148.92432773898827</v>
      </c>
      <c r="AK202" s="28">
        <f t="shared" si="269"/>
        <v>148.92432773898827</v>
      </c>
      <c r="AL202" s="28">
        <f t="shared" si="269"/>
        <v>148.92432773898827</v>
      </c>
      <c r="AM202" s="28">
        <f t="shared" si="269"/>
        <v>148.92432773898827</v>
      </c>
    </row>
    <row r="203" spans="1:50" x14ac:dyDescent="0.45">
      <c r="A203" s="9" t="str">
        <v>WX312</v>
      </c>
      <c r="B203" t="s">
        <v>286</v>
      </c>
      <c r="C203" t="s">
        <v>265</v>
      </c>
      <c r="E203" s="46"/>
      <c r="F203" s="46"/>
      <c r="G203" s="46"/>
      <c r="H203" s="46"/>
      <c r="I203" s="46"/>
      <c r="J203" s="70">
        <f t="shared" si="258"/>
        <v>-0.5259302203202878</v>
      </c>
      <c r="K203" s="70">
        <f t="shared" si="259"/>
        <v>-0.80670436629104136</v>
      </c>
      <c r="L203" s="70">
        <f t="shared" si="260"/>
        <v>0</v>
      </c>
      <c r="M203" s="70">
        <f t="shared" si="261"/>
        <v>0</v>
      </c>
      <c r="N203" s="70">
        <f t="shared" si="262"/>
        <v>0</v>
      </c>
      <c r="O203" s="70">
        <f t="shared" si="263"/>
        <v>0</v>
      </c>
      <c r="P203" s="70">
        <f t="shared" si="264"/>
        <v>0</v>
      </c>
      <c r="Q203" s="70">
        <f t="shared" si="265"/>
        <v>0</v>
      </c>
      <c r="R203" s="70">
        <f t="shared" si="266"/>
        <v>0</v>
      </c>
      <c r="S203" s="70">
        <f t="shared" si="267"/>
        <v>0</v>
      </c>
      <c r="U203" s="9" t="s">
        <v>3</v>
      </c>
      <c r="V203" s="9" t="s">
        <v>265</v>
      </c>
      <c r="W203" t="str">
        <v>WX338</v>
      </c>
      <c r="X203" t="s">
        <v>287</v>
      </c>
      <c r="Y203" s="28">
        <f t="shared" si="255"/>
        <v>117.73310424208125</v>
      </c>
      <c r="Z203" s="28">
        <f t="shared" si="268"/>
        <v>129.5492811418157</v>
      </c>
      <c r="AA203" s="28">
        <f t="shared" si="268"/>
        <v>136.89523316142962</v>
      </c>
      <c r="AB203" s="28">
        <f t="shared" si="268"/>
        <v>140.11844905059192</v>
      </c>
      <c r="AC203" s="28">
        <f t="shared" si="268"/>
        <v>145.08175801044194</v>
      </c>
      <c r="AD203" s="28">
        <f t="shared" si="269"/>
        <v>145.08175801044194</v>
      </c>
      <c r="AE203" s="28">
        <f t="shared" si="269"/>
        <v>145.08175801044194</v>
      </c>
      <c r="AF203" s="28">
        <f t="shared" si="269"/>
        <v>145.08175801044194</v>
      </c>
      <c r="AG203" s="28">
        <f t="shared" si="269"/>
        <v>145.08175801044194</v>
      </c>
      <c r="AH203" s="28">
        <f t="shared" si="269"/>
        <v>145.08175801044194</v>
      </c>
      <c r="AI203" s="28">
        <f t="shared" si="269"/>
        <v>145.08175801044194</v>
      </c>
      <c r="AJ203" s="28">
        <f t="shared" si="269"/>
        <v>145.08175801044194</v>
      </c>
      <c r="AK203" s="28">
        <f t="shared" si="269"/>
        <v>145.08175801044194</v>
      </c>
      <c r="AL203" s="28">
        <f t="shared" si="269"/>
        <v>145.08175801044194</v>
      </c>
      <c r="AM203" s="28">
        <f t="shared" si="269"/>
        <v>145.08175801044194</v>
      </c>
    </row>
    <row r="204" spans="1:50" x14ac:dyDescent="0.45">
      <c r="A204" s="9" t="str">
        <v>WX338</v>
      </c>
      <c r="B204" t="s">
        <v>287</v>
      </c>
      <c r="C204" t="s">
        <v>265</v>
      </c>
      <c r="E204" s="46"/>
      <c r="F204" s="46"/>
      <c r="G204" s="46"/>
      <c r="H204" s="46"/>
      <c r="I204" s="46"/>
      <c r="J204" s="70">
        <f t="shared" si="258"/>
        <v>-0.52891723530722989</v>
      </c>
      <c r="K204" s="70">
        <f t="shared" si="259"/>
        <v>-0.80687995882198715</v>
      </c>
      <c r="L204" s="70">
        <f t="shared" si="260"/>
        <v>0</v>
      </c>
      <c r="M204" s="70">
        <f t="shared" si="261"/>
        <v>0</v>
      </c>
      <c r="N204" s="70">
        <f t="shared" si="262"/>
        <v>0</v>
      </c>
      <c r="O204" s="70">
        <f t="shared" si="263"/>
        <v>0</v>
      </c>
      <c r="P204" s="70">
        <f t="shared" si="264"/>
        <v>0</v>
      </c>
      <c r="Q204" s="70">
        <f t="shared" si="265"/>
        <v>0</v>
      </c>
      <c r="R204" s="70">
        <f t="shared" si="266"/>
        <v>0</v>
      </c>
      <c r="S204" s="70">
        <f t="shared" si="267"/>
        <v>0</v>
      </c>
      <c r="U204" s="9" t="s">
        <v>3</v>
      </c>
      <c r="V204" s="9" t="s">
        <v>265</v>
      </c>
      <c r="W204" t="str">
        <v>WN336</v>
      </c>
      <c r="X204" t="s">
        <v>288</v>
      </c>
      <c r="Y204" s="28">
        <f t="shared" si="255"/>
        <v>105.32780205353923</v>
      </c>
      <c r="Z204" s="28">
        <f t="shared" si="268"/>
        <v>115.89893197945845</v>
      </c>
      <c r="AA204" s="28">
        <f t="shared" si="268"/>
        <v>122.47085569792044</v>
      </c>
      <c r="AB204" s="28">
        <f t="shared" si="268"/>
        <v>125.35444776265905</v>
      </c>
      <c r="AC204" s="28">
        <f t="shared" si="268"/>
        <v>129.7947827646031</v>
      </c>
      <c r="AD204" s="28">
        <f t="shared" si="269"/>
        <v>129.7947827646031</v>
      </c>
      <c r="AE204" s="28">
        <f t="shared" si="269"/>
        <v>129.7947827646031</v>
      </c>
      <c r="AF204" s="28">
        <f t="shared" si="269"/>
        <v>129.7947827646031</v>
      </c>
      <c r="AG204" s="28">
        <f t="shared" si="269"/>
        <v>129.7947827646031</v>
      </c>
      <c r="AH204" s="28">
        <f t="shared" si="269"/>
        <v>129.7947827646031</v>
      </c>
      <c r="AI204" s="28">
        <f t="shared" si="269"/>
        <v>129.7947827646031</v>
      </c>
      <c r="AJ204" s="28">
        <f t="shared" si="269"/>
        <v>129.7947827646031</v>
      </c>
      <c r="AK204" s="28">
        <f t="shared" si="269"/>
        <v>129.7947827646031</v>
      </c>
      <c r="AL204" s="28">
        <f t="shared" si="269"/>
        <v>129.7947827646031</v>
      </c>
      <c r="AM204" s="28">
        <f t="shared" si="269"/>
        <v>129.7947827646031</v>
      </c>
    </row>
    <row r="205" spans="1:50" x14ac:dyDescent="0.45">
      <c r="A205" s="9" t="str">
        <v>WN336</v>
      </c>
      <c r="B205" t="s">
        <v>288</v>
      </c>
      <c r="C205" t="s">
        <v>265</v>
      </c>
      <c r="E205" s="46"/>
      <c r="F205" s="46"/>
      <c r="G205" s="46"/>
      <c r="H205" s="46"/>
      <c r="I205" s="46"/>
      <c r="J205" s="70">
        <f t="shared" si="258"/>
        <v>-0.52891723530722989</v>
      </c>
      <c r="K205" s="70">
        <f t="shared" si="259"/>
        <v>-0.80687995882198715</v>
      </c>
      <c r="L205" s="70">
        <f t="shared" si="260"/>
        <v>0</v>
      </c>
      <c r="M205" s="70">
        <f t="shared" si="261"/>
        <v>0</v>
      </c>
      <c r="N205" s="70">
        <f t="shared" si="262"/>
        <v>0</v>
      </c>
      <c r="O205" s="70">
        <f t="shared" si="263"/>
        <v>0</v>
      </c>
      <c r="P205" s="70">
        <f t="shared" si="264"/>
        <v>0</v>
      </c>
      <c r="Q205" s="70">
        <f t="shared" si="265"/>
        <v>0</v>
      </c>
      <c r="R205" s="70">
        <f t="shared" si="266"/>
        <v>0</v>
      </c>
      <c r="S205" s="70">
        <f t="shared" si="267"/>
        <v>0</v>
      </c>
      <c r="U205" s="9" t="s">
        <v>3</v>
      </c>
      <c r="V205" s="9" t="s">
        <v>265</v>
      </c>
      <c r="W205" t="str">
        <v>WN303</v>
      </c>
      <c r="X205" t="s">
        <v>289</v>
      </c>
      <c r="Y205" s="28">
        <f t="shared" si="255"/>
        <v>50.158351676521626</v>
      </c>
      <c r="Z205" s="28">
        <f t="shared" si="268"/>
        <v>55.192449437081912</v>
      </c>
      <c r="AA205" s="28">
        <f t="shared" si="268"/>
        <v>58.3220776514287</v>
      </c>
      <c r="AB205" s="28">
        <f t="shared" si="268"/>
        <v>59.695278478322116</v>
      </c>
      <c r="AC205" s="28">
        <f t="shared" si="268"/>
        <v>61.809818801454156</v>
      </c>
      <c r="AD205" s="28">
        <f t="shared" si="269"/>
        <v>61.809818801454156</v>
      </c>
      <c r="AE205" s="28">
        <f t="shared" si="269"/>
        <v>61.809818801454156</v>
      </c>
      <c r="AF205" s="28">
        <f t="shared" si="269"/>
        <v>61.809818801454156</v>
      </c>
      <c r="AG205" s="28">
        <f t="shared" si="269"/>
        <v>61.809818801454156</v>
      </c>
      <c r="AH205" s="28">
        <f t="shared" si="269"/>
        <v>61.809818801454156</v>
      </c>
      <c r="AI205" s="28">
        <f t="shared" si="269"/>
        <v>61.809818801454156</v>
      </c>
      <c r="AJ205" s="28">
        <f t="shared" si="269"/>
        <v>61.809818801454156</v>
      </c>
      <c r="AK205" s="28">
        <f t="shared" si="269"/>
        <v>61.809818801454156</v>
      </c>
      <c r="AL205" s="28">
        <f t="shared" si="269"/>
        <v>61.809818801454156</v>
      </c>
      <c r="AM205" s="28">
        <f t="shared" si="269"/>
        <v>61.809818801454156</v>
      </c>
    </row>
    <row r="206" spans="1:50" x14ac:dyDescent="0.45">
      <c r="A206" s="9" t="str">
        <v>WN303</v>
      </c>
      <c r="B206" t="s">
        <v>289</v>
      </c>
      <c r="C206" t="s">
        <v>265</v>
      </c>
      <c r="E206" s="46"/>
      <c r="F206" s="46"/>
      <c r="G206" s="46"/>
      <c r="H206" s="46"/>
      <c r="I206" s="46"/>
      <c r="J206" s="70">
        <f t="shared" si="258"/>
        <v>-0.52891723530722989</v>
      </c>
      <c r="K206" s="70">
        <f t="shared" si="259"/>
        <v>-0.80687995882198726</v>
      </c>
      <c r="L206" s="70">
        <f t="shared" si="260"/>
        <v>0</v>
      </c>
      <c r="M206" s="70">
        <f t="shared" si="261"/>
        <v>0</v>
      </c>
      <c r="N206" s="70">
        <f t="shared" si="262"/>
        <v>0</v>
      </c>
      <c r="O206" s="70">
        <f t="shared" si="263"/>
        <v>0</v>
      </c>
      <c r="P206" s="70">
        <f t="shared" si="264"/>
        <v>0</v>
      </c>
      <c r="Q206" s="70">
        <f t="shared" si="265"/>
        <v>0</v>
      </c>
      <c r="R206" s="70">
        <f t="shared" si="266"/>
        <v>0</v>
      </c>
      <c r="S206" s="70">
        <f t="shared" si="267"/>
        <v>0</v>
      </c>
      <c r="U206" s="9" t="s">
        <v>3</v>
      </c>
      <c r="V206" s="9" t="s">
        <v>265</v>
      </c>
      <c r="W206" t="str">
        <v>WN337</v>
      </c>
      <c r="X206" t="s">
        <v>290</v>
      </c>
      <c r="Y206" s="28">
        <f t="shared" si="255"/>
        <v>45.940573693965547</v>
      </c>
      <c r="Z206" s="28">
        <f t="shared" si="268"/>
        <v>50.551357968599127</v>
      </c>
      <c r="AA206" s="28">
        <f t="shared" si="268"/>
        <v>53.417818105550005</v>
      </c>
      <c r="AB206" s="28">
        <f t="shared" si="268"/>
        <v>54.675547510043991</v>
      </c>
      <c r="AC206" s="28">
        <f t="shared" si="268"/>
        <v>56.61227773136784</v>
      </c>
      <c r="AD206" s="28">
        <f t="shared" si="269"/>
        <v>56.61227773136784</v>
      </c>
      <c r="AE206" s="28">
        <f t="shared" si="269"/>
        <v>56.61227773136784</v>
      </c>
      <c r="AF206" s="28">
        <f t="shared" si="269"/>
        <v>56.61227773136784</v>
      </c>
      <c r="AG206" s="28">
        <f t="shared" si="269"/>
        <v>56.61227773136784</v>
      </c>
      <c r="AH206" s="28">
        <f t="shared" si="269"/>
        <v>56.61227773136784</v>
      </c>
      <c r="AI206" s="28">
        <f t="shared" si="269"/>
        <v>56.61227773136784</v>
      </c>
      <c r="AJ206" s="28">
        <f t="shared" si="269"/>
        <v>56.61227773136784</v>
      </c>
      <c r="AK206" s="28">
        <f t="shared" si="269"/>
        <v>56.61227773136784</v>
      </c>
      <c r="AL206" s="28">
        <f t="shared" si="269"/>
        <v>56.61227773136784</v>
      </c>
      <c r="AM206" s="28">
        <f t="shared" si="269"/>
        <v>56.61227773136784</v>
      </c>
    </row>
    <row r="207" spans="1:50" x14ac:dyDescent="0.45">
      <c r="A207" s="9" t="str">
        <v>WN337</v>
      </c>
      <c r="B207" t="s">
        <v>290</v>
      </c>
      <c r="C207" t="s">
        <v>265</v>
      </c>
      <c r="E207" s="46"/>
      <c r="F207" s="46"/>
      <c r="G207" s="46"/>
      <c r="H207" s="46"/>
      <c r="I207" s="46"/>
      <c r="J207" s="70">
        <f t="shared" si="258"/>
        <v>-0.52593022032028802</v>
      </c>
      <c r="K207" s="70">
        <f t="shared" si="259"/>
        <v>-0.80670436629104125</v>
      </c>
      <c r="L207" s="70">
        <f t="shared" si="260"/>
        <v>0</v>
      </c>
      <c r="M207" s="70">
        <f t="shared" si="261"/>
        <v>0</v>
      </c>
      <c r="N207" s="70">
        <f t="shared" si="262"/>
        <v>0</v>
      </c>
      <c r="O207" s="70">
        <f t="shared" si="263"/>
        <v>0</v>
      </c>
      <c r="P207" s="70">
        <f t="shared" si="264"/>
        <v>0</v>
      </c>
      <c r="Q207" s="70">
        <f t="shared" si="265"/>
        <v>0</v>
      </c>
      <c r="R207" s="70">
        <f t="shared" si="266"/>
        <v>0</v>
      </c>
      <c r="S207" s="70">
        <f t="shared" si="267"/>
        <v>0</v>
      </c>
      <c r="U207" s="9" t="s">
        <v>3</v>
      </c>
      <c r="V207" s="9" t="s">
        <v>265</v>
      </c>
      <c r="W207" t="str">
        <v>WX313</v>
      </c>
      <c r="X207" t="s">
        <v>291</v>
      </c>
      <c r="Y207" s="28">
        <f t="shared" si="255"/>
        <v>43.225665835895562</v>
      </c>
      <c r="Z207" s="28">
        <f t="shared" si="268"/>
        <v>47.56397083017761</v>
      </c>
      <c r="AA207" s="28">
        <f t="shared" si="268"/>
        <v>50.26103440707476</v>
      </c>
      <c r="AB207" s="28">
        <f t="shared" si="268"/>
        <v>51.44443693297265</v>
      </c>
      <c r="AC207" s="28">
        <f t="shared" si="268"/>
        <v>53.266713988520635</v>
      </c>
      <c r="AD207" s="28">
        <f t="shared" si="269"/>
        <v>53.266713988520635</v>
      </c>
      <c r="AE207" s="28">
        <f t="shared" si="269"/>
        <v>53.266713988520635</v>
      </c>
      <c r="AF207" s="28">
        <f t="shared" si="269"/>
        <v>53.266713988520635</v>
      </c>
      <c r="AG207" s="28">
        <f t="shared" si="269"/>
        <v>53.266713988520635</v>
      </c>
      <c r="AH207" s="28">
        <f t="shared" si="269"/>
        <v>53.266713988520635</v>
      </c>
      <c r="AI207" s="28">
        <f t="shared" si="269"/>
        <v>53.266713988520635</v>
      </c>
      <c r="AJ207" s="28">
        <f t="shared" si="269"/>
        <v>53.266713988520635</v>
      </c>
      <c r="AK207" s="28">
        <f t="shared" si="269"/>
        <v>53.266713988520635</v>
      </c>
      <c r="AL207" s="28">
        <f t="shared" si="269"/>
        <v>53.266713988520635</v>
      </c>
      <c r="AM207" s="28">
        <f t="shared" si="269"/>
        <v>53.266713988520635</v>
      </c>
    </row>
    <row r="208" spans="1:50" x14ac:dyDescent="0.45">
      <c r="A208" s="9" t="str">
        <v>WX313</v>
      </c>
      <c r="B208" t="s">
        <v>291</v>
      </c>
      <c r="C208" t="s">
        <v>265</v>
      </c>
      <c r="E208" s="46"/>
      <c r="F208" s="46"/>
      <c r="G208" s="46"/>
      <c r="H208" s="46"/>
      <c r="I208" s="46"/>
      <c r="J208" s="70">
        <f t="shared" si="258"/>
        <v>-0.52891723530722989</v>
      </c>
      <c r="K208" s="70">
        <f t="shared" si="259"/>
        <v>-0.80687995882198715</v>
      </c>
      <c r="L208" s="70">
        <f t="shared" si="260"/>
        <v>0</v>
      </c>
      <c r="M208" s="70">
        <f t="shared" si="261"/>
        <v>0</v>
      </c>
      <c r="N208" s="70">
        <f t="shared" si="262"/>
        <v>0</v>
      </c>
      <c r="O208" s="70">
        <f t="shared" si="263"/>
        <v>0</v>
      </c>
      <c r="P208" s="70">
        <f t="shared" si="264"/>
        <v>0</v>
      </c>
      <c r="Q208" s="70">
        <f t="shared" si="265"/>
        <v>0</v>
      </c>
      <c r="R208" s="70">
        <f t="shared" si="266"/>
        <v>0</v>
      </c>
      <c r="S208" s="70">
        <f t="shared" si="267"/>
        <v>0</v>
      </c>
      <c r="U208" s="9" t="s">
        <v>3</v>
      </c>
      <c r="V208" s="9" t="s">
        <v>265</v>
      </c>
      <c r="W208" t="str">
        <v>WX339</v>
      </c>
      <c r="X208" t="s">
        <v>292</v>
      </c>
      <c r="Y208" s="28">
        <f t="shared" si="255"/>
        <v>42.235124309237577</v>
      </c>
      <c r="Z208" s="28">
        <f t="shared" si="268"/>
        <v>46.474014495926873</v>
      </c>
      <c r="AA208" s="28">
        <f t="shared" si="268"/>
        <v>49.109273276500105</v>
      </c>
      <c r="AB208" s="28">
        <f t="shared" si="268"/>
        <v>50.26555743829681</v>
      </c>
      <c r="AC208" s="28">
        <f t="shared" si="268"/>
        <v>52.046075944573417</v>
      </c>
      <c r="AD208" s="28">
        <f t="shared" si="269"/>
        <v>52.046075944573417</v>
      </c>
      <c r="AE208" s="28">
        <f t="shared" si="269"/>
        <v>52.046075944573417</v>
      </c>
      <c r="AF208" s="28">
        <f t="shared" si="269"/>
        <v>52.046075944573417</v>
      </c>
      <c r="AG208" s="28">
        <f t="shared" si="269"/>
        <v>52.046075944573417</v>
      </c>
      <c r="AH208" s="28">
        <f t="shared" si="269"/>
        <v>52.046075944573417</v>
      </c>
      <c r="AI208" s="28">
        <f t="shared" si="269"/>
        <v>52.046075944573417</v>
      </c>
      <c r="AJ208" s="28">
        <f t="shared" si="269"/>
        <v>52.046075944573417</v>
      </c>
      <c r="AK208" s="28">
        <f t="shared" si="269"/>
        <v>52.046075944573417</v>
      </c>
      <c r="AL208" s="28">
        <f t="shared" si="269"/>
        <v>52.046075944573417</v>
      </c>
      <c r="AM208" s="28">
        <f t="shared" si="269"/>
        <v>52.046075944573417</v>
      </c>
    </row>
    <row r="209" spans="1:39" x14ac:dyDescent="0.45">
      <c r="A209" s="9" t="str">
        <v>WX339</v>
      </c>
      <c r="B209" t="s">
        <v>292</v>
      </c>
      <c r="C209" t="s">
        <v>265</v>
      </c>
      <c r="E209" s="46"/>
      <c r="F209" s="46"/>
      <c r="G209" s="46"/>
      <c r="H209" s="46"/>
      <c r="I209" s="46"/>
      <c r="J209" s="70">
        <f t="shared" si="258"/>
        <v>-0.5259302203202878</v>
      </c>
      <c r="K209" s="70">
        <f t="shared" si="259"/>
        <v>-0.80670436629104136</v>
      </c>
      <c r="L209" s="70">
        <f t="shared" si="260"/>
        <v>0</v>
      </c>
      <c r="M209" s="70">
        <f t="shared" si="261"/>
        <v>0</v>
      </c>
      <c r="N209" s="70">
        <f t="shared" si="262"/>
        <v>0</v>
      </c>
      <c r="O209" s="70">
        <f t="shared" si="263"/>
        <v>0</v>
      </c>
      <c r="P209" s="70">
        <f t="shared" si="264"/>
        <v>0</v>
      </c>
      <c r="Q209" s="70">
        <f t="shared" si="265"/>
        <v>0</v>
      </c>
      <c r="R209" s="70">
        <f t="shared" si="266"/>
        <v>0</v>
      </c>
      <c r="S209" s="70">
        <f t="shared" si="267"/>
        <v>0</v>
      </c>
      <c r="U209" s="9" t="s">
        <v>275</v>
      </c>
      <c r="V209" s="9" t="s">
        <v>294</v>
      </c>
      <c r="W209" t="str">
        <v>WN332</v>
      </c>
      <c r="X209" t="s">
        <v>293</v>
      </c>
      <c r="Y209" s="28">
        <f t="shared" si="255"/>
        <v>150.12578730354468</v>
      </c>
      <c r="Z209" s="28">
        <f t="shared" si="268"/>
        <v>165.19302664468273</v>
      </c>
      <c r="AA209" s="28">
        <f t="shared" si="268"/>
        <v>174.56011874284914</v>
      </c>
      <c r="AB209" s="28">
        <f t="shared" si="268"/>
        <v>178.67015921213653</v>
      </c>
      <c r="AC209" s="28">
        <f t="shared" si="268"/>
        <v>184.99905599970543</v>
      </c>
      <c r="AD209" s="28">
        <f t="shared" si="269"/>
        <v>184.99905599970543</v>
      </c>
      <c r="AE209" s="28">
        <f t="shared" si="269"/>
        <v>184.99905599970543</v>
      </c>
      <c r="AF209" s="28">
        <f t="shared" si="269"/>
        <v>184.99905599970543</v>
      </c>
      <c r="AG209" s="28">
        <f t="shared" si="269"/>
        <v>184.99905599970543</v>
      </c>
      <c r="AH209" s="28">
        <f t="shared" si="269"/>
        <v>184.99905599970543</v>
      </c>
      <c r="AI209" s="28">
        <f t="shared" si="269"/>
        <v>184.99905599970543</v>
      </c>
      <c r="AJ209" s="28">
        <f t="shared" si="269"/>
        <v>184.99905599970543</v>
      </c>
      <c r="AK209" s="28">
        <f t="shared" si="269"/>
        <v>184.99905599970543</v>
      </c>
      <c r="AL209" s="28">
        <f t="shared" si="269"/>
        <v>184.99905599970543</v>
      </c>
      <c r="AM209" s="28">
        <f t="shared" si="269"/>
        <v>184.99905599970543</v>
      </c>
    </row>
    <row r="210" spans="1:39" x14ac:dyDescent="0.45">
      <c r="A210" s="9" t="str">
        <v>WN332</v>
      </c>
      <c r="B210" t="s">
        <v>293</v>
      </c>
      <c r="C210" t="s">
        <v>265</v>
      </c>
      <c r="E210" s="46"/>
      <c r="F210" s="46"/>
      <c r="G210" s="46"/>
      <c r="H210" s="46"/>
      <c r="I210" s="46"/>
      <c r="J210" s="70">
        <f t="shared" si="258"/>
        <v>6.5022010081276171E-2</v>
      </c>
      <c r="K210" s="70">
        <f t="shared" si="259"/>
        <v>1.3231417303640081E-2</v>
      </c>
      <c r="L210" s="70">
        <f t="shared" si="260"/>
        <v>2.0419418405083212E-2</v>
      </c>
      <c r="M210" s="70">
        <f t="shared" si="261"/>
        <v>1.3115027860810313E-2</v>
      </c>
      <c r="N210" s="70">
        <f t="shared" si="262"/>
        <v>-1.3943610703076592E-3</v>
      </c>
      <c r="O210" s="70">
        <f t="shared" si="263"/>
        <v>-1.5047201171101143E-3</v>
      </c>
      <c r="P210" s="70">
        <f t="shared" si="264"/>
        <v>-1.6123795304737731E-3</v>
      </c>
      <c r="Q210" s="70">
        <f t="shared" si="265"/>
        <v>0</v>
      </c>
      <c r="R210" s="70">
        <f t="shared" si="266"/>
        <v>0</v>
      </c>
      <c r="S210" s="70">
        <f t="shared" si="267"/>
        <v>0</v>
      </c>
      <c r="U210" s="9" t="s">
        <v>275</v>
      </c>
      <c r="V210" s="9" t="s">
        <v>294</v>
      </c>
      <c r="W210" t="str">
        <v>WX334</v>
      </c>
      <c r="X210" t="s">
        <v>295</v>
      </c>
      <c r="Y210" s="28">
        <f t="shared" si="255"/>
        <v>152.24203979394323</v>
      </c>
      <c r="Z210" s="28">
        <f t="shared" si="268"/>
        <v>167.52167490899745</v>
      </c>
      <c r="AA210" s="28">
        <f t="shared" si="268"/>
        <v>177.02081049107551</v>
      </c>
      <c r="AB210" s="28">
        <f t="shared" si="268"/>
        <v>181.18878826437304</v>
      </c>
      <c r="AC210" s="28">
        <f t="shared" si="268"/>
        <v>187.60690052803525</v>
      </c>
      <c r="AD210" s="28">
        <f t="shared" si="269"/>
        <v>187.60690052803525</v>
      </c>
      <c r="AE210" s="28">
        <f t="shared" si="269"/>
        <v>187.60690052803525</v>
      </c>
      <c r="AF210" s="28">
        <f t="shared" si="269"/>
        <v>187.60690052803525</v>
      </c>
      <c r="AG210" s="28">
        <f t="shared" si="269"/>
        <v>187.60690052803525</v>
      </c>
      <c r="AH210" s="28">
        <f t="shared" si="269"/>
        <v>187.60690052803525</v>
      </c>
      <c r="AI210" s="28">
        <f t="shared" si="269"/>
        <v>187.60690052803525</v>
      </c>
      <c r="AJ210" s="28">
        <f t="shared" si="269"/>
        <v>187.60690052803525</v>
      </c>
      <c r="AK210" s="28">
        <f t="shared" si="269"/>
        <v>187.60690052803525</v>
      </c>
      <c r="AL210" s="28">
        <f t="shared" si="269"/>
        <v>187.60690052803525</v>
      </c>
      <c r="AM210" s="28">
        <f t="shared" si="269"/>
        <v>187.60690052803525</v>
      </c>
    </row>
    <row r="211" spans="1:39" x14ac:dyDescent="0.45">
      <c r="A211" s="9" t="str">
        <v>WX334</v>
      </c>
      <c r="B211" t="s">
        <v>295</v>
      </c>
      <c r="C211" t="s">
        <v>265</v>
      </c>
      <c r="E211" s="46"/>
      <c r="F211" s="46"/>
      <c r="G211" s="46"/>
      <c r="H211" s="46"/>
      <c r="I211" s="46"/>
      <c r="J211" s="70">
        <f t="shared" si="258"/>
        <v>6.5022010081275949E-2</v>
      </c>
      <c r="K211" s="70">
        <f t="shared" si="259"/>
        <v>1.3231417303640081E-2</v>
      </c>
      <c r="L211" s="70">
        <f t="shared" si="260"/>
        <v>2.0419418405083212E-2</v>
      </c>
      <c r="M211" s="70">
        <f t="shared" si="261"/>
        <v>1.3115027860810313E-2</v>
      </c>
      <c r="N211" s="70">
        <f t="shared" si="262"/>
        <v>-1.3943610703074372E-3</v>
      </c>
      <c r="O211" s="70">
        <f t="shared" si="263"/>
        <v>-1.5047201171103364E-3</v>
      </c>
      <c r="P211" s="70">
        <f t="shared" si="264"/>
        <v>-1.6123795304735511E-3</v>
      </c>
      <c r="Q211" s="70">
        <f t="shared" si="265"/>
        <v>0</v>
      </c>
      <c r="R211" s="70">
        <f t="shared" si="266"/>
        <v>0</v>
      </c>
      <c r="S211" s="70">
        <f t="shared" si="267"/>
        <v>0</v>
      </c>
      <c r="U211" s="9" t="s">
        <v>3</v>
      </c>
      <c r="V211" s="9" t="s">
        <v>294</v>
      </c>
      <c r="W211" t="str">
        <v>WN333</v>
      </c>
      <c r="X211" t="s">
        <v>296</v>
      </c>
      <c r="Y211" s="28">
        <f t="shared" si="255"/>
        <v>47.083670712822958</v>
      </c>
      <c r="Z211" s="28">
        <f t="shared" si="268"/>
        <v>51.809180889532513</v>
      </c>
      <c r="AA211" s="28">
        <f t="shared" si="268"/>
        <v>54.746964516238862</v>
      </c>
      <c r="AB211" s="28">
        <f t="shared" si="268"/>
        <v>56.035988844091527</v>
      </c>
      <c r="AC211" s="28">
        <f t="shared" si="268"/>
        <v>58.020908941255286</v>
      </c>
      <c r="AD211" s="28">
        <f t="shared" si="269"/>
        <v>58.020908941255286</v>
      </c>
      <c r="AE211" s="28">
        <f t="shared" si="269"/>
        <v>58.020908941255286</v>
      </c>
      <c r="AF211" s="28">
        <f t="shared" si="269"/>
        <v>58.020908941255286</v>
      </c>
      <c r="AG211" s="28">
        <f t="shared" si="269"/>
        <v>58.020908941255286</v>
      </c>
      <c r="AH211" s="28">
        <f t="shared" si="269"/>
        <v>58.020908941255286</v>
      </c>
      <c r="AI211" s="28">
        <f t="shared" si="269"/>
        <v>58.020908941255286</v>
      </c>
      <c r="AJ211" s="28">
        <f t="shared" si="269"/>
        <v>58.020908941255286</v>
      </c>
      <c r="AK211" s="28">
        <f t="shared" si="269"/>
        <v>58.020908941255286</v>
      </c>
      <c r="AL211" s="28">
        <f t="shared" si="269"/>
        <v>58.020908941255286</v>
      </c>
      <c r="AM211" s="28">
        <f t="shared" si="269"/>
        <v>58.020908941255286</v>
      </c>
    </row>
    <row r="212" spans="1:39" x14ac:dyDescent="0.45">
      <c r="A212" s="9" t="str">
        <v>WN333</v>
      </c>
      <c r="B212" t="s">
        <v>296</v>
      </c>
      <c r="C212" t="s">
        <v>265</v>
      </c>
      <c r="E212" s="46"/>
      <c r="F212" s="46"/>
      <c r="G212" s="46"/>
      <c r="H212" s="46"/>
      <c r="I212" s="46"/>
      <c r="J212" s="70">
        <f t="shared" si="258"/>
        <v>6.5022010081275949E-2</v>
      </c>
      <c r="K212" s="70">
        <f t="shared" si="259"/>
        <v>1.3231417303640081E-2</v>
      </c>
      <c r="L212" s="70">
        <f t="shared" si="260"/>
        <v>2.0419418405083212E-2</v>
      </c>
      <c r="M212" s="70">
        <f t="shared" si="261"/>
        <v>1.3115027860810313E-2</v>
      </c>
      <c r="N212" s="70">
        <f t="shared" si="262"/>
        <v>-1.3943610703076592E-3</v>
      </c>
      <c r="O212" s="70">
        <f t="shared" si="263"/>
        <v>-1.5047201171103364E-3</v>
      </c>
      <c r="P212" s="70">
        <f t="shared" si="264"/>
        <v>-1.6123795304737731E-3</v>
      </c>
      <c r="Q212" s="70">
        <f t="shared" si="265"/>
        <v>0</v>
      </c>
      <c r="R212" s="70">
        <f t="shared" si="266"/>
        <v>0</v>
      </c>
      <c r="S212" s="70">
        <f t="shared" si="267"/>
        <v>0</v>
      </c>
      <c r="U212" s="9" t="s">
        <v>3</v>
      </c>
      <c r="V212" s="9" t="s">
        <v>294</v>
      </c>
      <c r="W212" t="str">
        <v>WX335</v>
      </c>
      <c r="X212" t="s">
        <v>297</v>
      </c>
      <c r="Y212" s="28">
        <f t="shared" si="255"/>
        <v>146.8993928494487</v>
      </c>
      <c r="Z212" s="28">
        <f t="shared" si="268"/>
        <v>161.64281801900481</v>
      </c>
      <c r="AA212" s="28">
        <f t="shared" si="268"/>
        <v>170.80859937276577</v>
      </c>
      <c r="AB212" s="28">
        <f t="shared" si="268"/>
        <v>174.83030983550069</v>
      </c>
      <c r="AC212" s="28">
        <f t="shared" si="268"/>
        <v>181.0231905670494</v>
      </c>
      <c r="AD212" s="28">
        <f t="shared" si="269"/>
        <v>181.0231905670494</v>
      </c>
      <c r="AE212" s="28">
        <f t="shared" si="269"/>
        <v>181.0231905670494</v>
      </c>
      <c r="AF212" s="28">
        <f t="shared" si="269"/>
        <v>181.0231905670494</v>
      </c>
      <c r="AG212" s="28">
        <f t="shared" si="269"/>
        <v>181.0231905670494</v>
      </c>
      <c r="AH212" s="28">
        <f t="shared" si="269"/>
        <v>181.0231905670494</v>
      </c>
      <c r="AI212" s="28">
        <f t="shared" si="269"/>
        <v>181.0231905670494</v>
      </c>
      <c r="AJ212" s="28">
        <f t="shared" si="269"/>
        <v>181.0231905670494</v>
      </c>
      <c r="AK212" s="28">
        <f t="shared" si="269"/>
        <v>181.0231905670494</v>
      </c>
      <c r="AL212" s="28">
        <f t="shared" si="269"/>
        <v>181.0231905670494</v>
      </c>
      <c r="AM212" s="28">
        <f t="shared" si="269"/>
        <v>181.0231905670494</v>
      </c>
    </row>
    <row r="213" spans="1:39" x14ac:dyDescent="0.45">
      <c r="A213" s="9" t="str">
        <v>WX335</v>
      </c>
      <c r="B213" t="s">
        <v>297</v>
      </c>
      <c r="C213" t="s">
        <v>265</v>
      </c>
      <c r="E213" s="46"/>
      <c r="F213" s="46"/>
      <c r="G213" s="46"/>
      <c r="H213" s="46"/>
      <c r="I213" s="46"/>
      <c r="J213" s="70">
        <f t="shared" si="258"/>
        <v>6.5022010081275949E-2</v>
      </c>
      <c r="K213" s="70">
        <f t="shared" si="259"/>
        <v>1.3231417303640081E-2</v>
      </c>
      <c r="L213" s="70">
        <f t="shared" si="260"/>
        <v>2.0419418405083212E-2</v>
      </c>
      <c r="M213" s="70">
        <f t="shared" si="261"/>
        <v>1.3115027860810313E-2</v>
      </c>
      <c r="N213" s="70">
        <f t="shared" si="262"/>
        <v>-1.3943610703074372E-3</v>
      </c>
      <c r="O213" s="70">
        <f t="shared" si="263"/>
        <v>-1.5047201171103364E-3</v>
      </c>
      <c r="P213" s="70">
        <f t="shared" si="264"/>
        <v>-1.6123795304737731E-3</v>
      </c>
      <c r="Q213" s="70">
        <f t="shared" si="265"/>
        <v>0</v>
      </c>
      <c r="R213" s="70">
        <f t="shared" si="266"/>
        <v>0</v>
      </c>
      <c r="S213" s="70">
        <f t="shared" si="267"/>
        <v>0</v>
      </c>
      <c r="U213" s="9" t="s">
        <v>275</v>
      </c>
      <c r="V213" s="9" t="s">
        <v>299</v>
      </c>
      <c r="W213" t="str">
        <v>WN348</v>
      </c>
      <c r="X213" s="96" t="s">
        <v>298</v>
      </c>
      <c r="Y213" s="28">
        <f t="shared" si="255"/>
        <v>180.84404768748192</v>
      </c>
      <c r="Z213" s="28">
        <f t="shared" si="268"/>
        <v>198.99429754707506</v>
      </c>
      <c r="AA213" s="28">
        <f t="shared" si="268"/>
        <v>210.27805419221903</v>
      </c>
      <c r="AB213" s="28">
        <f t="shared" si="268"/>
        <v>215.22907805011516</v>
      </c>
      <c r="AC213" s="28">
        <f t="shared" si="268"/>
        <v>222.85297353814394</v>
      </c>
      <c r="AD213" s="28">
        <f t="shared" si="269"/>
        <v>222.85297353814394</v>
      </c>
      <c r="AE213" s="28">
        <f t="shared" si="269"/>
        <v>222.85297353814394</v>
      </c>
      <c r="AF213" s="28">
        <f t="shared" si="269"/>
        <v>222.85297353814394</v>
      </c>
      <c r="AG213" s="28">
        <f t="shared" si="269"/>
        <v>222.85297353814394</v>
      </c>
      <c r="AH213" s="28">
        <f t="shared" si="269"/>
        <v>222.85297353814394</v>
      </c>
      <c r="AI213" s="28">
        <f t="shared" si="269"/>
        <v>222.85297353814394</v>
      </c>
      <c r="AJ213" s="28">
        <f t="shared" si="269"/>
        <v>222.85297353814394</v>
      </c>
      <c r="AK213" s="28">
        <f t="shared" si="269"/>
        <v>222.85297353814394</v>
      </c>
      <c r="AL213" s="28">
        <f t="shared" si="269"/>
        <v>222.85297353814394</v>
      </c>
      <c r="AM213" s="28">
        <f t="shared" si="269"/>
        <v>222.85297353814394</v>
      </c>
    </row>
    <row r="214" spans="1:39" x14ac:dyDescent="0.45">
      <c r="A214" s="9" t="str">
        <v>WN348</v>
      </c>
      <c r="B214" t="s">
        <v>298</v>
      </c>
      <c r="C214" t="s">
        <v>265</v>
      </c>
      <c r="E214" s="46"/>
      <c r="F214" s="46"/>
      <c r="G214" s="46"/>
      <c r="H214" s="46"/>
      <c r="I214" s="46"/>
      <c r="J214" s="70">
        <f t="shared" si="258"/>
        <v>6.3149581205096394E-2</v>
      </c>
      <c r="K214" s="70">
        <f t="shared" si="259"/>
        <v>0.28614498892797813</v>
      </c>
      <c r="L214" s="70">
        <f t="shared" si="260"/>
        <v>-9.7281865588123684E-2</v>
      </c>
      <c r="M214" s="70">
        <f t="shared" si="261"/>
        <v>-0.29365430954471372</v>
      </c>
      <c r="N214" s="70">
        <f t="shared" si="262"/>
        <v>-0.44099254501369034</v>
      </c>
      <c r="O214" s="70">
        <f t="shared" si="263"/>
        <v>0</v>
      </c>
      <c r="P214" s="70">
        <f t="shared" si="264"/>
        <v>0</v>
      </c>
      <c r="Q214" s="70">
        <f t="shared" si="265"/>
        <v>0</v>
      </c>
      <c r="R214" s="70">
        <f t="shared" si="266"/>
        <v>0</v>
      </c>
      <c r="S214" s="70">
        <f t="shared" si="267"/>
        <v>0</v>
      </c>
      <c r="U214" s="9" t="s">
        <v>275</v>
      </c>
      <c r="V214" s="9" t="s">
        <v>299</v>
      </c>
      <c r="W214" t="str">
        <v>WN350</v>
      </c>
      <c r="X214" s="96" t="s">
        <v>300</v>
      </c>
      <c r="Y214" s="28">
        <f t="shared" si="255"/>
        <v>171.98654001928384</v>
      </c>
      <c r="Z214" s="28">
        <f t="shared" si="268"/>
        <v>189.24781410462933</v>
      </c>
      <c r="AA214" s="28">
        <f t="shared" si="268"/>
        <v>199.97890693645741</v>
      </c>
      <c r="AB214" s="28">
        <f t="shared" si="268"/>
        <v>204.68743604626798</v>
      </c>
      <c r="AC214" s="28">
        <f t="shared" si="268"/>
        <v>211.93792298914269</v>
      </c>
      <c r="AD214" s="28">
        <f t="shared" si="269"/>
        <v>211.93792298914269</v>
      </c>
      <c r="AE214" s="28">
        <f t="shared" si="269"/>
        <v>211.93792298914269</v>
      </c>
      <c r="AF214" s="28">
        <f t="shared" si="269"/>
        <v>211.93792298914269</v>
      </c>
      <c r="AG214" s="28">
        <f t="shared" si="269"/>
        <v>211.93792298914269</v>
      </c>
      <c r="AH214" s="28">
        <f t="shared" si="269"/>
        <v>211.93792298914269</v>
      </c>
      <c r="AI214" s="28">
        <f t="shared" si="269"/>
        <v>211.93792298914269</v>
      </c>
      <c r="AJ214" s="28">
        <f t="shared" si="269"/>
        <v>211.93792298914269</v>
      </c>
      <c r="AK214" s="28">
        <f t="shared" si="269"/>
        <v>211.93792298914269</v>
      </c>
      <c r="AL214" s="28">
        <f t="shared" si="269"/>
        <v>211.93792298914269</v>
      </c>
      <c r="AM214" s="28">
        <f t="shared" si="269"/>
        <v>211.93792298914269</v>
      </c>
    </row>
    <row r="215" spans="1:39" x14ac:dyDescent="0.45">
      <c r="A215" s="9" t="str">
        <v>WN350</v>
      </c>
      <c r="B215" t="s">
        <v>300</v>
      </c>
      <c r="C215" t="s">
        <v>265</v>
      </c>
      <c r="E215" s="46"/>
      <c r="F215" s="46"/>
      <c r="G215" s="46"/>
      <c r="H215" s="46"/>
      <c r="I215" s="46"/>
      <c r="J215" s="70">
        <f t="shared" si="258"/>
        <v>5.1970881409127978E-2</v>
      </c>
      <c r="K215" s="70">
        <f t="shared" si="259"/>
        <v>-4.1910519246982081E-2</v>
      </c>
      <c r="L215" s="70">
        <f t="shared" si="260"/>
        <v>-0.17559382015132652</v>
      </c>
      <c r="M215" s="70">
        <f t="shared" si="261"/>
        <v>-0.12933281340943259</v>
      </c>
      <c r="N215" s="70">
        <f t="shared" si="262"/>
        <v>-0.13588146603972695</v>
      </c>
      <c r="O215" s="70">
        <f t="shared" si="263"/>
        <v>-0.19445564668187942</v>
      </c>
      <c r="P215" s="70">
        <f t="shared" si="264"/>
        <v>-0.64335780289735767</v>
      </c>
      <c r="Q215" s="70">
        <f t="shared" si="265"/>
        <v>0</v>
      </c>
      <c r="R215" s="70">
        <f t="shared" si="266"/>
        <v>0</v>
      </c>
      <c r="S215" s="70">
        <f t="shared" si="267"/>
        <v>0</v>
      </c>
      <c r="U215" s="9" t="s">
        <v>275</v>
      </c>
      <c r="V215" s="9" t="s">
        <v>299</v>
      </c>
      <c r="W215" t="str">
        <v>WX349</v>
      </c>
      <c r="X215" s="96" t="s">
        <v>301</v>
      </c>
      <c r="Y215" s="28">
        <f t="shared" si="255"/>
        <v>151.26159943391241</v>
      </c>
      <c r="Z215" s="28">
        <f t="shared" si="268"/>
        <v>166.44283353585871</v>
      </c>
      <c r="AA215" s="28">
        <f t="shared" si="268"/>
        <v>175.88079458347389</v>
      </c>
      <c r="AB215" s="28">
        <f t="shared" si="268"/>
        <v>180.02193053545727</v>
      </c>
      <c r="AC215" s="28">
        <f t="shared" si="268"/>
        <v>186.39871008768827</v>
      </c>
      <c r="AD215" s="28">
        <f t="shared" si="269"/>
        <v>186.39871008768827</v>
      </c>
      <c r="AE215" s="28">
        <f t="shared" si="269"/>
        <v>186.39871008768827</v>
      </c>
      <c r="AF215" s="28">
        <f t="shared" si="269"/>
        <v>186.39871008768827</v>
      </c>
      <c r="AG215" s="28">
        <f t="shared" si="269"/>
        <v>186.39871008768827</v>
      </c>
      <c r="AH215" s="28">
        <f t="shared" si="269"/>
        <v>186.39871008768827</v>
      </c>
      <c r="AI215" s="28">
        <f t="shared" si="269"/>
        <v>186.39871008768827</v>
      </c>
      <c r="AJ215" s="28">
        <f t="shared" si="269"/>
        <v>186.39871008768827</v>
      </c>
      <c r="AK215" s="28">
        <f t="shared" si="269"/>
        <v>186.39871008768827</v>
      </c>
      <c r="AL215" s="28">
        <f t="shared" si="269"/>
        <v>186.39871008768827</v>
      </c>
      <c r="AM215" s="28">
        <f t="shared" si="269"/>
        <v>186.39871008768827</v>
      </c>
    </row>
    <row r="216" spans="1:39" x14ac:dyDescent="0.45">
      <c r="A216" s="9" t="str">
        <v>WX349</v>
      </c>
      <c r="B216" t="s">
        <v>301</v>
      </c>
      <c r="C216" t="s">
        <v>265</v>
      </c>
      <c r="E216" s="46"/>
      <c r="F216" s="46"/>
      <c r="G216" s="46"/>
      <c r="H216" s="46"/>
      <c r="I216" s="46"/>
      <c r="J216" s="70">
        <f t="shared" si="258"/>
        <v>6.3149581205096394E-2</v>
      </c>
      <c r="K216" s="70">
        <f t="shared" si="259"/>
        <v>0.28614498892797791</v>
      </c>
      <c r="L216" s="70">
        <f t="shared" si="260"/>
        <v>-9.7281865588123573E-2</v>
      </c>
      <c r="M216" s="70">
        <f t="shared" si="261"/>
        <v>-0.29365430954471383</v>
      </c>
      <c r="N216" s="70">
        <f t="shared" si="262"/>
        <v>-0.44099254501369034</v>
      </c>
      <c r="O216" s="70">
        <f t="shared" si="263"/>
        <v>0</v>
      </c>
      <c r="P216" s="70">
        <f t="shared" si="264"/>
        <v>0</v>
      </c>
      <c r="Q216" s="70">
        <f t="shared" si="265"/>
        <v>0</v>
      </c>
      <c r="R216" s="70">
        <f t="shared" si="266"/>
        <v>0</v>
      </c>
      <c r="S216" s="70">
        <f t="shared" si="267"/>
        <v>0</v>
      </c>
      <c r="U216" s="9" t="s">
        <v>275</v>
      </c>
      <c r="V216" s="9" t="s">
        <v>299</v>
      </c>
      <c r="W216" t="str">
        <v>WX351</v>
      </c>
      <c r="X216" s="96" t="s">
        <v>302</v>
      </c>
      <c r="Y216" s="28">
        <f t="shared" si="255"/>
        <v>144.09369317975103</v>
      </c>
      <c r="Z216" s="28">
        <f t="shared" si="268"/>
        <v>158.55552683060813</v>
      </c>
      <c r="AA216" s="28">
        <f t="shared" si="268"/>
        <v>167.5462466730998</v>
      </c>
      <c r="AB216" s="28">
        <f t="shared" si="268"/>
        <v>171.49114462151425</v>
      </c>
      <c r="AC216" s="28">
        <f t="shared" si="268"/>
        <v>177.56574465029115</v>
      </c>
      <c r="AD216" s="28">
        <f t="shared" si="269"/>
        <v>177.56574465029115</v>
      </c>
      <c r="AE216" s="28">
        <f t="shared" ref="AE216:AM230" si="270">AD216*(1+AE$190)</f>
        <v>177.56574465029115</v>
      </c>
      <c r="AF216" s="28">
        <f t="shared" si="270"/>
        <v>177.56574465029115</v>
      </c>
      <c r="AG216" s="28">
        <f t="shared" si="270"/>
        <v>177.56574465029115</v>
      </c>
      <c r="AH216" s="28">
        <f t="shared" si="270"/>
        <v>177.56574465029115</v>
      </c>
      <c r="AI216" s="28">
        <f t="shared" si="270"/>
        <v>177.56574465029115</v>
      </c>
      <c r="AJ216" s="28">
        <f t="shared" si="270"/>
        <v>177.56574465029115</v>
      </c>
      <c r="AK216" s="28">
        <f t="shared" si="270"/>
        <v>177.56574465029115</v>
      </c>
      <c r="AL216" s="28">
        <f t="shared" si="270"/>
        <v>177.56574465029115</v>
      </c>
      <c r="AM216" s="28">
        <f t="shared" si="270"/>
        <v>177.56574465029115</v>
      </c>
    </row>
    <row r="217" spans="1:39" x14ac:dyDescent="0.45">
      <c r="A217" s="9" t="str">
        <v>WX351</v>
      </c>
      <c r="B217" t="s">
        <v>302</v>
      </c>
      <c r="C217" t="s">
        <v>265</v>
      </c>
      <c r="E217" s="46"/>
      <c r="F217" s="46"/>
      <c r="G217" s="46"/>
      <c r="H217" s="46"/>
      <c r="I217" s="46"/>
      <c r="J217" s="70">
        <f t="shared" si="258"/>
        <v>5.1970881409127978E-2</v>
      </c>
      <c r="K217" s="70">
        <f t="shared" si="259"/>
        <v>-4.1910519246982192E-2</v>
      </c>
      <c r="L217" s="70">
        <f t="shared" si="260"/>
        <v>-0.17559382015132652</v>
      </c>
      <c r="M217" s="70">
        <f t="shared" si="261"/>
        <v>-0.12933281340943259</v>
      </c>
      <c r="N217" s="70">
        <f t="shared" si="262"/>
        <v>-0.13588146603972695</v>
      </c>
      <c r="O217" s="70">
        <f t="shared" si="263"/>
        <v>-0.19445564668187931</v>
      </c>
      <c r="P217" s="70">
        <f t="shared" si="264"/>
        <v>-0.64335780289735767</v>
      </c>
      <c r="Q217" s="70">
        <f t="shared" si="265"/>
        <v>0</v>
      </c>
      <c r="R217" s="70">
        <f t="shared" si="266"/>
        <v>0</v>
      </c>
      <c r="S217" s="70">
        <f t="shared" si="267"/>
        <v>0</v>
      </c>
      <c r="U217" s="9" t="s">
        <v>3</v>
      </c>
      <c r="V217" s="9" t="s">
        <v>299</v>
      </c>
      <c r="W217" t="str">
        <v>WX355</v>
      </c>
      <c r="X217" t="s">
        <v>303</v>
      </c>
      <c r="Y217" s="28">
        <f t="shared" si="255"/>
        <v>53.019763686757166</v>
      </c>
      <c r="Z217" s="28">
        <f t="shared" si="268"/>
        <v>58.341044484863509</v>
      </c>
      <c r="AA217" s="28">
        <f t="shared" si="268"/>
        <v>61.649210379592162</v>
      </c>
      <c r="AB217" s="28">
        <f t="shared" si="268"/>
        <v>63.100748974917025</v>
      </c>
      <c r="AC217" s="28">
        <f t="shared" si="268"/>
        <v>65.3359186822792</v>
      </c>
      <c r="AD217" s="28">
        <f t="shared" si="269"/>
        <v>65.3359186822792</v>
      </c>
      <c r="AE217" s="28">
        <f t="shared" si="270"/>
        <v>65.3359186822792</v>
      </c>
      <c r="AF217" s="28">
        <f t="shared" si="270"/>
        <v>65.3359186822792</v>
      </c>
      <c r="AG217" s="28">
        <f t="shared" si="270"/>
        <v>65.3359186822792</v>
      </c>
      <c r="AH217" s="28">
        <f t="shared" si="270"/>
        <v>65.3359186822792</v>
      </c>
      <c r="AI217" s="28">
        <f t="shared" si="270"/>
        <v>65.3359186822792</v>
      </c>
      <c r="AJ217" s="28">
        <f t="shared" si="270"/>
        <v>65.3359186822792</v>
      </c>
      <c r="AK217" s="28">
        <f t="shared" si="270"/>
        <v>65.3359186822792</v>
      </c>
      <c r="AL217" s="28">
        <f t="shared" si="270"/>
        <v>65.3359186822792</v>
      </c>
      <c r="AM217" s="28">
        <f t="shared" si="270"/>
        <v>65.3359186822792</v>
      </c>
    </row>
    <row r="218" spans="1:39" x14ac:dyDescent="0.45">
      <c r="A218" s="9" t="str">
        <v>WX355</v>
      </c>
      <c r="B218" t="s">
        <v>303</v>
      </c>
      <c r="C218" t="s">
        <v>265</v>
      </c>
      <c r="E218" s="46"/>
      <c r="F218" s="46"/>
      <c r="G218" s="46"/>
      <c r="H218" s="46"/>
      <c r="I218" s="46"/>
      <c r="J218" s="70">
        <f t="shared" si="258"/>
        <v>-4.0112617245613214E-2</v>
      </c>
      <c r="K218" s="70">
        <f t="shared" si="259"/>
        <v>-0.28270510075751865</v>
      </c>
      <c r="L218" s="70">
        <f t="shared" si="260"/>
        <v>-5.6196599468093855E-2</v>
      </c>
      <c r="M218" s="70">
        <f t="shared" si="261"/>
        <v>-0.19253256585623801</v>
      </c>
      <c r="N218" s="70">
        <f t="shared" si="262"/>
        <v>0</v>
      </c>
      <c r="O218" s="70">
        <f t="shared" si="263"/>
        <v>0</v>
      </c>
      <c r="P218" s="70">
        <f t="shared" si="264"/>
        <v>0</v>
      </c>
      <c r="Q218" s="70">
        <f t="shared" si="265"/>
        <v>0</v>
      </c>
      <c r="R218" s="70">
        <f t="shared" si="266"/>
        <v>0</v>
      </c>
      <c r="S218" s="70">
        <f t="shared" si="267"/>
        <v>0</v>
      </c>
      <c r="U218" s="9" t="s">
        <v>3</v>
      </c>
      <c r="V218" s="9" t="s">
        <v>299</v>
      </c>
      <c r="W218" t="str">
        <v>WN354</v>
      </c>
      <c r="X218" t="s">
        <v>304</v>
      </c>
      <c r="Y218" s="28">
        <f t="shared" si="255"/>
        <v>17.601264416343785</v>
      </c>
      <c r="Z218" s="28">
        <f t="shared" si="268"/>
        <v>19.367799456266578</v>
      </c>
      <c r="AA218" s="28">
        <f t="shared" si="268"/>
        <v>20.466029599091474</v>
      </c>
      <c r="AB218" s="28">
        <f t="shared" si="268"/>
        <v>20.947904900871109</v>
      </c>
      <c r="AC218" s="28">
        <f t="shared" si="268"/>
        <v>21.689926560324675</v>
      </c>
      <c r="AD218" s="28">
        <f t="shared" si="269"/>
        <v>21.689926560324675</v>
      </c>
      <c r="AE218" s="28">
        <f t="shared" si="270"/>
        <v>21.689926560324675</v>
      </c>
      <c r="AF218" s="28">
        <f t="shared" si="270"/>
        <v>21.689926560324675</v>
      </c>
      <c r="AG218" s="28">
        <f t="shared" si="270"/>
        <v>21.689926560324675</v>
      </c>
      <c r="AH218" s="28">
        <f t="shared" si="270"/>
        <v>21.689926560324675</v>
      </c>
      <c r="AI218" s="28">
        <f t="shared" si="270"/>
        <v>21.689926560324675</v>
      </c>
      <c r="AJ218" s="28">
        <f t="shared" si="270"/>
        <v>21.689926560324675</v>
      </c>
      <c r="AK218" s="28">
        <f t="shared" si="270"/>
        <v>21.689926560324675</v>
      </c>
      <c r="AL218" s="28">
        <f t="shared" si="270"/>
        <v>21.689926560324675</v>
      </c>
      <c r="AM218" s="28">
        <f t="shared" si="270"/>
        <v>21.689926560324675</v>
      </c>
    </row>
    <row r="219" spans="1:39" x14ac:dyDescent="0.45">
      <c r="A219" s="9" t="str">
        <v>WN354</v>
      </c>
      <c r="B219" t="s">
        <v>304</v>
      </c>
      <c r="C219" t="s">
        <v>265</v>
      </c>
      <c r="E219" s="46"/>
      <c r="F219" s="46"/>
      <c r="G219" s="46"/>
      <c r="H219" s="46"/>
      <c r="I219" s="46"/>
      <c r="J219" s="70">
        <f t="shared" si="258"/>
        <v>-4.0194262564004823E-2</v>
      </c>
      <c r="K219" s="70">
        <f t="shared" si="259"/>
        <v>-0.28377930210720603</v>
      </c>
      <c r="L219" s="70">
        <f t="shared" si="260"/>
        <v>-5.6724181522324391E-2</v>
      </c>
      <c r="M219" s="70">
        <f t="shared" si="261"/>
        <v>-0.19156342509367019</v>
      </c>
      <c r="N219" s="70">
        <f t="shared" si="262"/>
        <v>0</v>
      </c>
      <c r="O219" s="70">
        <f t="shared" si="263"/>
        <v>0</v>
      </c>
      <c r="P219" s="70">
        <f t="shared" si="264"/>
        <v>0</v>
      </c>
      <c r="Q219" s="70">
        <f t="shared" si="265"/>
        <v>0</v>
      </c>
      <c r="R219" s="70">
        <f t="shared" si="266"/>
        <v>0</v>
      </c>
      <c r="S219" s="70">
        <f t="shared" si="267"/>
        <v>0</v>
      </c>
      <c r="U219" s="9" t="s">
        <v>275</v>
      </c>
      <c r="V219" s="9" t="s">
        <v>261</v>
      </c>
      <c r="W219" t="str">
        <v>WN158</v>
      </c>
      <c r="X219" t="s">
        <v>305</v>
      </c>
      <c r="Y219" s="28">
        <f t="shared" si="255"/>
        <v>6.4913079059459244</v>
      </c>
      <c r="Z219" s="28">
        <f t="shared" si="268"/>
        <v>7.1428021736039593</v>
      </c>
      <c r="AA219" s="28">
        <f t="shared" si="268"/>
        <v>7.5478270536374481</v>
      </c>
      <c r="AB219" s="28">
        <f t="shared" si="268"/>
        <v>7.7255416133492893</v>
      </c>
      <c r="AC219" s="28">
        <f t="shared" si="268"/>
        <v>7.999197582060348</v>
      </c>
      <c r="AD219" s="28">
        <f t="shared" si="269"/>
        <v>7.999197582060348</v>
      </c>
      <c r="AE219" s="28">
        <f t="shared" si="270"/>
        <v>7.999197582060348</v>
      </c>
      <c r="AF219" s="28">
        <f t="shared" si="270"/>
        <v>7.999197582060348</v>
      </c>
      <c r="AG219" s="28">
        <f t="shared" si="270"/>
        <v>7.999197582060348</v>
      </c>
      <c r="AH219" s="28">
        <f t="shared" si="270"/>
        <v>7.999197582060348</v>
      </c>
      <c r="AI219" s="28">
        <f t="shared" si="270"/>
        <v>7.999197582060348</v>
      </c>
      <c r="AJ219" s="28">
        <f t="shared" si="270"/>
        <v>7.999197582060348</v>
      </c>
      <c r="AK219" s="28">
        <f t="shared" si="270"/>
        <v>7.999197582060348</v>
      </c>
      <c r="AL219" s="28">
        <f t="shared" si="270"/>
        <v>7.999197582060348</v>
      </c>
      <c r="AM219" s="28">
        <f t="shared" si="270"/>
        <v>7.999197582060348</v>
      </c>
    </row>
    <row r="220" spans="1:39" x14ac:dyDescent="0.45">
      <c r="A220" s="9" t="str">
        <v>WN158</v>
      </c>
      <c r="B220" t="s">
        <v>305</v>
      </c>
      <c r="C220" t="s">
        <v>261</v>
      </c>
      <c r="E220" s="46"/>
      <c r="F220" s="46"/>
      <c r="G220" s="46"/>
      <c r="H220" s="46"/>
      <c r="I220" s="46"/>
      <c r="J220" s="70">
        <f t="shared" si="258"/>
        <v>-1.9177716216603913E-2</v>
      </c>
      <c r="K220" s="70">
        <f t="shared" si="259"/>
        <v>-2.0976468408906657E-2</v>
      </c>
      <c r="L220" s="70">
        <f t="shared" si="260"/>
        <v>-0.22373232249747599</v>
      </c>
      <c r="M220" s="70">
        <f t="shared" si="261"/>
        <v>-0.27249734575129358</v>
      </c>
      <c r="N220" s="70">
        <f t="shared" si="262"/>
        <v>-0.30861541871638964</v>
      </c>
      <c r="O220" s="70">
        <f t="shared" si="263"/>
        <v>0</v>
      </c>
      <c r="P220" s="70">
        <f t="shared" si="264"/>
        <v>0</v>
      </c>
      <c r="Q220" s="70">
        <f t="shared" si="265"/>
        <v>0</v>
      </c>
      <c r="R220" s="70">
        <f t="shared" si="266"/>
        <v>0</v>
      </c>
      <c r="S220" s="70">
        <f t="shared" si="267"/>
        <v>0</v>
      </c>
      <c r="U220" s="9" t="s">
        <v>275</v>
      </c>
      <c r="V220" s="9" t="s">
        <v>261</v>
      </c>
      <c r="W220" t="str">
        <v>WX135</v>
      </c>
      <c r="X220" t="s">
        <v>306</v>
      </c>
      <c r="Y220" s="28">
        <f t="shared" si="255"/>
        <v>6.0750772131464279</v>
      </c>
      <c r="Z220" s="28">
        <f t="shared" si="268"/>
        <v>6.6847968624515399</v>
      </c>
      <c r="AA220" s="28">
        <f t="shared" si="268"/>
        <v>7.0638510461538697</v>
      </c>
      <c r="AB220" s="28">
        <f t="shared" si="268"/>
        <v>7.2301703284607273</v>
      </c>
      <c r="AC220" s="28">
        <f t="shared" si="268"/>
        <v>7.486279137940441</v>
      </c>
      <c r="AD220" s="28">
        <f t="shared" si="269"/>
        <v>7.486279137940441</v>
      </c>
      <c r="AE220" s="28">
        <f t="shared" si="270"/>
        <v>7.486279137940441</v>
      </c>
      <c r="AF220" s="28">
        <f t="shared" si="270"/>
        <v>7.486279137940441</v>
      </c>
      <c r="AG220" s="28">
        <f t="shared" si="270"/>
        <v>7.486279137940441</v>
      </c>
      <c r="AH220" s="28">
        <f t="shared" si="270"/>
        <v>7.486279137940441</v>
      </c>
      <c r="AI220" s="28">
        <f t="shared" si="270"/>
        <v>7.486279137940441</v>
      </c>
      <c r="AJ220" s="28">
        <f t="shared" si="270"/>
        <v>7.486279137940441</v>
      </c>
      <c r="AK220" s="28">
        <f t="shared" si="270"/>
        <v>7.486279137940441</v>
      </c>
      <c r="AL220" s="28">
        <f t="shared" si="270"/>
        <v>7.486279137940441</v>
      </c>
      <c r="AM220" s="28">
        <f t="shared" si="270"/>
        <v>7.486279137940441</v>
      </c>
    </row>
    <row r="221" spans="1:39" x14ac:dyDescent="0.45">
      <c r="A221" s="9" t="str">
        <v>WX135</v>
      </c>
      <c r="B221" t="s">
        <v>306</v>
      </c>
      <c r="C221" t="s">
        <v>261</v>
      </c>
      <c r="E221" s="46"/>
      <c r="F221" s="46"/>
      <c r="G221" s="46"/>
      <c r="H221" s="46"/>
      <c r="I221" s="46"/>
      <c r="J221" s="70">
        <f t="shared" si="258"/>
        <v>-1.9177716216603913E-2</v>
      </c>
      <c r="K221" s="70">
        <f t="shared" si="259"/>
        <v>-2.0976468408906657E-2</v>
      </c>
      <c r="L221" s="70">
        <f t="shared" si="260"/>
        <v>-0.22373232249747588</v>
      </c>
      <c r="M221" s="70">
        <f t="shared" si="261"/>
        <v>-0.27249734575129347</v>
      </c>
      <c r="N221" s="70">
        <f t="shared" si="262"/>
        <v>-0.30861541871638976</v>
      </c>
      <c r="O221" s="70">
        <f t="shared" si="263"/>
        <v>0</v>
      </c>
      <c r="P221" s="70">
        <f t="shared" si="264"/>
        <v>0</v>
      </c>
      <c r="Q221" s="70">
        <f t="shared" si="265"/>
        <v>0</v>
      </c>
      <c r="R221" s="70">
        <f t="shared" si="266"/>
        <v>0</v>
      </c>
      <c r="S221" s="70">
        <f t="shared" si="267"/>
        <v>0</v>
      </c>
      <c r="U221" s="9" t="s">
        <v>3</v>
      </c>
      <c r="V221" s="9" t="s">
        <v>261</v>
      </c>
      <c r="W221" t="str">
        <v>WN138</v>
      </c>
      <c r="X221" t="s">
        <v>307</v>
      </c>
      <c r="Y221" s="28">
        <f t="shared" si="255"/>
        <v>29.298171600968882</v>
      </c>
      <c r="Z221" s="28">
        <f t="shared" si="268"/>
        <v>32.238656188583157</v>
      </c>
      <c r="AA221" s="28">
        <f t="shared" si="268"/>
        <v>34.066714356493122</v>
      </c>
      <c r="AB221" s="28">
        <f t="shared" si="268"/>
        <v>34.868819531886032</v>
      </c>
      <c r="AC221" s="28">
        <f t="shared" si="268"/>
        <v>36.103951133574803</v>
      </c>
      <c r="AD221" s="28">
        <f t="shared" si="269"/>
        <v>36.103951133574803</v>
      </c>
      <c r="AE221" s="28">
        <f t="shared" si="270"/>
        <v>36.103951133574803</v>
      </c>
      <c r="AF221" s="28">
        <f t="shared" si="270"/>
        <v>36.103951133574803</v>
      </c>
      <c r="AG221" s="28">
        <f t="shared" si="270"/>
        <v>36.103951133574803</v>
      </c>
      <c r="AH221" s="28">
        <f t="shared" si="270"/>
        <v>36.103951133574803</v>
      </c>
      <c r="AI221" s="28">
        <f t="shared" si="270"/>
        <v>36.103951133574803</v>
      </c>
      <c r="AJ221" s="28">
        <f t="shared" si="270"/>
        <v>36.103951133574803</v>
      </c>
      <c r="AK221" s="28">
        <f t="shared" si="270"/>
        <v>36.103951133574803</v>
      </c>
      <c r="AL221" s="28">
        <f t="shared" si="270"/>
        <v>36.103951133574803</v>
      </c>
      <c r="AM221" s="28">
        <f t="shared" si="270"/>
        <v>36.103951133574803</v>
      </c>
    </row>
    <row r="222" spans="1:39" x14ac:dyDescent="0.45">
      <c r="A222" s="9" t="str">
        <v>WN138</v>
      </c>
      <c r="B222" t="s">
        <v>307</v>
      </c>
      <c r="C222" t="s">
        <v>261</v>
      </c>
      <c r="E222" s="46"/>
      <c r="F222" s="46"/>
      <c r="G222" s="46"/>
      <c r="H222" s="46"/>
      <c r="I222" s="46"/>
      <c r="J222" s="70">
        <f t="shared" si="258"/>
        <v>-0.18133268965568761</v>
      </c>
      <c r="K222" s="70">
        <f t="shared" si="259"/>
        <v>-0.21658292442506177</v>
      </c>
      <c r="L222" s="70">
        <f t="shared" si="260"/>
        <v>-0.24672024747617205</v>
      </c>
      <c r="M222" s="70">
        <f t="shared" si="261"/>
        <v>-0.2724973457512937</v>
      </c>
      <c r="N222" s="70">
        <f t="shared" si="262"/>
        <v>-0.30861541871638964</v>
      </c>
      <c r="O222" s="70">
        <f t="shared" si="263"/>
        <v>0</v>
      </c>
      <c r="P222" s="70">
        <f t="shared" si="264"/>
        <v>0</v>
      </c>
      <c r="Q222" s="70">
        <f t="shared" si="265"/>
        <v>0</v>
      </c>
      <c r="R222" s="70">
        <f t="shared" si="266"/>
        <v>0</v>
      </c>
      <c r="S222" s="70">
        <f t="shared" si="267"/>
        <v>0</v>
      </c>
      <c r="U222" s="9" t="s">
        <v>3</v>
      </c>
      <c r="V222" s="9" t="s">
        <v>261</v>
      </c>
      <c r="W222" t="str">
        <v>WX134</v>
      </c>
      <c r="X222" t="s">
        <v>308</v>
      </c>
      <c r="Y222" s="28">
        <f t="shared" si="255"/>
        <v>32.060367056645738</v>
      </c>
      <c r="Z222" s="28">
        <f t="shared" si="268"/>
        <v>35.278076901727182</v>
      </c>
      <c r="AA222" s="28">
        <f t="shared" si="268"/>
        <v>37.278482137327437</v>
      </c>
      <c r="AB222" s="28">
        <f t="shared" si="268"/>
        <v>38.156208798614436</v>
      </c>
      <c r="AC222" s="28">
        <f t="shared" si="268"/>
        <v>39.507787083182038</v>
      </c>
      <c r="AD222" s="28">
        <f t="shared" si="269"/>
        <v>39.507787083182038</v>
      </c>
      <c r="AE222" s="28">
        <f t="shared" si="270"/>
        <v>39.507787083182038</v>
      </c>
      <c r="AF222" s="28">
        <f t="shared" si="270"/>
        <v>39.507787083182038</v>
      </c>
      <c r="AG222" s="28">
        <f t="shared" si="270"/>
        <v>39.507787083182038</v>
      </c>
      <c r="AH222" s="28">
        <f t="shared" si="270"/>
        <v>39.507787083182038</v>
      </c>
      <c r="AI222" s="28">
        <f t="shared" si="270"/>
        <v>39.507787083182038</v>
      </c>
      <c r="AJ222" s="28">
        <f t="shared" si="270"/>
        <v>39.507787083182038</v>
      </c>
      <c r="AK222" s="28">
        <f t="shared" si="270"/>
        <v>39.507787083182038</v>
      </c>
      <c r="AL222" s="28">
        <f t="shared" si="270"/>
        <v>39.507787083182038</v>
      </c>
      <c r="AM222" s="28">
        <f t="shared" si="270"/>
        <v>39.507787083182038</v>
      </c>
    </row>
    <row r="223" spans="1:39" x14ac:dyDescent="0.45">
      <c r="A223" s="9" t="str">
        <v>WX134</v>
      </c>
      <c r="B223" t="s">
        <v>308</v>
      </c>
      <c r="C223" t="s">
        <v>261</v>
      </c>
      <c r="E223" s="46"/>
      <c r="F223" s="46"/>
      <c r="G223" s="46"/>
      <c r="H223" s="46"/>
      <c r="I223" s="46"/>
      <c r="J223" s="70">
        <f t="shared" si="258"/>
        <v>-0.18133268965568772</v>
      </c>
      <c r="K223" s="70">
        <f t="shared" si="259"/>
        <v>-0.21658292442506166</v>
      </c>
      <c r="L223" s="70">
        <f t="shared" si="260"/>
        <v>-0.24672024747617216</v>
      </c>
      <c r="M223" s="70">
        <f t="shared" si="261"/>
        <v>-0.27249734575129358</v>
      </c>
      <c r="N223" s="70">
        <f t="shared" si="262"/>
        <v>-0.30861541871638964</v>
      </c>
      <c r="O223" s="70">
        <f t="shared" si="263"/>
        <v>0</v>
      </c>
      <c r="P223" s="70">
        <f t="shared" si="264"/>
        <v>0</v>
      </c>
      <c r="Q223" s="70">
        <f t="shared" si="265"/>
        <v>0</v>
      </c>
      <c r="R223" s="70">
        <f t="shared" si="266"/>
        <v>0</v>
      </c>
      <c r="S223" s="70">
        <f t="shared" si="267"/>
        <v>0</v>
      </c>
      <c r="U223" s="9" t="s">
        <v>275</v>
      </c>
      <c r="V223" s="9" t="s">
        <v>261</v>
      </c>
      <c r="W223" t="str">
        <v>SL121</v>
      </c>
      <c r="X223" t="s">
        <v>309</v>
      </c>
      <c r="Y223" s="28">
        <f t="shared" si="255"/>
        <v>145.35393573098497</v>
      </c>
      <c r="Z223" s="28">
        <f t="shared" si="268"/>
        <v>159.94225248969707</v>
      </c>
      <c r="AA223" s="28">
        <f t="shared" si="268"/>
        <v>169.01160511244231</v>
      </c>
      <c r="AB223" s="28">
        <f t="shared" si="268"/>
        <v>172.99100511396651</v>
      </c>
      <c r="AC223" s="28">
        <f t="shared" si="268"/>
        <v>179.11873355710392</v>
      </c>
      <c r="AD223" s="28">
        <f t="shared" si="269"/>
        <v>179.11873355710392</v>
      </c>
      <c r="AE223" s="28">
        <f t="shared" si="270"/>
        <v>179.11873355710392</v>
      </c>
      <c r="AF223" s="28">
        <f t="shared" si="270"/>
        <v>179.11873355710392</v>
      </c>
      <c r="AG223" s="28">
        <f t="shared" si="270"/>
        <v>179.11873355710392</v>
      </c>
      <c r="AH223" s="28">
        <f t="shared" si="270"/>
        <v>179.11873355710392</v>
      </c>
      <c r="AI223" s="28">
        <f t="shared" si="270"/>
        <v>179.11873355710392</v>
      </c>
      <c r="AJ223" s="28">
        <f t="shared" si="270"/>
        <v>179.11873355710392</v>
      </c>
      <c r="AK223" s="28">
        <f t="shared" si="270"/>
        <v>179.11873355710392</v>
      </c>
      <c r="AL223" s="28">
        <f t="shared" si="270"/>
        <v>179.11873355710392</v>
      </c>
      <c r="AM223" s="28">
        <f t="shared" si="270"/>
        <v>179.11873355710392</v>
      </c>
    </row>
    <row r="224" spans="1:39" x14ac:dyDescent="0.45">
      <c r="A224" s="9" t="str">
        <v>SL121</v>
      </c>
      <c r="B224" t="s">
        <v>309</v>
      </c>
      <c r="C224" t="s">
        <v>261</v>
      </c>
      <c r="E224" s="46"/>
      <c r="F224" s="46"/>
      <c r="G224" s="46"/>
      <c r="H224" s="46"/>
      <c r="I224" s="46"/>
      <c r="J224" s="70">
        <f t="shared" si="258"/>
        <v>-8.8115039463343092E-2</v>
      </c>
      <c r="K224" s="70">
        <f t="shared" si="259"/>
        <v>-8.5684569288372869E-2</v>
      </c>
      <c r="L224" s="70">
        <f t="shared" si="260"/>
        <v>-0.22443399180625456</v>
      </c>
      <c r="M224" s="70">
        <f t="shared" si="261"/>
        <v>-0.34067156937776621</v>
      </c>
      <c r="N224" s="70">
        <f t="shared" si="262"/>
        <v>-0.53322646757386249</v>
      </c>
      <c r="O224" s="70">
        <f t="shared" si="263"/>
        <v>-0.61541149284047125</v>
      </c>
      <c r="P224" s="70">
        <f t="shared" si="264"/>
        <v>-0.1889082119034321</v>
      </c>
      <c r="Q224" s="70">
        <f t="shared" si="265"/>
        <v>0</v>
      </c>
      <c r="R224" s="70">
        <f t="shared" si="266"/>
        <v>0</v>
      </c>
      <c r="S224" s="70">
        <f t="shared" si="267"/>
        <v>0</v>
      </c>
      <c r="U224" s="9" t="s">
        <v>275</v>
      </c>
      <c r="V224" s="9" t="s">
        <v>261</v>
      </c>
      <c r="W224" t="str">
        <v>SL122</v>
      </c>
      <c r="X224" t="s">
        <v>310</v>
      </c>
      <c r="Y224" s="28">
        <f t="shared" si="255"/>
        <v>80.230698183121405</v>
      </c>
      <c r="Z224" s="28">
        <f t="shared" si="268"/>
        <v>88.282979897970776</v>
      </c>
      <c r="AA224" s="28">
        <f t="shared" si="268"/>
        <v>93.288970890457293</v>
      </c>
      <c r="AB224" s="28">
        <f t="shared" si="268"/>
        <v>95.485471720425139</v>
      </c>
      <c r="AC224" s="28">
        <f t="shared" si="268"/>
        <v>98.867780763500377</v>
      </c>
      <c r="AD224" s="28">
        <f t="shared" si="269"/>
        <v>98.867780763500377</v>
      </c>
      <c r="AE224" s="28">
        <f t="shared" si="270"/>
        <v>98.867780763500377</v>
      </c>
      <c r="AF224" s="28">
        <f t="shared" si="270"/>
        <v>98.867780763500377</v>
      </c>
      <c r="AG224" s="28">
        <f t="shared" si="270"/>
        <v>98.867780763500377</v>
      </c>
      <c r="AH224" s="28">
        <f t="shared" si="270"/>
        <v>98.867780763500377</v>
      </c>
      <c r="AI224" s="28">
        <f t="shared" si="270"/>
        <v>98.867780763500377</v>
      </c>
      <c r="AJ224" s="28">
        <f t="shared" si="270"/>
        <v>98.867780763500377</v>
      </c>
      <c r="AK224" s="28">
        <f t="shared" si="270"/>
        <v>98.867780763500377</v>
      </c>
      <c r="AL224" s="28">
        <f t="shared" si="270"/>
        <v>98.867780763500377</v>
      </c>
      <c r="AM224" s="28">
        <f t="shared" si="270"/>
        <v>98.867780763500377</v>
      </c>
    </row>
    <row r="225" spans="1:39" x14ac:dyDescent="0.45">
      <c r="A225" s="9" t="str">
        <v>SL122</v>
      </c>
      <c r="B225" t="s">
        <v>310</v>
      </c>
      <c r="C225" t="s">
        <v>261</v>
      </c>
      <c r="E225" s="46"/>
      <c r="F225" s="46"/>
      <c r="G225" s="46"/>
      <c r="H225" s="46"/>
      <c r="I225" s="46"/>
      <c r="J225" s="70">
        <f t="shared" si="258"/>
        <v>-8.8115039463343092E-2</v>
      </c>
      <c r="K225" s="70">
        <f t="shared" si="259"/>
        <v>-8.568456928837298E-2</v>
      </c>
      <c r="L225" s="70">
        <f t="shared" si="260"/>
        <v>-0.22443399180625434</v>
      </c>
      <c r="M225" s="70">
        <f t="shared" si="261"/>
        <v>-0.34067156937776621</v>
      </c>
      <c r="N225" s="70">
        <f t="shared" si="262"/>
        <v>-0.53322646757386249</v>
      </c>
      <c r="O225" s="70">
        <f t="shared" si="263"/>
        <v>-0.61541149284047125</v>
      </c>
      <c r="P225" s="70">
        <f t="shared" si="264"/>
        <v>-0.1889082119034321</v>
      </c>
      <c r="Q225" s="70">
        <f t="shared" si="265"/>
        <v>0</v>
      </c>
      <c r="R225" s="70">
        <f t="shared" si="266"/>
        <v>0</v>
      </c>
      <c r="S225" s="70">
        <f t="shared" si="267"/>
        <v>0</v>
      </c>
      <c r="U225" s="9" t="s">
        <v>275</v>
      </c>
      <c r="V225" s="9" t="s">
        <v>261</v>
      </c>
      <c r="W225" t="str">
        <v>SL150</v>
      </c>
      <c r="X225" t="s">
        <v>311</v>
      </c>
      <c r="Y225" s="28">
        <f t="shared" si="255"/>
        <v>121.54789420467344</v>
      </c>
      <c r="Z225" s="28">
        <f t="shared" si="268"/>
        <v>133.74693906090579</v>
      </c>
      <c r="AA225" s="28">
        <f t="shared" si="268"/>
        <v>141.33091473759143</v>
      </c>
      <c r="AB225" s="28">
        <f t="shared" si="268"/>
        <v>144.65856932052978</v>
      </c>
      <c r="AC225" s="28">
        <f t="shared" si="268"/>
        <v>149.78269949819421</v>
      </c>
      <c r="AD225" s="28">
        <f t="shared" si="269"/>
        <v>149.78269949819421</v>
      </c>
      <c r="AE225" s="28">
        <f t="shared" si="270"/>
        <v>149.78269949819421</v>
      </c>
      <c r="AF225" s="28">
        <f t="shared" si="270"/>
        <v>149.78269949819421</v>
      </c>
      <c r="AG225" s="28">
        <f t="shared" si="270"/>
        <v>149.78269949819421</v>
      </c>
      <c r="AH225" s="28">
        <f t="shared" si="270"/>
        <v>149.78269949819421</v>
      </c>
      <c r="AI225" s="28">
        <f t="shared" si="270"/>
        <v>149.78269949819421</v>
      </c>
      <c r="AJ225" s="28">
        <f t="shared" si="270"/>
        <v>149.78269949819421</v>
      </c>
      <c r="AK225" s="28">
        <f t="shared" si="270"/>
        <v>149.78269949819421</v>
      </c>
      <c r="AL225" s="28">
        <f t="shared" si="270"/>
        <v>149.78269949819421</v>
      </c>
      <c r="AM225" s="28">
        <f t="shared" si="270"/>
        <v>149.78269949819421</v>
      </c>
    </row>
    <row r="226" spans="1:39" x14ac:dyDescent="0.45">
      <c r="A226" s="9" t="str">
        <v>SL150</v>
      </c>
      <c r="B226" t="s">
        <v>311</v>
      </c>
      <c r="C226" t="s">
        <v>261</v>
      </c>
      <c r="E226" s="46"/>
      <c r="F226" s="46"/>
      <c r="G226" s="46"/>
      <c r="H226" s="46"/>
      <c r="I226" s="46"/>
      <c r="J226" s="70">
        <f t="shared" si="258"/>
        <v>-8.8115039463343203E-2</v>
      </c>
      <c r="K226" s="70">
        <f t="shared" si="259"/>
        <v>-8.5684569288372869E-2</v>
      </c>
      <c r="L226" s="70">
        <f t="shared" si="260"/>
        <v>-0.22443399180625434</v>
      </c>
      <c r="M226" s="70">
        <f t="shared" si="261"/>
        <v>-0.34067156937776621</v>
      </c>
      <c r="N226" s="70">
        <f t="shared" si="262"/>
        <v>-0.53322646757386249</v>
      </c>
      <c r="O226" s="70">
        <f t="shared" si="263"/>
        <v>-0.61541149284047125</v>
      </c>
      <c r="P226" s="70">
        <f t="shared" si="264"/>
        <v>-0.1889082119034321</v>
      </c>
      <c r="Q226" s="70">
        <f t="shared" si="265"/>
        <v>0</v>
      </c>
      <c r="R226" s="70">
        <f t="shared" si="266"/>
        <v>0</v>
      </c>
      <c r="S226" s="70">
        <f t="shared" si="267"/>
        <v>0</v>
      </c>
      <c r="U226" s="9" t="s">
        <v>275</v>
      </c>
      <c r="V226" s="9" t="s">
        <v>261</v>
      </c>
      <c r="W226" t="str">
        <v>SL151</v>
      </c>
      <c r="X226" t="s">
        <v>312</v>
      </c>
      <c r="Y226" s="28">
        <f t="shared" si="255"/>
        <v>80.687641183543434</v>
      </c>
      <c r="Z226" s="28">
        <f t="shared" si="268"/>
        <v>88.785783570808107</v>
      </c>
      <c r="AA226" s="28">
        <f t="shared" si="268"/>
        <v>93.820285502324111</v>
      </c>
      <c r="AB226" s="28">
        <f t="shared" si="268"/>
        <v>96.029296203231681</v>
      </c>
      <c r="AC226" s="28">
        <f t="shared" si="268"/>
        <v>99.430868726215436</v>
      </c>
      <c r="AD226" s="28">
        <f t="shared" si="269"/>
        <v>99.430868726215436</v>
      </c>
      <c r="AE226" s="28">
        <f t="shared" si="270"/>
        <v>99.430868726215436</v>
      </c>
      <c r="AF226" s="28">
        <f t="shared" si="270"/>
        <v>99.430868726215436</v>
      </c>
      <c r="AG226" s="28">
        <f t="shared" si="270"/>
        <v>99.430868726215436</v>
      </c>
      <c r="AH226" s="28">
        <f t="shared" si="270"/>
        <v>99.430868726215436</v>
      </c>
      <c r="AI226" s="28">
        <f t="shared" si="270"/>
        <v>99.430868726215436</v>
      </c>
      <c r="AJ226" s="28">
        <f t="shared" si="270"/>
        <v>99.430868726215436</v>
      </c>
      <c r="AK226" s="28">
        <f t="shared" si="270"/>
        <v>99.430868726215436</v>
      </c>
      <c r="AL226" s="28">
        <f t="shared" si="270"/>
        <v>99.430868726215436</v>
      </c>
      <c r="AM226" s="28">
        <f t="shared" si="270"/>
        <v>99.430868726215436</v>
      </c>
    </row>
    <row r="227" spans="1:39" x14ac:dyDescent="0.45">
      <c r="A227" s="9" t="str">
        <v>SL151</v>
      </c>
      <c r="B227" t="s">
        <v>312</v>
      </c>
      <c r="C227" t="s">
        <v>261</v>
      </c>
      <c r="E227" s="46"/>
      <c r="F227" s="46"/>
      <c r="G227" s="46"/>
      <c r="H227" s="46"/>
      <c r="I227" s="46"/>
      <c r="J227" s="70">
        <f t="shared" si="258"/>
        <v>-8.8115039463343203E-2</v>
      </c>
      <c r="K227" s="70">
        <f t="shared" si="259"/>
        <v>-8.568456928837298E-2</v>
      </c>
      <c r="L227" s="70">
        <f t="shared" si="260"/>
        <v>-0.22443399180625456</v>
      </c>
      <c r="M227" s="70">
        <f t="shared" si="261"/>
        <v>-0.3406715693777661</v>
      </c>
      <c r="N227" s="70">
        <f t="shared" si="262"/>
        <v>-0.53322646757386249</v>
      </c>
      <c r="O227" s="70">
        <f t="shared" si="263"/>
        <v>-0.61541149284047125</v>
      </c>
      <c r="P227" s="70">
        <f t="shared" si="264"/>
        <v>-0.1889082119034321</v>
      </c>
      <c r="Q227" s="70">
        <f t="shared" si="265"/>
        <v>0</v>
      </c>
      <c r="R227" s="70">
        <f t="shared" si="266"/>
        <v>0</v>
      </c>
      <c r="S227" s="70">
        <f t="shared" si="267"/>
        <v>0</v>
      </c>
      <c r="U227" s="9" t="s">
        <v>3</v>
      </c>
      <c r="V227" s="9" t="s">
        <v>261</v>
      </c>
      <c r="W227" t="str">
        <v>SL111</v>
      </c>
      <c r="X227" t="s">
        <v>313</v>
      </c>
      <c r="Y227" s="28">
        <f t="shared" si="255"/>
        <v>33.741445049773063</v>
      </c>
      <c r="Z227" s="28">
        <f t="shared" si="268"/>
        <v>37.127874772555167</v>
      </c>
      <c r="AA227" s="28">
        <f t="shared" si="268"/>
        <v>39.233170797863558</v>
      </c>
      <c r="AB227" s="28">
        <f t="shared" si="268"/>
        <v>40.156920855316407</v>
      </c>
      <c r="AC227" s="28">
        <f t="shared" si="268"/>
        <v>41.579368837232167</v>
      </c>
      <c r="AD227" s="28">
        <f t="shared" si="269"/>
        <v>41.579368837232167</v>
      </c>
      <c r="AE227" s="28">
        <f t="shared" si="270"/>
        <v>41.579368837232167</v>
      </c>
      <c r="AF227" s="28">
        <f t="shared" si="270"/>
        <v>41.579368837232167</v>
      </c>
      <c r="AG227" s="28">
        <f t="shared" si="270"/>
        <v>41.579368837232167</v>
      </c>
      <c r="AH227" s="28">
        <f t="shared" si="270"/>
        <v>41.579368837232167</v>
      </c>
      <c r="AI227" s="28">
        <f t="shared" si="270"/>
        <v>41.579368837232167</v>
      </c>
      <c r="AJ227" s="28">
        <f t="shared" si="270"/>
        <v>41.579368837232167</v>
      </c>
      <c r="AK227" s="28">
        <f t="shared" si="270"/>
        <v>41.579368837232167</v>
      </c>
      <c r="AL227" s="28">
        <f t="shared" si="270"/>
        <v>41.579368837232167</v>
      </c>
      <c r="AM227" s="28">
        <f t="shared" si="270"/>
        <v>41.579368837232167</v>
      </c>
    </row>
    <row r="228" spans="1:39" x14ac:dyDescent="0.45">
      <c r="A228" s="9" t="str">
        <v>SL111</v>
      </c>
      <c r="B228" t="s">
        <v>313</v>
      </c>
      <c r="C228" t="s">
        <v>261</v>
      </c>
      <c r="E228" s="46"/>
      <c r="F228" s="46"/>
      <c r="G228" s="46"/>
      <c r="H228" s="46"/>
      <c r="I228" s="46"/>
      <c r="J228" s="70">
        <f t="shared" si="258"/>
        <v>-0.28243986279689903</v>
      </c>
      <c r="K228" s="70">
        <f t="shared" si="259"/>
        <v>-0.28360516296287741</v>
      </c>
      <c r="L228" s="70">
        <f t="shared" si="260"/>
        <v>-0.24742191678495085</v>
      </c>
      <c r="M228" s="70">
        <f t="shared" si="261"/>
        <v>-0.3406715693777661</v>
      </c>
      <c r="N228" s="70">
        <f t="shared" si="262"/>
        <v>-0.53322646757386249</v>
      </c>
      <c r="O228" s="70">
        <f t="shared" si="263"/>
        <v>0</v>
      </c>
      <c r="P228" s="70">
        <f t="shared" si="264"/>
        <v>0</v>
      </c>
      <c r="Q228" s="70">
        <f t="shared" si="265"/>
        <v>0</v>
      </c>
      <c r="R228" s="70">
        <f t="shared" si="266"/>
        <v>0</v>
      </c>
      <c r="S228" s="70">
        <f t="shared" si="267"/>
        <v>0</v>
      </c>
      <c r="U228" s="9" t="s">
        <v>3</v>
      </c>
      <c r="V228" s="9" t="s">
        <v>261</v>
      </c>
      <c r="W228" t="str">
        <v>SL112</v>
      </c>
      <c r="X228" t="s">
        <v>314</v>
      </c>
      <c r="Y228" s="28">
        <f t="shared" si="255"/>
        <v>40.068479951453241</v>
      </c>
      <c r="Z228" s="28">
        <f t="shared" si="268"/>
        <v>44.089916829872081</v>
      </c>
      <c r="AA228" s="28">
        <f t="shared" si="268"/>
        <v>46.589987928116606</v>
      </c>
      <c r="AB228" s="28">
        <f t="shared" si="268"/>
        <v>47.686955192043918</v>
      </c>
      <c r="AC228" s="28">
        <f t="shared" si="268"/>
        <v>49.37613383751394</v>
      </c>
      <c r="AD228" s="28">
        <f t="shared" si="269"/>
        <v>49.37613383751394</v>
      </c>
      <c r="AE228" s="28">
        <f t="shared" si="270"/>
        <v>49.37613383751394</v>
      </c>
      <c r="AF228" s="28">
        <f t="shared" si="270"/>
        <v>49.37613383751394</v>
      </c>
      <c r="AG228" s="28">
        <f t="shared" si="270"/>
        <v>49.37613383751394</v>
      </c>
      <c r="AH228" s="28">
        <f t="shared" si="270"/>
        <v>49.37613383751394</v>
      </c>
      <c r="AI228" s="28">
        <f t="shared" si="270"/>
        <v>49.37613383751394</v>
      </c>
      <c r="AJ228" s="28">
        <f t="shared" si="270"/>
        <v>49.37613383751394</v>
      </c>
      <c r="AK228" s="28">
        <f t="shared" si="270"/>
        <v>49.37613383751394</v>
      </c>
      <c r="AL228" s="28">
        <f t="shared" si="270"/>
        <v>49.37613383751394</v>
      </c>
      <c r="AM228" s="28">
        <f t="shared" si="270"/>
        <v>49.37613383751394</v>
      </c>
    </row>
    <row r="229" spans="1:39" x14ac:dyDescent="0.45">
      <c r="A229" s="9" t="str">
        <v>SL112</v>
      </c>
      <c r="B229" t="s">
        <v>314</v>
      </c>
      <c r="C229" t="s">
        <v>261</v>
      </c>
      <c r="E229" s="46"/>
      <c r="F229" s="46"/>
      <c r="G229" s="46"/>
      <c r="H229" s="46"/>
      <c r="I229" s="46"/>
      <c r="J229" s="70">
        <f t="shared" si="258"/>
        <v>-0.28243986279689903</v>
      </c>
      <c r="K229" s="70">
        <f t="shared" si="259"/>
        <v>-0.28360516296287752</v>
      </c>
      <c r="L229" s="70">
        <f t="shared" si="260"/>
        <v>-0.24742191678495074</v>
      </c>
      <c r="M229" s="70">
        <f t="shared" si="261"/>
        <v>-0.34067156937776621</v>
      </c>
      <c r="N229" s="70">
        <f t="shared" si="262"/>
        <v>-0.53322646757386249</v>
      </c>
      <c r="O229" s="70">
        <f t="shared" si="263"/>
        <v>0</v>
      </c>
      <c r="P229" s="70">
        <f t="shared" si="264"/>
        <v>0</v>
      </c>
      <c r="Q229" s="70">
        <f t="shared" si="265"/>
        <v>0</v>
      </c>
      <c r="R229" s="70">
        <f t="shared" si="266"/>
        <v>0</v>
      </c>
      <c r="S229" s="70">
        <f t="shared" si="267"/>
        <v>0</v>
      </c>
      <c r="U229" s="9" t="s">
        <v>3</v>
      </c>
      <c r="V229" s="9" t="s">
        <v>261</v>
      </c>
      <c r="W229" t="str">
        <v>SL140</v>
      </c>
      <c r="X229" t="s">
        <v>315</v>
      </c>
      <c r="Y229" s="28">
        <f t="shared" si="255"/>
        <v>40.139373709988995</v>
      </c>
      <c r="Z229" s="28">
        <f t="shared" si="268"/>
        <v>44.167925776589932</v>
      </c>
      <c r="AA229" s="28">
        <f t="shared" si="268"/>
        <v>46.672420287875731</v>
      </c>
      <c r="AB229" s="28">
        <f t="shared" si="268"/>
        <v>47.771328432326207</v>
      </c>
      <c r="AC229" s="28">
        <f t="shared" si="268"/>
        <v>49.463495766739776</v>
      </c>
      <c r="AD229" s="28">
        <f>AC229*(1+AD$190)</f>
        <v>49.463495766739776</v>
      </c>
      <c r="AE229" s="28">
        <f t="shared" si="270"/>
        <v>49.463495766739776</v>
      </c>
      <c r="AF229" s="28">
        <f t="shared" si="270"/>
        <v>49.463495766739776</v>
      </c>
      <c r="AG229" s="28">
        <f t="shared" si="270"/>
        <v>49.463495766739776</v>
      </c>
      <c r="AH229" s="28">
        <f t="shared" si="270"/>
        <v>49.463495766739776</v>
      </c>
      <c r="AI229" s="28">
        <f t="shared" si="270"/>
        <v>49.463495766739776</v>
      </c>
      <c r="AJ229" s="28">
        <f t="shared" si="270"/>
        <v>49.463495766739776</v>
      </c>
      <c r="AK229" s="28">
        <f t="shared" si="270"/>
        <v>49.463495766739776</v>
      </c>
      <c r="AL229" s="28">
        <f t="shared" si="270"/>
        <v>49.463495766739776</v>
      </c>
      <c r="AM229" s="28">
        <f t="shared" si="270"/>
        <v>49.463495766739776</v>
      </c>
    </row>
    <row r="230" spans="1:39" x14ac:dyDescent="0.45">
      <c r="A230" s="9" t="str">
        <v>SL140</v>
      </c>
      <c r="B230" t="s">
        <v>315</v>
      </c>
      <c r="C230" t="s">
        <v>261</v>
      </c>
      <c r="E230" s="46"/>
      <c r="F230" s="46"/>
      <c r="G230" s="46"/>
      <c r="H230" s="46"/>
      <c r="I230" s="46"/>
      <c r="J230" s="70">
        <f t="shared" si="258"/>
        <v>-0.28243986279689903</v>
      </c>
      <c r="K230" s="70">
        <f t="shared" si="259"/>
        <v>-0.28360516296287741</v>
      </c>
      <c r="L230" s="70">
        <f t="shared" si="260"/>
        <v>-0.24742191678495085</v>
      </c>
      <c r="M230" s="70">
        <f t="shared" si="261"/>
        <v>-0.3406715693777661</v>
      </c>
      <c r="N230" s="70">
        <f t="shared" si="262"/>
        <v>-0.53322646757386249</v>
      </c>
      <c r="O230" s="70">
        <f t="shared" si="263"/>
        <v>0</v>
      </c>
      <c r="P230" s="70">
        <f t="shared" si="264"/>
        <v>0</v>
      </c>
      <c r="Q230" s="70">
        <f t="shared" si="265"/>
        <v>0</v>
      </c>
      <c r="R230" s="70">
        <f t="shared" si="266"/>
        <v>0</v>
      </c>
      <c r="S230" s="70">
        <f t="shared" si="267"/>
        <v>0</v>
      </c>
      <c r="U230" s="9" t="s">
        <v>3</v>
      </c>
      <c r="V230" s="9" t="s">
        <v>261</v>
      </c>
      <c r="W230" t="str">
        <v>SL144</v>
      </c>
      <c r="X230" t="s">
        <v>316</v>
      </c>
      <c r="Y230" s="28">
        <f t="shared" si="255"/>
        <v>43.416910598159696</v>
      </c>
      <c r="Z230" s="28">
        <f t="shared" si="268"/>
        <v>47.774409700646125</v>
      </c>
      <c r="AA230" s="28">
        <f t="shared" si="268"/>
        <v>50.483405986330993</v>
      </c>
      <c r="AB230" s="28">
        <f t="shared" si="268"/>
        <v>51.672044279691377</v>
      </c>
      <c r="AC230" s="28">
        <f t="shared" si="268"/>
        <v>53.502383696698196</v>
      </c>
      <c r="AD230" s="28">
        <f t="shared" si="269"/>
        <v>53.502383696698196</v>
      </c>
      <c r="AE230" s="28">
        <f t="shared" si="270"/>
        <v>53.502383696698196</v>
      </c>
      <c r="AF230" s="28">
        <f t="shared" si="270"/>
        <v>53.502383696698196</v>
      </c>
      <c r="AG230" s="28">
        <f t="shared" si="270"/>
        <v>53.502383696698196</v>
      </c>
      <c r="AH230" s="28">
        <f>AG230*(1+AH$190)</f>
        <v>53.502383696698196</v>
      </c>
      <c r="AI230" s="28">
        <f t="shared" si="270"/>
        <v>53.502383696698196</v>
      </c>
      <c r="AJ230" s="28">
        <f t="shared" si="270"/>
        <v>53.502383696698196</v>
      </c>
      <c r="AK230" s="28">
        <f t="shared" si="270"/>
        <v>53.502383696698196</v>
      </c>
      <c r="AL230" s="28">
        <f t="shared" si="270"/>
        <v>53.502383696698196</v>
      </c>
      <c r="AM230" s="28">
        <f t="shared" si="270"/>
        <v>53.502383696698196</v>
      </c>
    </row>
    <row r="231" spans="1:39" x14ac:dyDescent="0.45">
      <c r="A231" s="9" t="str">
        <v>SL144</v>
      </c>
      <c r="B231" t="s">
        <v>316</v>
      </c>
      <c r="C231" t="s">
        <v>261</v>
      </c>
      <c r="E231" s="46"/>
      <c r="F231" s="46"/>
      <c r="G231" s="46"/>
      <c r="H231" s="46"/>
      <c r="I231" s="46"/>
      <c r="J231" s="70">
        <f t="shared" si="258"/>
        <v>-0.28243986279689903</v>
      </c>
      <c r="K231" s="70">
        <f t="shared" si="259"/>
        <v>-0.28360516296287741</v>
      </c>
      <c r="L231" s="70">
        <f t="shared" si="260"/>
        <v>-0.24742191678495074</v>
      </c>
      <c r="M231" s="70">
        <f t="shared" si="261"/>
        <v>-0.34067156937776621</v>
      </c>
      <c r="N231" s="70">
        <f t="shared" si="262"/>
        <v>-0.53322646757386249</v>
      </c>
      <c r="O231" s="70">
        <f t="shared" si="263"/>
        <v>0</v>
      </c>
      <c r="P231" s="70">
        <f t="shared" si="264"/>
        <v>0</v>
      </c>
      <c r="Q231" s="70">
        <f t="shared" si="265"/>
        <v>0</v>
      </c>
      <c r="R231" s="70">
        <f t="shared" si="266"/>
        <v>0</v>
      </c>
      <c r="S231" s="70">
        <f t="shared" si="267"/>
        <v>0</v>
      </c>
      <c r="X231" s="5" t="s">
        <v>352</v>
      </c>
      <c r="Y231" s="28">
        <f t="shared" si="255"/>
        <v>37.112993627464597</v>
      </c>
      <c r="Z231" s="28">
        <f>Z103*(1+Z$190)</f>
        <v>47.555838583312102</v>
      </c>
      <c r="AA231" s="28">
        <f t="shared" ref="AA231:AC232" si="271">AA103*(1+AA$190)</f>
        <v>41.854039649299452</v>
      </c>
      <c r="AB231" s="28">
        <f>AB103*(1+AB$190)</f>
        <v>35.699299250081353</v>
      </c>
      <c r="AC231" s="28">
        <f>AC103*(1+AC$190)</f>
        <v>43.391508310558571</v>
      </c>
      <c r="AD231" s="28">
        <f>AC231*(1+AD$190)</f>
        <v>43.391508310558571</v>
      </c>
      <c r="AE231" s="28">
        <f t="shared" ref="AE231" si="272">AD231*(1+AE$190)</f>
        <v>43.391508310558571</v>
      </c>
      <c r="AF231" s="28">
        <f t="shared" ref="AF231" si="273">AE231*(1+AF$190)</f>
        <v>43.391508310558571</v>
      </c>
      <c r="AG231" s="28">
        <f t="shared" ref="AG231" si="274">AF231*(1+AG$190)</f>
        <v>43.391508310558571</v>
      </c>
      <c r="AH231" s="28">
        <f>AG231*(1+AH$190)</f>
        <v>43.391508310558571</v>
      </c>
      <c r="AI231" s="28">
        <f t="shared" ref="AI231" si="275">AH231*(1+AI$190)</f>
        <v>43.391508310558571</v>
      </c>
      <c r="AJ231" s="28">
        <f t="shared" ref="AJ231" si="276">AI231*(1+AJ$190)</f>
        <v>43.391508310558571</v>
      </c>
      <c r="AK231" s="28">
        <f t="shared" ref="AK231" si="277">AJ231*(1+AK$190)</f>
        <v>43.391508310558571</v>
      </c>
      <c r="AL231" s="28">
        <f t="shared" ref="AL231" si="278">AK231*(1+AL$190)</f>
        <v>43.391508310558571</v>
      </c>
      <c r="AM231" s="28">
        <f t="shared" ref="AM231" si="279">AL231*(1+AM$190)</f>
        <v>43.391508310558571</v>
      </c>
    </row>
    <row r="232" spans="1:39" x14ac:dyDescent="0.45">
      <c r="A232" s="9"/>
      <c r="E232" s="46"/>
      <c r="F232" s="46"/>
      <c r="G232" s="46"/>
      <c r="H232" s="46"/>
      <c r="I232" s="46"/>
      <c r="J232" s="70"/>
      <c r="K232" s="70"/>
      <c r="L232" s="70"/>
      <c r="M232" s="70"/>
      <c r="N232" s="70"/>
      <c r="O232" s="70"/>
      <c r="P232" s="70"/>
      <c r="Q232" s="70"/>
      <c r="R232" s="70"/>
      <c r="S232" s="70"/>
      <c r="X232" s="5" t="s">
        <v>345</v>
      </c>
      <c r="Y232" s="28">
        <f t="shared" si="255"/>
        <v>6.4289691182979771</v>
      </c>
      <c r="Z232" s="28">
        <f>Z104*(1+Z$190)</f>
        <v>8.618476304740005</v>
      </c>
      <c r="AA232" s="28">
        <f t="shared" si="271"/>
        <v>9.0143120485281987</v>
      </c>
      <c r="AB232" s="28">
        <f t="shared" si="271"/>
        <v>7.8893662229613666</v>
      </c>
      <c r="AC232" s="28">
        <f t="shared" si="271"/>
        <v>7.6443326843856854</v>
      </c>
      <c r="AD232" s="28">
        <f>AC232*(1+AD$190)</f>
        <v>7.6443326843856854</v>
      </c>
      <c r="AE232" s="28">
        <f t="shared" ref="AE232" si="280">AD232*(1+AE$190)</f>
        <v>7.6443326843856854</v>
      </c>
      <c r="AF232" s="28">
        <f t="shared" ref="AF232" si="281">AE232*(1+AF$190)</f>
        <v>7.6443326843856854</v>
      </c>
      <c r="AG232" s="28">
        <f t="shared" ref="AG232" si="282">AF232*(1+AG$190)</f>
        <v>7.6443326843856854</v>
      </c>
      <c r="AH232" s="28">
        <f>AG232*(1+AH$190)</f>
        <v>7.6443326843856854</v>
      </c>
      <c r="AI232" s="28">
        <f t="shared" ref="AI232" si="283">AH232*(1+AI$190)</f>
        <v>7.6443326843856854</v>
      </c>
      <c r="AJ232" s="28">
        <f t="shared" ref="AJ232" si="284">AI232*(1+AJ$190)</f>
        <v>7.6443326843856854</v>
      </c>
      <c r="AK232" s="28">
        <f t="shared" ref="AK232" si="285">AJ232*(1+AK$190)</f>
        <v>7.6443326843856854</v>
      </c>
      <c r="AL232" s="28">
        <f t="shared" ref="AL232" si="286">AK232*(1+AL$190)</f>
        <v>7.6443326843856854</v>
      </c>
      <c r="AM232" s="28">
        <f t="shared" ref="AM232" si="287">AL232*(1+AM$190)</f>
        <v>7.6443326843856854</v>
      </c>
    </row>
    <row r="233" spans="1:39" x14ac:dyDescent="0.45">
      <c r="J233" s="51"/>
      <c r="K233" s="51"/>
      <c r="L233" s="51"/>
      <c r="M233" s="51"/>
      <c r="N233" s="51"/>
      <c r="O233" s="51"/>
      <c r="P233" s="51"/>
      <c r="Q233" s="51"/>
      <c r="R233" s="51"/>
      <c r="S233" s="51"/>
      <c r="AD233" t="s">
        <v>358</v>
      </c>
    </row>
    <row r="234" spans="1:39" x14ac:dyDescent="0.45">
      <c r="N234" s="51"/>
      <c r="O234" s="51"/>
      <c r="P234" s="51"/>
      <c r="Q234" s="51"/>
      <c r="R234" s="51"/>
      <c r="S234" s="51"/>
      <c r="AD234" s="31">
        <f>'Top Down inputs'!H140</f>
        <v>2.1823266989722256E-2</v>
      </c>
      <c r="AE234" s="31">
        <f>'Top Down inputs'!I140</f>
        <v>1.9935780988294516E-2</v>
      </c>
      <c r="AF234" s="31">
        <f>'Top Down inputs'!J140</f>
        <v>2.0957399820160205E-2</v>
      </c>
      <c r="AG234" s="31">
        <f>'Top Down inputs'!K140</f>
        <v>2.0094840093029198E-2</v>
      </c>
      <c r="AH234" s="31">
        <f>'Top Down inputs'!L140</f>
        <v>1.9998866368604373E-2</v>
      </c>
      <c r="AI234" s="32">
        <v>0</v>
      </c>
      <c r="AJ234" s="32">
        <v>0</v>
      </c>
      <c r="AK234" s="32">
        <v>0</v>
      </c>
      <c r="AL234" s="32">
        <v>0</v>
      </c>
      <c r="AM234" s="32">
        <v>0</v>
      </c>
    </row>
    <row r="235" spans="1:39" x14ac:dyDescent="0.45">
      <c r="A235" s="23" t="s">
        <v>359</v>
      </c>
      <c r="I235" s="27" t="s">
        <v>360</v>
      </c>
      <c r="N235" s="71"/>
      <c r="O235" s="92"/>
      <c r="P235" s="71"/>
      <c r="Q235" s="71"/>
      <c r="R235" s="71"/>
      <c r="S235" s="71"/>
      <c r="U235" t="s">
        <v>275</v>
      </c>
      <c r="V235" t="s">
        <v>261</v>
      </c>
      <c r="W235" t="s">
        <v>361</v>
      </c>
      <c r="X235" t="s">
        <v>274</v>
      </c>
      <c r="AD235" s="28">
        <f t="shared" ref="AD235:AD276" si="288">AC191*(1+AD$234)</f>
        <v>134.98898544505894</v>
      </c>
      <c r="AE235" s="28">
        <f>AD235*(1+AE$234)</f>
        <v>137.68009629472371</v>
      </c>
      <c r="AF235" s="28">
        <f>AE235*(1+AF$234)</f>
        <v>140.56551312005038</v>
      </c>
      <c r="AG235" s="28">
        <f t="shared" ref="AG235:AM235" si="289">AF235*(1+AG$234)</f>
        <v>143.3901546287924</v>
      </c>
      <c r="AH235" s="28">
        <f t="shared" si="289"/>
        <v>146.25779516978713</v>
      </c>
      <c r="AI235" s="28">
        <f>AH235*(1+AI$234)</f>
        <v>146.25779516978713</v>
      </c>
      <c r="AJ235" s="28">
        <f t="shared" si="289"/>
        <v>146.25779516978713</v>
      </c>
      <c r="AK235" s="28">
        <f t="shared" si="289"/>
        <v>146.25779516978713</v>
      </c>
      <c r="AL235" s="28">
        <f t="shared" si="289"/>
        <v>146.25779516978713</v>
      </c>
      <c r="AM235" s="28">
        <f t="shared" si="289"/>
        <v>146.25779516978713</v>
      </c>
    </row>
    <row r="236" spans="1:39" x14ac:dyDescent="0.45">
      <c r="A236" s="9" t="str" cm="1">
        <f t="array" ref="A236:A275">TD_service_codes</f>
        <v>WN127</v>
      </c>
      <c r="B236" t="s">
        <v>274</v>
      </c>
      <c r="C236" s="9" t="s">
        <v>275</v>
      </c>
      <c r="E236" s="173">
        <f>F236</f>
        <v>282491.67687755439</v>
      </c>
      <c r="F236" s="172">
        <f>IF($B$3="Prices",(F63*Z19),IF($B$3="Costs",'Re-scaled copper costs'!V50,"Error"))</f>
        <v>282491.67687755439</v>
      </c>
      <c r="G236" s="172">
        <f>IF($B$3="Prices",(G63*AA19),IF($B$3="Costs",'Re-scaled copper costs'!W50,"Error"))</f>
        <v>352265.27683948161</v>
      </c>
      <c r="H236" s="172">
        <f>IF($B$3="Prices",(H63*AB19),IF($B$3="Costs",'Re-scaled copper costs'!X50,"Error"))</f>
        <v>238202.22177097981</v>
      </c>
      <c r="I236" s="24">
        <f>IF($B$3="Prices",(I63*AC19),IF($B$3="Costs",'Top Down inputs'!G189,"Error"))</f>
        <v>219423.96728686948</v>
      </c>
      <c r="J236" s="24">
        <f>IF($B$3="Prices",(J63*AD19),IF($B$3="Costs",'Top Down inputs'!H189,"Error"))</f>
        <v>155874.38750755251</v>
      </c>
      <c r="K236" s="24">
        <f>IF($B$3="Prices",(K63*AE19),IF($B$3="Costs",'Top Down inputs'!I189,"Error"))</f>
        <v>57582.359741248496</v>
      </c>
      <c r="L236" s="24">
        <f>IF($B$3="Prices",(L63*AF19),IF($B$3="Costs",'Top Down inputs'!J189,"Error"))</f>
        <v>44644.340883251964</v>
      </c>
      <c r="M236" s="24">
        <f>IF($B$3="Prices",(M63*AG19),IF($B$3="Costs",'Top Down inputs'!K189,"Error"))</f>
        <v>41494.637768391083</v>
      </c>
      <c r="N236" s="24">
        <f>IF($B$3="Prices",(N63*AH19),IF($B$3="Costs",'Top Down inputs'!L189,"Error"))</f>
        <v>41771.821078962683</v>
      </c>
      <c r="O236" s="30">
        <f>IF(O19=0,0,N236*(1+O192))</f>
        <v>32655.557062073352</v>
      </c>
      <c r="P236" s="30">
        <f t="shared" ref="P236:S236" si="290">IF(P19=0,0,O236*(1+P192))</f>
        <v>32727.77260881375</v>
      </c>
      <c r="Q236" s="30">
        <f t="shared" si="290"/>
        <v>0</v>
      </c>
      <c r="R236" s="30">
        <f t="shared" si="290"/>
        <v>0</v>
      </c>
      <c r="S236" s="30">
        <f t="shared" si="290"/>
        <v>0</v>
      </c>
      <c r="U236" t="s">
        <v>275</v>
      </c>
      <c r="V236" t="s">
        <v>261</v>
      </c>
      <c r="W236" t="s">
        <v>362</v>
      </c>
      <c r="X236" t="s">
        <v>276</v>
      </c>
      <c r="AD236" s="28">
        <f t="shared" si="288"/>
        <v>93.307934750146387</v>
      </c>
      <c r="AE236" s="28">
        <f t="shared" ref="AE236:AM274" si="291">AD236*(1+AE$234)</f>
        <v>95.168101301795375</v>
      </c>
      <c r="AF236" s="28">
        <f>AE236*(1+AF$234)</f>
        <v>97.162577250902615</v>
      </c>
      <c r="AG236" s="28">
        <f t="shared" si="291"/>
        <v>99.1150437037861</v>
      </c>
      <c r="AH236" s="28">
        <f t="shared" si="291"/>
        <v>101.09723221793649</v>
      </c>
      <c r="AI236" s="28">
        <f>AH236*(1+AI$234)</f>
        <v>101.09723221793649</v>
      </c>
      <c r="AJ236" s="28">
        <f t="shared" si="291"/>
        <v>101.09723221793649</v>
      </c>
      <c r="AK236" s="28">
        <f t="shared" si="291"/>
        <v>101.09723221793649</v>
      </c>
      <c r="AL236" s="28">
        <f t="shared" si="291"/>
        <v>101.09723221793649</v>
      </c>
      <c r="AM236" s="28">
        <f t="shared" si="291"/>
        <v>101.09723221793649</v>
      </c>
    </row>
    <row r="237" spans="1:39" x14ac:dyDescent="0.45">
      <c r="A237" s="9" t="str">
        <v>WN346</v>
      </c>
      <c r="B237" t="s">
        <v>276</v>
      </c>
      <c r="C237" s="9" t="s">
        <v>275</v>
      </c>
      <c r="E237" s="173">
        <f t="shared" ref="E237:E275" si="292">F237</f>
        <v>870.57888461377115</v>
      </c>
      <c r="F237" s="172">
        <f>IF($B$3="Prices",(F64*Z20),IF($B$3="Costs",'Re-scaled copper costs'!V51,"Error"))</f>
        <v>870.57888461377115</v>
      </c>
      <c r="G237" s="172">
        <f>IF($B$3="Prices",(G64*AA20),IF($B$3="Costs",'Re-scaled copper costs'!W51,"Error"))</f>
        <v>794.50503161636516</v>
      </c>
      <c r="H237" s="172">
        <f>IF($B$3="Prices",(H64*AB20),IF($B$3="Costs",'Re-scaled copper costs'!X51,"Error"))</f>
        <v>818.15466180923977</v>
      </c>
      <c r="I237" s="24">
        <f>IF($B$3="Prices",(I64*AC20),IF($B$3="Costs",'Top Down inputs'!G190,"Error"))</f>
        <v>736.17275250132843</v>
      </c>
      <c r="J237" s="24">
        <f>IF($B$3="Prices",(J64*AD20),IF($B$3="Costs",'Top Down inputs'!H190,"Error"))</f>
        <v>515.01118758918483</v>
      </c>
      <c r="K237" s="24">
        <f>IF($B$3="Prices",(K64*AE20),IF($B$3="Costs",'Top Down inputs'!I190,"Error"))</f>
        <v>190.45502504447481</v>
      </c>
      <c r="L237" s="24">
        <f>IF($B$3="Prices",(L64*AF20),IF($B$3="Costs",'Top Down inputs'!J190,"Error"))</f>
        <v>145.56755397180379</v>
      </c>
      <c r="M237" s="24">
        <f>IF($B$3="Prices",(M64*AG20),IF($B$3="Costs",'Top Down inputs'!K190,"Error"))</f>
        <v>133.22338954064085</v>
      </c>
      <c r="N237" s="24">
        <f>IF($B$3="Prices",(N64*AH20),IF($B$3="Costs",'Top Down inputs'!L190,"Error"))</f>
        <v>132.96738562632987</v>
      </c>
      <c r="O237" s="30">
        <f t="shared" ref="O237:S275" si="293">IF(O20=0,0,N237*(1+O193))</f>
        <v>103.94864137015387</v>
      </c>
      <c r="P237" s="30">
        <f t="shared" si="293"/>
        <v>104.1785167311896</v>
      </c>
      <c r="Q237" s="30">
        <f t="shared" si="293"/>
        <v>0</v>
      </c>
      <c r="R237" s="30">
        <f t="shared" si="293"/>
        <v>0</v>
      </c>
      <c r="S237" s="30">
        <f t="shared" si="293"/>
        <v>0</v>
      </c>
      <c r="U237" t="s">
        <v>275</v>
      </c>
      <c r="V237" t="s">
        <v>261</v>
      </c>
      <c r="W237" t="s">
        <v>363</v>
      </c>
      <c r="X237" t="s">
        <v>277</v>
      </c>
      <c r="AD237" s="28">
        <f t="shared" si="288"/>
        <v>131.7495186194235</v>
      </c>
      <c r="AE237" s="28">
        <f t="shared" si="291"/>
        <v>134.37604816793356</v>
      </c>
      <c r="AF237" s="28">
        <f t="shared" si="291"/>
        <v>137.19222073564205</v>
      </c>
      <c r="AG237" s="28">
        <f>AF237*(1+AG$234)</f>
        <v>139.94907647333235</v>
      </c>
      <c r="AH237" s="28">
        <f t="shared" si="291"/>
        <v>142.74789935213212</v>
      </c>
      <c r="AI237" s="28">
        <f t="shared" si="291"/>
        <v>142.74789935213212</v>
      </c>
      <c r="AJ237" s="28">
        <f t="shared" si="291"/>
        <v>142.74789935213212</v>
      </c>
      <c r="AK237" s="28">
        <f t="shared" si="291"/>
        <v>142.74789935213212</v>
      </c>
      <c r="AL237" s="28">
        <f t="shared" si="291"/>
        <v>142.74789935213212</v>
      </c>
      <c r="AM237" s="28">
        <f t="shared" si="291"/>
        <v>142.74789935213212</v>
      </c>
    </row>
    <row r="238" spans="1:39" x14ac:dyDescent="0.45">
      <c r="A238" s="9" t="str">
        <v>WX130</v>
      </c>
      <c r="B238" t="s">
        <v>277</v>
      </c>
      <c r="C238" s="9" t="s">
        <v>275</v>
      </c>
      <c r="E238" s="173">
        <f t="shared" si="292"/>
        <v>4535147.8315133741</v>
      </c>
      <c r="F238" s="172">
        <f>IF($B$3="Prices",(F65*Z21),IF($B$3="Costs",'Re-scaled copper costs'!V52,"Error"))</f>
        <v>4535147.8315133741</v>
      </c>
      <c r="G238" s="172">
        <f>IF($B$3="Prices",(G65*AA21),IF($B$3="Costs",'Re-scaled copper costs'!W52,"Error"))</f>
        <v>4982453.7379222</v>
      </c>
      <c r="H238" s="172">
        <f>IF($B$3="Prices",(H65*AB21),IF($B$3="Costs",'Re-scaled copper costs'!X52,"Error"))</f>
        <v>6081878.6202503806</v>
      </c>
      <c r="I238" s="24">
        <f>IF($B$3="Prices",(I65*AC21),IF($B$3="Costs",'Top Down inputs'!G191,"Error"))</f>
        <v>4096477.0233449535</v>
      </c>
      <c r="J238" s="24">
        <f>IF($B$3="Prices",(J65*AD21),IF($B$3="Costs",'Top Down inputs'!H191,"Error"))</f>
        <v>3067572.0652401615</v>
      </c>
      <c r="K238" s="24">
        <f>IF($B$3="Prices",(K65*AE21),IF($B$3="Costs",'Top Down inputs'!I191,"Error"))</f>
        <v>1193591.4086912719</v>
      </c>
      <c r="L238" s="24">
        <f>IF($B$3="Prices",(L65*AF21),IF($B$3="Costs",'Top Down inputs'!J191,"Error"))</f>
        <v>938612.97121697874</v>
      </c>
      <c r="M238" s="24">
        <f>IF($B$3="Prices",(M65*AG21),IF($B$3="Costs",'Top Down inputs'!K191,"Error"))</f>
        <v>884940.53315623768</v>
      </c>
      <c r="N238" s="24">
        <f>IF($B$3="Prices",(N65*AH21),IF($B$3="Costs",'Top Down inputs'!L191,"Error"))</f>
        <v>905361.34759272111</v>
      </c>
      <c r="O238" s="30">
        <f t="shared" si="293"/>
        <v>707775.68189382658</v>
      </c>
      <c r="P238" s="30">
        <f t="shared" si="293"/>
        <v>709340.87974791182</v>
      </c>
      <c r="Q238" s="30">
        <f t="shared" si="293"/>
        <v>0</v>
      </c>
      <c r="R238" s="30">
        <f t="shared" si="293"/>
        <v>0</v>
      </c>
      <c r="S238" s="30">
        <f t="shared" si="293"/>
        <v>0</v>
      </c>
      <c r="U238" t="s">
        <v>275</v>
      </c>
      <c r="V238" t="s">
        <v>261</v>
      </c>
      <c r="W238" t="s">
        <v>364</v>
      </c>
      <c r="X238" t="s">
        <v>278</v>
      </c>
      <c r="AD238" s="28">
        <f t="shared" si="288"/>
        <v>107.82838277046901</v>
      </c>
      <c r="AE238" s="28">
        <f t="shared" si="291"/>
        <v>109.97802579370307</v>
      </c>
      <c r="AF238" s="28">
        <f t="shared" si="291"/>
        <v>112.2828792516936</v>
      </c>
      <c r="AG238" s="28">
        <f t="shared" si="291"/>
        <v>114.5391857554413</v>
      </c>
      <c r="AH238" s="28">
        <f t="shared" si="291"/>
        <v>116.82983962533312</v>
      </c>
      <c r="AI238" s="28">
        <f t="shared" si="291"/>
        <v>116.82983962533312</v>
      </c>
      <c r="AJ238" s="28">
        <f t="shared" si="291"/>
        <v>116.82983962533312</v>
      </c>
      <c r="AK238" s="28">
        <f t="shared" si="291"/>
        <v>116.82983962533312</v>
      </c>
      <c r="AL238" s="28">
        <f t="shared" si="291"/>
        <v>116.82983962533312</v>
      </c>
      <c r="AM238" s="28">
        <f t="shared" si="291"/>
        <v>116.82983962533312</v>
      </c>
    </row>
    <row r="239" spans="1:39" x14ac:dyDescent="0.45">
      <c r="A239" s="9" t="str">
        <v>WX347</v>
      </c>
      <c r="B239" t="s">
        <v>278</v>
      </c>
      <c r="C239" s="9" t="s">
        <v>275</v>
      </c>
      <c r="E239" s="173">
        <f t="shared" si="292"/>
        <v>49459514.272883467</v>
      </c>
      <c r="F239" s="172">
        <f>IF($B$3="Prices",(F66*Z22),IF($B$3="Costs",'Re-scaled copper costs'!V53,"Error"))</f>
        <v>49459514.272883467</v>
      </c>
      <c r="G239" s="172">
        <f>IF($B$3="Prices",(G66*AA22),IF($B$3="Costs",'Re-scaled copper costs'!W53,"Error"))</f>
        <v>67321860.112640947</v>
      </c>
      <c r="H239" s="172">
        <f>IF($B$3="Prices",(H66*AB22),IF($B$3="Costs",'Re-scaled copper costs'!X53,"Error"))</f>
        <v>73837304.218265995</v>
      </c>
      <c r="I239" s="24">
        <f>IF($B$3="Prices",(I66*AC22),IF($B$3="Costs",'Top Down inputs'!G192,"Error"))</f>
        <v>49881421.726046674</v>
      </c>
      <c r="J239" s="24">
        <f>IF($B$3="Prices",(J66*AD22),IF($B$3="Costs",'Top Down inputs'!H192,"Error"))</f>
        <v>38323190.668618426</v>
      </c>
      <c r="K239" s="24">
        <f>IF($B$3="Prices",(K66*AE22),IF($B$3="Costs",'Top Down inputs'!I192,"Error"))</f>
        <v>14305506.57273205</v>
      </c>
      <c r="L239" s="24">
        <f>IF($B$3="Prices",(L66*AF22),IF($B$3="Costs",'Top Down inputs'!J192,"Error"))</f>
        <v>11145283.90792734</v>
      </c>
      <c r="M239" s="24">
        <f>IF($B$3="Prices",(M66*AG22),IF($B$3="Costs",'Top Down inputs'!K192,"Error"))</f>
        <v>10328747.888472296</v>
      </c>
      <c r="N239" s="24">
        <f>IF($B$3="Prices",(N66*AH22),IF($B$3="Costs",'Top Down inputs'!L192,"Error"))</f>
        <v>10576800.318845455</v>
      </c>
      <c r="O239" s="30">
        <f t="shared" si="293"/>
        <v>8268524.0294721285</v>
      </c>
      <c r="P239" s="30">
        <f t="shared" si="293"/>
        <v>8286809.3088317597</v>
      </c>
      <c r="Q239" s="30">
        <f t="shared" si="293"/>
        <v>0</v>
      </c>
      <c r="R239" s="30">
        <f t="shared" si="293"/>
        <v>0</v>
      </c>
      <c r="S239" s="30">
        <f t="shared" si="293"/>
        <v>0</v>
      </c>
      <c r="U239" t="s">
        <v>3</v>
      </c>
      <c r="V239" t="s">
        <v>261</v>
      </c>
      <c r="W239" t="s">
        <v>324</v>
      </c>
      <c r="X239" t="s">
        <v>279</v>
      </c>
      <c r="AD239" s="28">
        <f t="shared" si="288"/>
        <v>33.17571847865478</v>
      </c>
      <c r="AE239" s="28">
        <f t="shared" si="291"/>
        <v>33.837102336374556</v>
      </c>
      <c r="AF239" s="28">
        <f t="shared" si="291"/>
        <v>34.546240018793632</v>
      </c>
      <c r="AG239" s="28">
        <f t="shared" si="291"/>
        <v>35.240441187786693</v>
      </c>
      <c r="AH239" s="28">
        <f t="shared" si="291"/>
        <v>35.945210061871904</v>
      </c>
      <c r="AI239" s="28">
        <f t="shared" si="291"/>
        <v>35.945210061871904</v>
      </c>
      <c r="AJ239" s="28">
        <f t="shared" si="291"/>
        <v>35.945210061871904</v>
      </c>
      <c r="AK239" s="28">
        <f t="shared" si="291"/>
        <v>35.945210061871904</v>
      </c>
      <c r="AL239" s="28">
        <f t="shared" si="291"/>
        <v>35.945210061871904</v>
      </c>
      <c r="AM239" s="28">
        <f t="shared" si="291"/>
        <v>35.945210061871904</v>
      </c>
    </row>
    <row r="240" spans="1:39" x14ac:dyDescent="0.45">
      <c r="A240" s="9" t="str">
        <v>WX129</v>
      </c>
      <c r="B240" t="s">
        <v>279</v>
      </c>
      <c r="C240" s="9" t="s">
        <v>3</v>
      </c>
      <c r="E240" s="173">
        <f t="shared" si="292"/>
        <v>2034886.9082533417</v>
      </c>
      <c r="F240" s="172">
        <f>IF($B$3="Prices",(F67*Z23),IF($B$3="Costs",'Re-scaled copper costs'!V54,"Error"))</f>
        <v>2034886.9082533417</v>
      </c>
      <c r="G240" s="172">
        <f>IF($B$3="Prices",(G67*AA23),IF($B$3="Costs",'Re-scaled copper costs'!W54,"Error"))</f>
        <v>1269389.4773711623</v>
      </c>
      <c r="H240" s="172">
        <f>IF($B$3="Prices",(H67*AB23),IF($B$3="Costs",'Re-scaled copper costs'!X54,"Error"))</f>
        <v>811798.71406608901</v>
      </c>
      <c r="I240" s="24">
        <f>IF($B$3="Prices",(I67*AC23),IF($B$3="Costs",'Top Down inputs'!G193,"Error"))</f>
        <v>674087.43000320776</v>
      </c>
      <c r="J240" s="24">
        <f>IF($B$3="Prices",(J67*AD23),IF($B$3="Costs",'Top Down inputs'!H193,"Error"))</f>
        <v>360694.95331396599</v>
      </c>
      <c r="K240" s="24">
        <f>IF($B$3="Prices",(K67*AE23),IF($B$3="Costs",'Top Down inputs'!I193,"Error"))</f>
        <v>123130.11897275948</v>
      </c>
      <c r="L240" s="24">
        <f>IF($B$3="Prices",(L67*AF23),IF($B$3="Costs",'Top Down inputs'!J193,"Error"))</f>
        <v>87559.09456526587</v>
      </c>
      <c r="M240" s="24">
        <f>IF($B$3="Prices",(M67*AG23),IF($B$3="Costs",'Top Down inputs'!K193,"Error"))</f>
        <v>72756.680317609353</v>
      </c>
      <c r="N240" s="24">
        <f>IF($B$3="Prices",(N67*AH23),IF($B$3="Costs",'Top Down inputs'!L193,"Error"))</f>
        <v>146257.68181584979</v>
      </c>
      <c r="O240" s="30">
        <f t="shared" si="293"/>
        <v>0</v>
      </c>
      <c r="P240" s="30">
        <f t="shared" si="293"/>
        <v>0</v>
      </c>
      <c r="Q240" s="30">
        <f t="shared" si="293"/>
        <v>0</v>
      </c>
      <c r="R240" s="30">
        <f t="shared" si="293"/>
        <v>0</v>
      </c>
      <c r="S240" s="30">
        <f t="shared" si="293"/>
        <v>0</v>
      </c>
      <c r="U240" t="s">
        <v>3</v>
      </c>
      <c r="V240" t="s">
        <v>261</v>
      </c>
      <c r="W240" t="s">
        <v>325</v>
      </c>
      <c r="X240" t="s">
        <v>280</v>
      </c>
      <c r="AD240" s="28">
        <f t="shared" si="288"/>
        <v>63.925376195413804</v>
      </c>
      <c r="AE240" s="28">
        <f t="shared" si="291"/>
        <v>65.199778494839904</v>
      </c>
      <c r="AF240" s="28">
        <f t="shared" si="291"/>
        <v>66.566196320942154</v>
      </c>
      <c r="AG240" s="28">
        <f t="shared" si="291"/>
        <v>67.903833391612679</v>
      </c>
      <c r="AH240" s="28">
        <f t="shared" si="291"/>
        <v>69.261833081527513</v>
      </c>
      <c r="AI240" s="28">
        <f t="shared" si="291"/>
        <v>69.261833081527513</v>
      </c>
      <c r="AJ240" s="28">
        <f t="shared" si="291"/>
        <v>69.261833081527513</v>
      </c>
      <c r="AK240" s="28">
        <f t="shared" si="291"/>
        <v>69.261833081527513</v>
      </c>
      <c r="AL240" s="28">
        <f t="shared" si="291"/>
        <v>69.261833081527513</v>
      </c>
      <c r="AM240" s="28">
        <f t="shared" si="291"/>
        <v>69.261833081527513</v>
      </c>
    </row>
    <row r="241" spans="1:42" x14ac:dyDescent="0.45">
      <c r="A241" s="9" t="str">
        <v>WN123</v>
      </c>
      <c r="B241" t="s">
        <v>280</v>
      </c>
      <c r="C241" s="9" t="s">
        <v>3</v>
      </c>
      <c r="E241" s="173">
        <f t="shared" si="292"/>
        <v>28.715109126406677</v>
      </c>
      <c r="F241" s="172">
        <f>IF($B$3="Prices",(F68*Z24),IF($B$3="Costs",'Re-scaled copper costs'!V55,"Error"))</f>
        <v>28.715109126406677</v>
      </c>
      <c r="G241" s="172">
        <f>IF($B$3="Prices",(G68*AA24),IF($B$3="Costs",'Re-scaled copper costs'!W55,"Error"))</f>
        <v>695.09416648711192</v>
      </c>
      <c r="H241" s="172">
        <f>IF($B$3="Prices",(H68*AB24),IF($B$3="Costs",'Re-scaled copper costs'!X55,"Error"))</f>
        <v>980.01998108294492</v>
      </c>
      <c r="I241" s="24">
        <f>IF($B$3="Prices",(I68*AC24),IF($B$3="Costs",'Top Down inputs'!G194,"Error"))</f>
        <v>0</v>
      </c>
      <c r="J241" s="24">
        <f>IF($B$3="Prices",(J68*AD24),IF($B$3="Costs",'Top Down inputs'!H194,"Error"))</f>
        <v>0</v>
      </c>
      <c r="K241" s="24">
        <f>IF($B$3="Prices",(K68*AE24),IF($B$3="Costs",'Top Down inputs'!I194,"Error"))</f>
        <v>0</v>
      </c>
      <c r="L241" s="24">
        <f>IF($B$3="Prices",(L68*AF24),IF($B$3="Costs",'Top Down inputs'!J194,"Error"))</f>
        <v>0</v>
      </c>
      <c r="M241" s="24">
        <f>IF($B$3="Prices",(M68*AG24),IF($B$3="Costs",'Top Down inputs'!K194,"Error"))</f>
        <v>0</v>
      </c>
      <c r="N241" s="24">
        <f>IF($B$3="Prices",(N68*AH24),IF($B$3="Costs",'Top Down inputs'!L194,"Error"))</f>
        <v>0</v>
      </c>
      <c r="O241" s="30">
        <f t="shared" si="293"/>
        <v>0</v>
      </c>
      <c r="P241" s="30">
        <f t="shared" si="293"/>
        <v>0</v>
      </c>
      <c r="Q241" s="30">
        <f t="shared" si="293"/>
        <v>0</v>
      </c>
      <c r="R241" s="30">
        <f t="shared" si="293"/>
        <v>0</v>
      </c>
      <c r="S241" s="30">
        <f t="shared" si="293"/>
        <v>0</v>
      </c>
      <c r="U241" t="s">
        <v>275</v>
      </c>
      <c r="V241" t="s">
        <v>265</v>
      </c>
      <c r="W241" t="s">
        <v>365</v>
      </c>
      <c r="X241" t="s">
        <v>281</v>
      </c>
      <c r="AD241" s="28">
        <f t="shared" si="288"/>
        <v>214.97109952846202</v>
      </c>
      <c r="AE241" s="28">
        <f t="shared" si="291"/>
        <v>219.25671628747429</v>
      </c>
      <c r="AF241" s="28">
        <f t="shared" si="291"/>
        <v>223.85176695396632</v>
      </c>
      <c r="AG241" s="28">
        <f t="shared" si="291"/>
        <v>228.35003241544831</v>
      </c>
      <c r="AH241" s="28">
        <f t="shared" si="291"/>
        <v>232.91677419899133</v>
      </c>
      <c r="AI241" s="28">
        <f t="shared" si="291"/>
        <v>232.91677419899133</v>
      </c>
      <c r="AJ241" s="28">
        <f t="shared" si="291"/>
        <v>232.91677419899133</v>
      </c>
      <c r="AK241" s="28">
        <f t="shared" si="291"/>
        <v>232.91677419899133</v>
      </c>
      <c r="AL241" s="28">
        <f t="shared" si="291"/>
        <v>232.91677419899133</v>
      </c>
      <c r="AM241" s="28">
        <f t="shared" si="291"/>
        <v>232.91677419899133</v>
      </c>
    </row>
    <row r="242" spans="1:42" x14ac:dyDescent="0.45">
      <c r="A242" s="9" t="str">
        <v>WN300</v>
      </c>
      <c r="B242" t="s">
        <v>281</v>
      </c>
      <c r="C242" s="9" t="s">
        <v>275</v>
      </c>
      <c r="E242" s="173">
        <f t="shared" si="292"/>
        <v>21641408.642586604</v>
      </c>
      <c r="F242" s="172">
        <f>IF($B$3="Prices",(F69*Z25),IF($B$3="Costs",'Re-scaled copper costs'!V56,"Error"))</f>
        <v>21641408.642586604</v>
      </c>
      <c r="G242" s="172">
        <f>IF($B$3="Prices",(G69*AA25),IF($B$3="Costs",'Re-scaled copper costs'!W56,"Error"))</f>
        <v>22846922.138995562</v>
      </c>
      <c r="H242" s="172">
        <f>IF($B$3="Prices",(H69*AB25),IF($B$3="Costs",'Re-scaled copper costs'!X56,"Error"))</f>
        <v>20345217.609273586</v>
      </c>
      <c r="I242" s="24">
        <f>IF($B$3="Prices",(I69*AC25),IF($B$3="Costs",'Top Down inputs'!G195,"Error"))</f>
        <v>10477194.740343003</v>
      </c>
      <c r="J242" s="24">
        <f>IF($B$3="Prices",(J69*AD25),IF($B$3="Costs",'Top Down inputs'!H195,"Error"))</f>
        <v>4861647.1592921866</v>
      </c>
      <c r="K242" s="24">
        <f>IF($B$3="Prices",(K69*AE25),IF($B$3="Costs",'Top Down inputs'!I195,"Error"))</f>
        <v>303924.47872254136</v>
      </c>
      <c r="L242" s="24">
        <f>IF($B$3="Prices",(L69*AF25),IF($B$3="Costs",'Top Down inputs'!J195,"Error"))</f>
        <v>0</v>
      </c>
      <c r="M242" s="24">
        <f>IF($B$3="Prices",(M69*AG25),IF($B$3="Costs",'Top Down inputs'!K195,"Error"))</f>
        <v>0</v>
      </c>
      <c r="N242" s="24">
        <f>IF($B$3="Prices",(N69*AH25),IF($B$3="Costs",'Top Down inputs'!L195,"Error"))</f>
        <v>0</v>
      </c>
      <c r="O242" s="30">
        <f t="shared" si="293"/>
        <v>0</v>
      </c>
      <c r="P242" s="30">
        <f t="shared" si="293"/>
        <v>0</v>
      </c>
      <c r="Q242" s="30">
        <f t="shared" si="293"/>
        <v>0</v>
      </c>
      <c r="R242" s="30">
        <f t="shared" si="293"/>
        <v>0</v>
      </c>
      <c r="S242" s="30">
        <f t="shared" si="293"/>
        <v>0</v>
      </c>
      <c r="U242" t="s">
        <v>275</v>
      </c>
      <c r="V242" t="s">
        <v>265</v>
      </c>
      <c r="W242" t="s">
        <v>366</v>
      </c>
      <c r="X242" t="s">
        <v>282</v>
      </c>
      <c r="AD242" s="28">
        <f t="shared" si="288"/>
        <v>163.14252895733799</v>
      </c>
      <c r="AE242" s="28">
        <f t="shared" si="291"/>
        <v>166.39490268450797</v>
      </c>
      <c r="AF242" s="28">
        <f t="shared" si="291"/>
        <v>169.88210718810384</v>
      </c>
      <c r="AG242" s="28">
        <f t="shared" si="291"/>
        <v>173.29586096671565</v>
      </c>
      <c r="AH242" s="28">
        <f t="shared" si="291"/>
        <v>176.76158173242123</v>
      </c>
      <c r="AI242" s="28">
        <f t="shared" si="291"/>
        <v>176.76158173242123</v>
      </c>
      <c r="AJ242" s="28">
        <f t="shared" si="291"/>
        <v>176.76158173242123</v>
      </c>
      <c r="AK242" s="28">
        <f t="shared" si="291"/>
        <v>176.76158173242123</v>
      </c>
      <c r="AL242" s="28">
        <f t="shared" si="291"/>
        <v>176.76158173242123</v>
      </c>
      <c r="AM242" s="28">
        <f t="shared" si="291"/>
        <v>176.76158173242123</v>
      </c>
      <c r="AP242" s="94"/>
    </row>
    <row r="243" spans="1:42" x14ac:dyDescent="0.45">
      <c r="A243" s="9" t="str">
        <v>WN301</v>
      </c>
      <c r="B243" t="s">
        <v>282</v>
      </c>
      <c r="C243" s="9" t="s">
        <v>275</v>
      </c>
      <c r="E243" s="173">
        <f t="shared" si="292"/>
        <v>8379168.9904742818</v>
      </c>
      <c r="F243" s="172">
        <f>IF($B$3="Prices",(F70*Z26),IF($B$3="Costs",'Re-scaled copper costs'!V57,"Error"))</f>
        <v>8379168.9904742818</v>
      </c>
      <c r="G243" s="172">
        <f>IF($B$3="Prices",(G70*AA26),IF($B$3="Costs",'Re-scaled copper costs'!W57,"Error"))</f>
        <v>11158266.740917228</v>
      </c>
      <c r="H243" s="172">
        <f>IF($B$3="Prices",(H70*AB26),IF($B$3="Costs",'Re-scaled copper costs'!X57,"Error"))</f>
        <v>10044829.429466361</v>
      </c>
      <c r="I243" s="24">
        <f>IF($B$3="Prices",(I70*AC26),IF($B$3="Costs",'Top Down inputs'!G196,"Error"))</f>
        <v>5311579.6633551596</v>
      </c>
      <c r="J243" s="24">
        <f>IF($B$3="Prices",(J70*AD26),IF($B$3="Costs",'Top Down inputs'!H196,"Error"))</f>
        <v>2441606.1035738126</v>
      </c>
      <c r="K243" s="24">
        <f>IF($B$3="Prices",(K70*AE26),IF($B$3="Costs",'Top Down inputs'!I196,"Error"))</f>
        <v>150092.73325945571</v>
      </c>
      <c r="L243" s="24">
        <f>IF($B$3="Prices",(L70*AF26),IF($B$3="Costs",'Top Down inputs'!J196,"Error"))</f>
        <v>0</v>
      </c>
      <c r="M243" s="24">
        <f>IF($B$3="Prices",(M70*AG26),IF($B$3="Costs",'Top Down inputs'!K196,"Error"))</f>
        <v>0</v>
      </c>
      <c r="N243" s="24">
        <f>IF($B$3="Prices",(N70*AH26),IF($B$3="Costs",'Top Down inputs'!L196,"Error"))</f>
        <v>0</v>
      </c>
      <c r="O243" s="30">
        <f t="shared" si="293"/>
        <v>0</v>
      </c>
      <c r="P243" s="30">
        <f t="shared" si="293"/>
        <v>0</v>
      </c>
      <c r="Q243" s="30">
        <f t="shared" si="293"/>
        <v>0</v>
      </c>
      <c r="R243" s="30">
        <f t="shared" si="293"/>
        <v>0</v>
      </c>
      <c r="S243" s="30">
        <f t="shared" si="293"/>
        <v>0</v>
      </c>
      <c r="U243" t="s">
        <v>275</v>
      </c>
      <c r="V243" t="s">
        <v>265</v>
      </c>
      <c r="W243" t="s">
        <v>367</v>
      </c>
      <c r="X243" t="s">
        <v>283</v>
      </c>
      <c r="AD243" s="28">
        <f t="shared" si="288"/>
        <v>180.04042915797635</v>
      </c>
      <c r="AE243" s="28">
        <f t="shared" si="291"/>
        <v>183.62967572270833</v>
      </c>
      <c r="AF243" s="28">
        <f t="shared" si="291"/>
        <v>187.47807625567549</v>
      </c>
      <c r="AG243" s="28">
        <f t="shared" si="291"/>
        <v>191.24541821898202</v>
      </c>
      <c r="AH243" s="28">
        <f>AG243*(1+AH$234)</f>
        <v>195.07010978155131</v>
      </c>
      <c r="AI243" s="28">
        <f t="shared" si="291"/>
        <v>195.07010978155131</v>
      </c>
      <c r="AJ243" s="28">
        <f t="shared" si="291"/>
        <v>195.07010978155131</v>
      </c>
      <c r="AK243" s="28">
        <f t="shared" si="291"/>
        <v>195.07010978155131</v>
      </c>
      <c r="AL243" s="28">
        <f t="shared" si="291"/>
        <v>195.07010978155131</v>
      </c>
      <c r="AM243" s="28">
        <f t="shared" si="291"/>
        <v>195.07010978155131</v>
      </c>
      <c r="AP243" s="94"/>
    </row>
    <row r="244" spans="1:42" x14ac:dyDescent="0.45">
      <c r="A244" s="9" t="str">
        <v>WX310</v>
      </c>
      <c r="B244" t="s">
        <v>283</v>
      </c>
      <c r="C244" s="9" t="s">
        <v>275</v>
      </c>
      <c r="E244" s="173">
        <f t="shared" si="292"/>
        <v>21778481.651655838</v>
      </c>
      <c r="F244" s="172">
        <f>IF($B$3="Prices",(F71*Z27),IF($B$3="Costs",'Re-scaled copper costs'!V58,"Error"))</f>
        <v>21778481.651655838</v>
      </c>
      <c r="G244" s="172">
        <f>IF($B$3="Prices",(G71*AA27),IF($B$3="Costs",'Re-scaled copper costs'!W58,"Error"))</f>
        <v>29549765.473095838</v>
      </c>
      <c r="H244" s="172">
        <f>IF($B$3="Prices",(H71*AB27),IF($B$3="Costs",'Re-scaled copper costs'!X58,"Error"))</f>
        <v>26638531.486868057</v>
      </c>
      <c r="I244" s="24">
        <f>IF($B$3="Prices",(I71*AC27),IF($B$3="Costs",'Top Down inputs'!G197,"Error"))</f>
        <v>19930206.162307393</v>
      </c>
      <c r="J244" s="24">
        <f>IF($B$3="Prices",(J71*AD27),IF($B$3="Costs",'Top Down inputs'!H197,"Error"))</f>
        <v>9150949.2934773844</v>
      </c>
      <c r="K244" s="24">
        <f>IF($B$3="Prices",(K71*AE27),IF($B$3="Costs",'Top Down inputs'!I197,"Error"))</f>
        <v>569968.93750939588</v>
      </c>
      <c r="L244" s="24">
        <f>IF($B$3="Prices",(L71*AF27),IF($B$3="Costs",'Top Down inputs'!J197,"Error"))</f>
        <v>0</v>
      </c>
      <c r="M244" s="24">
        <f>IF($B$3="Prices",(M71*AG27),IF($B$3="Costs",'Top Down inputs'!K197,"Error"))</f>
        <v>0</v>
      </c>
      <c r="N244" s="24">
        <f>IF($B$3="Prices",(N71*AH27),IF($B$3="Costs",'Top Down inputs'!L197,"Error"))</f>
        <v>0</v>
      </c>
      <c r="O244" s="30">
        <f t="shared" si="293"/>
        <v>0</v>
      </c>
      <c r="P244" s="30">
        <f t="shared" si="293"/>
        <v>0</v>
      </c>
      <c r="Q244" s="30">
        <f t="shared" si="293"/>
        <v>0</v>
      </c>
      <c r="R244" s="30">
        <f t="shared" si="293"/>
        <v>0</v>
      </c>
      <c r="S244" s="30">
        <f t="shared" si="293"/>
        <v>0</v>
      </c>
      <c r="U244" t="s">
        <v>275</v>
      </c>
      <c r="V244" t="s">
        <v>265</v>
      </c>
      <c r="W244" t="s">
        <v>368</v>
      </c>
      <c r="X244" t="s">
        <v>284</v>
      </c>
      <c r="AD244" s="28">
        <f t="shared" si="288"/>
        <v>163.50939207553665</v>
      </c>
      <c r="AE244" s="28">
        <f t="shared" si="291"/>
        <v>166.76907950548372</v>
      </c>
      <c r="AF244" s="28">
        <f t="shared" si="291"/>
        <v>170.26412578232024</v>
      </c>
      <c r="AG244" s="28">
        <f t="shared" si="291"/>
        <v>173.68555616349536</v>
      </c>
      <c r="AH244" s="28">
        <f t="shared" si="291"/>
        <v>177.15907039136584</v>
      </c>
      <c r="AI244" s="28">
        <f>AH244*(1+AI$234)</f>
        <v>177.15907039136584</v>
      </c>
      <c r="AJ244" s="28">
        <f t="shared" si="291"/>
        <v>177.15907039136584</v>
      </c>
      <c r="AK244" s="28">
        <f t="shared" si="291"/>
        <v>177.15907039136584</v>
      </c>
      <c r="AL244" s="28">
        <f t="shared" si="291"/>
        <v>177.15907039136584</v>
      </c>
      <c r="AM244" s="28">
        <f t="shared" si="291"/>
        <v>177.15907039136584</v>
      </c>
    </row>
    <row r="245" spans="1:42" x14ac:dyDescent="0.45">
      <c r="A245" s="9" t="str">
        <v>WX311</v>
      </c>
      <c r="B245" t="s">
        <v>284</v>
      </c>
      <c r="C245" s="9" t="s">
        <v>275</v>
      </c>
      <c r="E245" s="173">
        <f t="shared" si="292"/>
        <v>14800270.69899942</v>
      </c>
      <c r="F245" s="172">
        <f>IF($B$3="Prices",(F72*Z28),IF($B$3="Costs",'Re-scaled copper costs'!V59,"Error"))</f>
        <v>14800270.69899942</v>
      </c>
      <c r="G245" s="172">
        <f>IF($B$3="Prices",(G72*AA28),IF($B$3="Costs",'Re-scaled copper costs'!W59,"Error"))</f>
        <v>16720422.20616347</v>
      </c>
      <c r="H245" s="172">
        <f>IF($B$3="Prices",(H72*AB28),IF($B$3="Costs",'Re-scaled copper costs'!X59,"Error"))</f>
        <v>16674475.887292249</v>
      </c>
      <c r="I245" s="24">
        <f>IF($B$3="Prices",(I72*AC28),IF($B$3="Costs",'Top Down inputs'!G198,"Error"))</f>
        <v>11569088.727604141</v>
      </c>
      <c r="J245" s="24">
        <f>IF($B$3="Prices",(J72*AD28),IF($B$3="Costs",'Top Down inputs'!H198,"Error"))</f>
        <v>5256681.8016062714</v>
      </c>
      <c r="K245" s="24">
        <f>IF($B$3="Prices",(K72*AE28),IF($B$3="Costs",'Top Down inputs'!I198,"Error"))</f>
        <v>322180.6568537936</v>
      </c>
      <c r="L245" s="24">
        <f>IF($B$3="Prices",(L72*AF28),IF($B$3="Costs",'Top Down inputs'!J198,"Error"))</f>
        <v>0</v>
      </c>
      <c r="M245" s="24">
        <f>IF($B$3="Prices",(M72*AG28),IF($B$3="Costs",'Top Down inputs'!K198,"Error"))</f>
        <v>0</v>
      </c>
      <c r="N245" s="24">
        <f>IF($B$3="Prices",(N72*AH28),IF($B$3="Costs",'Top Down inputs'!L198,"Error"))</f>
        <v>0</v>
      </c>
      <c r="O245" s="30">
        <f t="shared" si="293"/>
        <v>0</v>
      </c>
      <c r="P245" s="30">
        <f t="shared" si="293"/>
        <v>0</v>
      </c>
      <c r="Q245" s="30">
        <f t="shared" si="293"/>
        <v>0</v>
      </c>
      <c r="R245" s="30">
        <f t="shared" si="293"/>
        <v>0</v>
      </c>
      <c r="S245" s="30">
        <f t="shared" si="293"/>
        <v>0</v>
      </c>
      <c r="U245" t="s">
        <v>3</v>
      </c>
      <c r="V245" t="s">
        <v>265</v>
      </c>
      <c r="W245" t="s">
        <v>326</v>
      </c>
      <c r="X245" t="s">
        <v>285</v>
      </c>
      <c r="AD245" s="28">
        <f t="shared" si="288"/>
        <v>130.34561532975795</v>
      </c>
      <c r="AE245" s="28">
        <f t="shared" si="291"/>
        <v>132.94415696975648</v>
      </c>
      <c r="AF245" s="28">
        <f t="shared" si="291"/>
        <v>135.73032082112582</v>
      </c>
      <c r="AG245" s="28">
        <f t="shared" si="291"/>
        <v>138.45779991380189</v>
      </c>
      <c r="AH245" s="28">
        <f t="shared" si="291"/>
        <v>141.22679895196899</v>
      </c>
      <c r="AI245" s="28">
        <f t="shared" si="291"/>
        <v>141.22679895196899</v>
      </c>
      <c r="AJ245" s="28">
        <f t="shared" si="291"/>
        <v>141.22679895196899</v>
      </c>
      <c r="AK245" s="28">
        <f t="shared" si="291"/>
        <v>141.22679895196899</v>
      </c>
      <c r="AL245" s="28">
        <f t="shared" si="291"/>
        <v>141.22679895196899</v>
      </c>
      <c r="AM245" s="28">
        <f t="shared" si="291"/>
        <v>141.22679895196899</v>
      </c>
    </row>
    <row r="246" spans="1:42" x14ac:dyDescent="0.45">
      <c r="A246" s="9" t="str">
        <v>WN302</v>
      </c>
      <c r="B246" t="s">
        <v>285</v>
      </c>
      <c r="C246" s="9" t="s">
        <v>3</v>
      </c>
      <c r="E246" s="173">
        <f t="shared" si="292"/>
        <v>323534.23396122461</v>
      </c>
      <c r="F246" s="172">
        <f>IF($B$3="Prices",(F73*Z29),IF($B$3="Costs",'Re-scaled copper costs'!V60,"Error"))</f>
        <v>323534.23396122461</v>
      </c>
      <c r="G246" s="172">
        <f>IF($B$3="Prices",(G73*AA29),IF($B$3="Costs",'Re-scaled copper costs'!W60,"Error"))</f>
        <v>164028.79775978922</v>
      </c>
      <c r="H246" s="172">
        <f>IF($B$3="Prices",(H73*AB29),IF($B$3="Costs",'Re-scaled copper costs'!X60,"Error"))</f>
        <v>141773.87460144507</v>
      </c>
      <c r="I246" s="24">
        <f>IF($B$3="Prices",(I73*AC29),IF($B$3="Costs",'Top Down inputs'!G199,"Error"))</f>
        <v>61981.84163603979</v>
      </c>
      <c r="J246" s="24">
        <f>IF($B$3="Prices",(J73*AD29),IF($B$3="Costs",'Top Down inputs'!H199,"Error"))</f>
        <v>23775.937785851664</v>
      </c>
      <c r="K246" s="24">
        <f>IF($B$3="Prices",(K73*AE29),IF($B$3="Costs",'Top Down inputs'!I199,"Error"))</f>
        <v>1319.2632545179431</v>
      </c>
      <c r="L246" s="24">
        <f>IF($B$3="Prices",(L73*AF29),IF($B$3="Costs",'Top Down inputs'!J199,"Error"))</f>
        <v>0</v>
      </c>
      <c r="M246" s="24">
        <f>IF($B$3="Prices",(M73*AG29),IF($B$3="Costs",'Top Down inputs'!K199,"Error"))</f>
        <v>0</v>
      </c>
      <c r="N246" s="24">
        <f>IF($B$3="Prices",(N73*AH29),IF($B$3="Costs",'Top Down inputs'!L199,"Error"))</f>
        <v>0</v>
      </c>
      <c r="O246" s="30">
        <f t="shared" si="293"/>
        <v>0</v>
      </c>
      <c r="P246" s="30">
        <f t="shared" si="293"/>
        <v>0</v>
      </c>
      <c r="Q246" s="30">
        <f t="shared" si="293"/>
        <v>0</v>
      </c>
      <c r="R246" s="30">
        <f t="shared" si="293"/>
        <v>0</v>
      </c>
      <c r="S246" s="30">
        <f t="shared" si="293"/>
        <v>0</v>
      </c>
      <c r="U246" t="s">
        <v>3</v>
      </c>
      <c r="V246" t="s">
        <v>265</v>
      </c>
      <c r="W246" t="s">
        <v>327</v>
      </c>
      <c r="X246" t="s">
        <v>286</v>
      </c>
      <c r="AD246" s="28">
        <f t="shared" si="288"/>
        <v>152.17434310450111</v>
      </c>
      <c r="AE246" s="28">
        <f t="shared" si="291"/>
        <v>155.20805748067002</v>
      </c>
      <c r="AF246" s="28">
        <f t="shared" si="291"/>
        <v>158.46081479660282</v>
      </c>
      <c r="AG246" s="28">
        <f t="shared" si="291"/>
        <v>161.64505953095167</v>
      </c>
      <c r="AH246" s="28">
        <f t="shared" si="291"/>
        <v>164.87777747565627</v>
      </c>
      <c r="AI246" s="28">
        <f t="shared" si="291"/>
        <v>164.87777747565627</v>
      </c>
      <c r="AJ246" s="28">
        <f t="shared" si="291"/>
        <v>164.87777747565627</v>
      </c>
      <c r="AK246" s="28">
        <f t="shared" si="291"/>
        <v>164.87777747565627</v>
      </c>
      <c r="AL246" s="28">
        <f t="shared" si="291"/>
        <v>164.87777747565627</v>
      </c>
      <c r="AM246" s="28">
        <f t="shared" si="291"/>
        <v>164.87777747565627</v>
      </c>
    </row>
    <row r="247" spans="1:42" x14ac:dyDescent="0.45">
      <c r="A247" s="9" t="str">
        <v>WX312</v>
      </c>
      <c r="B247" t="s">
        <v>286</v>
      </c>
      <c r="C247" s="9" t="s">
        <v>3</v>
      </c>
      <c r="E247" s="173">
        <f t="shared" si="292"/>
        <v>280921.64252575435</v>
      </c>
      <c r="F247" s="172">
        <f>IF($B$3="Prices",(F74*Z30),IF($B$3="Costs",'Re-scaled copper costs'!V61,"Error"))</f>
        <v>280921.64252575435</v>
      </c>
      <c r="G247" s="172">
        <f>IF($B$3="Prices",(G74*AA30),IF($B$3="Costs",'Re-scaled copper costs'!W61,"Error"))</f>
        <v>280984.00453732623</v>
      </c>
      <c r="H247" s="172">
        <f>IF($B$3="Prices",(H74*AB30),IF($B$3="Costs",'Re-scaled copper costs'!X61,"Error"))</f>
        <v>569450.19588424312</v>
      </c>
      <c r="I247" s="24">
        <f>IF($B$3="Prices",(I74*AC30),IF($B$3="Costs",'Top Down inputs'!G200,"Error"))</f>
        <v>319743.25218969875</v>
      </c>
      <c r="J247" s="24">
        <f>IF($B$3="Prices",(J74*AD30),IF($B$3="Costs",'Top Down inputs'!H200,"Error"))</f>
        <v>124677.75791268647</v>
      </c>
      <c r="K247" s="24">
        <f>IF($B$3="Prices",(K74*AE30),IF($B$3="Costs",'Top Down inputs'!I200,"Error"))</f>
        <v>7333.2833752472998</v>
      </c>
      <c r="L247" s="24">
        <f>IF($B$3="Prices",(L74*AF30),IF($B$3="Costs",'Top Down inputs'!J200,"Error"))</f>
        <v>0</v>
      </c>
      <c r="M247" s="24">
        <f>IF($B$3="Prices",(M74*AG30),IF($B$3="Costs",'Top Down inputs'!K200,"Error"))</f>
        <v>0</v>
      </c>
      <c r="N247" s="24">
        <f>IF($B$3="Prices",(N74*AH30),IF($B$3="Costs",'Top Down inputs'!L200,"Error"))</f>
        <v>0</v>
      </c>
      <c r="O247" s="30">
        <f t="shared" si="293"/>
        <v>0</v>
      </c>
      <c r="P247" s="30">
        <f t="shared" si="293"/>
        <v>0</v>
      </c>
      <c r="Q247" s="30">
        <f t="shared" si="293"/>
        <v>0</v>
      </c>
      <c r="R247" s="30">
        <f t="shared" si="293"/>
        <v>0</v>
      </c>
      <c r="S247" s="30">
        <f t="shared" si="293"/>
        <v>0</v>
      </c>
      <c r="U247" t="s">
        <v>3</v>
      </c>
      <c r="V247" t="s">
        <v>265</v>
      </c>
      <c r="W247" t="s">
        <v>328</v>
      </c>
      <c r="X247" t="s">
        <v>287</v>
      </c>
      <c r="AD247" s="28">
        <f t="shared" si="288"/>
        <v>148.2479159508421</v>
      </c>
      <c r="AE247" s="28">
        <f t="shared" si="291"/>
        <v>151.20335393520918</v>
      </c>
      <c r="AF247" s="28">
        <f t="shared" si="291"/>
        <v>154.37218307777854</v>
      </c>
      <c r="AG247" s="28">
        <f t="shared" si="291"/>
        <v>157.47426741153834</v>
      </c>
      <c r="AH247" s="28">
        <f t="shared" si="291"/>
        <v>160.62357424199556</v>
      </c>
      <c r="AI247" s="28">
        <f t="shared" si="291"/>
        <v>160.62357424199556</v>
      </c>
      <c r="AJ247" s="28">
        <f t="shared" si="291"/>
        <v>160.62357424199556</v>
      </c>
      <c r="AK247" s="28">
        <f t="shared" si="291"/>
        <v>160.62357424199556</v>
      </c>
      <c r="AL247" s="28">
        <f t="shared" si="291"/>
        <v>160.62357424199556</v>
      </c>
      <c r="AM247" s="28">
        <f t="shared" si="291"/>
        <v>160.62357424199556</v>
      </c>
    </row>
    <row r="248" spans="1:42" x14ac:dyDescent="0.45">
      <c r="A248" s="9" t="str">
        <v>WX338</v>
      </c>
      <c r="B248" t="s">
        <v>287</v>
      </c>
      <c r="C248" s="9" t="s">
        <v>3</v>
      </c>
      <c r="E248" s="173">
        <f t="shared" si="292"/>
        <v>276742.95399790118</v>
      </c>
      <c r="F248" s="172">
        <f>IF($B$3="Prices",(F75*Z31),IF($B$3="Costs",'Re-scaled copper costs'!V62,"Error"))</f>
        <v>276742.95399790118</v>
      </c>
      <c r="G248" s="172">
        <f>IF($B$3="Prices",(G75*AA31),IF($B$3="Costs",'Re-scaled copper costs'!W62,"Error"))</f>
        <v>323918.80383745773</v>
      </c>
      <c r="H248" s="172">
        <f>IF($B$3="Prices",(H75*AB31),IF($B$3="Costs",'Re-scaled copper costs'!X62,"Error"))</f>
        <v>191371.38561246559</v>
      </c>
      <c r="I248" s="24">
        <f>IF($B$3="Prices",(I75*AC31),IF($B$3="Costs",'Top Down inputs'!G201,"Error"))</f>
        <v>106370.99610773876</v>
      </c>
      <c r="J248" s="24">
        <f>IF($B$3="Prices",(J75*AD31),IF($B$3="Costs",'Top Down inputs'!H201,"Error"))</f>
        <v>41104.601920202535</v>
      </c>
      <c r="K248" s="24">
        <f>IF($B$3="Prices",(K75*AE31),IF($B$3="Costs",'Top Down inputs'!I201,"Error"))</f>
        <v>2407.2785717685015</v>
      </c>
      <c r="L248" s="24">
        <f>IF($B$3="Prices",(L75*AF31),IF($B$3="Costs",'Top Down inputs'!J201,"Error"))</f>
        <v>0</v>
      </c>
      <c r="M248" s="24">
        <f>IF($B$3="Prices",(M75*AG31),IF($B$3="Costs",'Top Down inputs'!K201,"Error"))</f>
        <v>0</v>
      </c>
      <c r="N248" s="24">
        <f>IF($B$3="Prices",(N75*AH31),IF($B$3="Costs",'Top Down inputs'!L201,"Error"))</f>
        <v>0</v>
      </c>
      <c r="O248" s="30">
        <f t="shared" si="293"/>
        <v>0</v>
      </c>
      <c r="P248" s="30">
        <f t="shared" si="293"/>
        <v>0</v>
      </c>
      <c r="Q248" s="30">
        <f t="shared" si="293"/>
        <v>0</v>
      </c>
      <c r="R248" s="30">
        <f t="shared" si="293"/>
        <v>0</v>
      </c>
      <c r="S248" s="30">
        <f t="shared" si="293"/>
        <v>0</v>
      </c>
      <c r="U248" t="s">
        <v>3</v>
      </c>
      <c r="V248" t="s">
        <v>265</v>
      </c>
      <c r="W248" t="s">
        <v>329</v>
      </c>
      <c r="X248" t="s">
        <v>288</v>
      </c>
      <c r="AD248" s="28">
        <f t="shared" si="288"/>
        <v>132.62732896274804</v>
      </c>
      <c r="AE248" s="28">
        <f t="shared" si="291"/>
        <v>135.27135834601188</v>
      </c>
      <c r="AF248" s="28">
        <f t="shared" si="291"/>
        <v>138.1062942870854</v>
      </c>
      <c r="AG248" s="28">
        <f t="shared" si="291"/>
        <v>140.88151818662521</v>
      </c>
      <c r="AH248" s="28">
        <f t="shared" si="291"/>
        <v>143.69898884264563</v>
      </c>
      <c r="AI248" s="28">
        <f t="shared" si="291"/>
        <v>143.69898884264563</v>
      </c>
      <c r="AJ248" s="28">
        <f t="shared" si="291"/>
        <v>143.69898884264563</v>
      </c>
      <c r="AK248" s="28">
        <f t="shared" si="291"/>
        <v>143.69898884264563</v>
      </c>
      <c r="AL248" s="28">
        <f t="shared" si="291"/>
        <v>143.69898884264563</v>
      </c>
      <c r="AM248" s="28">
        <f t="shared" si="291"/>
        <v>143.69898884264563</v>
      </c>
    </row>
    <row r="249" spans="1:42" x14ac:dyDescent="0.45">
      <c r="A249" s="9" t="str">
        <v>WN336</v>
      </c>
      <c r="B249" t="s">
        <v>288</v>
      </c>
      <c r="C249" s="9" t="s">
        <v>3</v>
      </c>
      <c r="E249" s="173">
        <f t="shared" si="292"/>
        <v>150877.73150494581</v>
      </c>
      <c r="F249" s="172">
        <f>IF($B$3="Prices",(F76*Z32),IF($B$3="Costs",'Re-scaled copper costs'!V63,"Error"))</f>
        <v>150877.73150494581</v>
      </c>
      <c r="G249" s="172">
        <f>IF($B$3="Prices",(G76*AA32),IF($B$3="Costs",'Re-scaled copper costs'!W63,"Error"))</f>
        <v>121420.59396530647</v>
      </c>
      <c r="H249" s="172">
        <f>IF($B$3="Prices",(H76*AB32),IF($B$3="Costs",'Re-scaled copper costs'!X63,"Error"))</f>
        <v>65744.326295837105</v>
      </c>
      <c r="I249" s="24">
        <f>IF($B$3="Prices",(I76*AC32),IF($B$3="Costs",'Top Down inputs'!G202,"Error"))</f>
        <v>32802.313924195601</v>
      </c>
      <c r="J249" s="24">
        <f>IF($B$3="Prices",(J76*AD32),IF($B$3="Costs",'Top Down inputs'!H202,"Error"))</f>
        <v>12463.614947947977</v>
      </c>
      <c r="K249" s="24">
        <f>IF($B$3="Prices",(K76*AE32),IF($B$3="Costs",'Top Down inputs'!I202,"Error"))</f>
        <v>688.10133574281554</v>
      </c>
      <c r="L249" s="24">
        <f>IF($B$3="Prices",(L76*AF32),IF($B$3="Costs",'Top Down inputs'!J202,"Error"))</f>
        <v>0</v>
      </c>
      <c r="M249" s="24">
        <f>IF($B$3="Prices",(M76*AG32),IF($B$3="Costs",'Top Down inputs'!K202,"Error"))</f>
        <v>0</v>
      </c>
      <c r="N249" s="24">
        <f>IF($B$3="Prices",(N76*AH32),IF($B$3="Costs",'Top Down inputs'!L202,"Error"))</f>
        <v>0</v>
      </c>
      <c r="O249" s="30">
        <f t="shared" si="293"/>
        <v>0</v>
      </c>
      <c r="P249" s="30">
        <f t="shared" si="293"/>
        <v>0</v>
      </c>
      <c r="Q249" s="30">
        <f t="shared" si="293"/>
        <v>0</v>
      </c>
      <c r="R249" s="30">
        <f t="shared" si="293"/>
        <v>0</v>
      </c>
      <c r="S249" s="30">
        <f t="shared" si="293"/>
        <v>0</v>
      </c>
      <c r="U249" t="s">
        <v>3</v>
      </c>
      <c r="V249" t="s">
        <v>265</v>
      </c>
      <c r="W249" t="s">
        <v>330</v>
      </c>
      <c r="X249" t="s">
        <v>289</v>
      </c>
      <c r="AD249" s="28">
        <f t="shared" si="288"/>
        <v>63.158710979744647</v>
      </c>
      <c r="AE249" s="28">
        <f t="shared" si="291"/>
        <v>64.417829209339828</v>
      </c>
      <c r="AF249" s="28">
        <f t="shared" si="291"/>
        <v>65.767859411626759</v>
      </c>
      <c r="AG249" s="28">
        <f t="shared" si="291"/>
        <v>67.089454029764227</v>
      </c>
      <c r="AH249" s="28">
        <f t="shared" si="291"/>
        <v>68.431167055648103</v>
      </c>
      <c r="AI249" s="28">
        <f t="shared" si="291"/>
        <v>68.431167055648103</v>
      </c>
      <c r="AJ249" s="28">
        <f t="shared" si="291"/>
        <v>68.431167055648103</v>
      </c>
      <c r="AK249" s="28">
        <f t="shared" si="291"/>
        <v>68.431167055648103</v>
      </c>
      <c r="AL249" s="28">
        <f t="shared" si="291"/>
        <v>68.431167055648103</v>
      </c>
      <c r="AM249" s="28">
        <f t="shared" si="291"/>
        <v>68.431167055648103</v>
      </c>
    </row>
    <row r="250" spans="1:42" x14ac:dyDescent="0.45">
      <c r="A250" s="9" t="str">
        <v>WN303</v>
      </c>
      <c r="B250" t="s">
        <v>289</v>
      </c>
      <c r="C250" s="9" t="s">
        <v>3</v>
      </c>
      <c r="E250" s="173">
        <f t="shared" si="292"/>
        <v>2216113.3522696081</v>
      </c>
      <c r="F250" s="172">
        <f>IF($B$3="Prices",(F77*Z33),IF($B$3="Costs",'Re-scaled copper costs'!V64,"Error"))</f>
        <v>2216113.3522696081</v>
      </c>
      <c r="G250" s="172">
        <f>IF($B$3="Prices",(G77*AA33),IF($B$3="Costs",'Re-scaled copper costs'!W64,"Error"))</f>
        <v>1690287.7491410184</v>
      </c>
      <c r="H250" s="172">
        <f>IF($B$3="Prices",(H77*AB33),IF($B$3="Costs",'Re-scaled copper costs'!X64,"Error"))</f>
        <v>791039.41696482839</v>
      </c>
      <c r="I250" s="24">
        <f>IF($B$3="Prices",(I77*AC33),IF($B$3="Costs",'Top Down inputs'!G203,"Error"))</f>
        <v>412115.50513163779</v>
      </c>
      <c r="J250" s="24">
        <f>IF($B$3="Prices",(J77*AD33),IF($B$3="Costs",'Top Down inputs'!H203,"Error"))</f>
        <v>156667.66512388934</v>
      </c>
      <c r="K250" s="24">
        <f>IF($B$3="Prices",(K77*AE33),IF($B$3="Costs",'Top Down inputs'!I203,"Error"))</f>
        <v>8664.6537910369025</v>
      </c>
      <c r="L250" s="24">
        <f>IF($B$3="Prices",(L77*AF33),IF($B$3="Costs",'Top Down inputs'!J203,"Error"))</f>
        <v>0</v>
      </c>
      <c r="M250" s="24">
        <f>IF($B$3="Prices",(M77*AG33),IF($B$3="Costs",'Top Down inputs'!K203,"Error"))</f>
        <v>0</v>
      </c>
      <c r="N250" s="24">
        <f>IF($B$3="Prices",(N77*AH33),IF($B$3="Costs",'Top Down inputs'!L203,"Error"))</f>
        <v>0</v>
      </c>
      <c r="O250" s="30">
        <f t="shared" si="293"/>
        <v>0</v>
      </c>
      <c r="P250" s="30">
        <f t="shared" si="293"/>
        <v>0</v>
      </c>
      <c r="Q250" s="30">
        <f t="shared" si="293"/>
        <v>0</v>
      </c>
      <c r="R250" s="30">
        <f t="shared" si="293"/>
        <v>0</v>
      </c>
      <c r="S250" s="30">
        <f t="shared" si="293"/>
        <v>0</v>
      </c>
      <c r="U250" t="s">
        <v>3</v>
      </c>
      <c r="V250" t="s">
        <v>265</v>
      </c>
      <c r="W250" t="s">
        <v>331</v>
      </c>
      <c r="X250" t="s">
        <v>290</v>
      </c>
      <c r="AD250" s="28">
        <f t="shared" si="288"/>
        <v>57.847742583195789</v>
      </c>
      <c r="AE250" s="28">
        <f t="shared" si="291"/>
        <v>59.00098251000162</v>
      </c>
      <c r="AF250" s="28">
        <f t="shared" si="291"/>
        <v>60.237489690246001</v>
      </c>
      <c r="AG250" s="28">
        <f t="shared" si="291"/>
        <v>61.447952413176992</v>
      </c>
      <c r="AH250" s="28">
        <f t="shared" si="291"/>
        <v>62.676841802112477</v>
      </c>
      <c r="AI250" s="28">
        <f t="shared" si="291"/>
        <v>62.676841802112477</v>
      </c>
      <c r="AJ250" s="28">
        <f t="shared" si="291"/>
        <v>62.676841802112477</v>
      </c>
      <c r="AK250" s="28">
        <f t="shared" si="291"/>
        <v>62.676841802112477</v>
      </c>
      <c r="AL250" s="28">
        <f t="shared" si="291"/>
        <v>62.676841802112477</v>
      </c>
      <c r="AM250" s="28">
        <f t="shared" si="291"/>
        <v>62.676841802112477</v>
      </c>
    </row>
    <row r="251" spans="1:42" x14ac:dyDescent="0.45">
      <c r="A251" s="9" t="str">
        <v>WN337</v>
      </c>
      <c r="B251" t="s">
        <v>290</v>
      </c>
      <c r="C251" s="9" t="s">
        <v>3</v>
      </c>
      <c r="E251" s="173">
        <f t="shared" si="292"/>
        <v>1624672.1134064414</v>
      </c>
      <c r="F251" s="172">
        <f>IF($B$3="Prices",(F78*Z34),IF($B$3="Costs",'Re-scaled copper costs'!V65,"Error"))</f>
        <v>1624672.1134064414</v>
      </c>
      <c r="G251" s="172">
        <f>IF($B$3="Prices",(G78*AA34),IF($B$3="Costs",'Re-scaled copper costs'!W65,"Error"))</f>
        <v>1007621.3315253715</v>
      </c>
      <c r="H251" s="172">
        <f>IF($B$3="Prices",(H78*AB34),IF($B$3="Costs",'Re-scaled copper costs'!X65,"Error"))</f>
        <v>416310.34370024723</v>
      </c>
      <c r="I251" s="24">
        <f>IF($B$3="Prices",(I78*AC34),IF($B$3="Costs",'Top Down inputs'!G204,"Error"))</f>
        <v>152311.42257407369</v>
      </c>
      <c r="J251" s="24">
        <f>IF($B$3="Prices",(J78*AD34),IF($B$3="Costs",'Top Down inputs'!H204,"Error"))</f>
        <v>58447.564544655674</v>
      </c>
      <c r="K251" s="24">
        <f>IF($B$3="Prices",(K78*AE34),IF($B$3="Costs",'Top Down inputs'!I204,"Error"))</f>
        <v>3247.2218133400406</v>
      </c>
      <c r="L251" s="24">
        <f>IF($B$3="Prices",(L78*AF34),IF($B$3="Costs",'Top Down inputs'!J204,"Error"))</f>
        <v>0</v>
      </c>
      <c r="M251" s="24">
        <f>IF($B$3="Prices",(M78*AG34),IF($B$3="Costs",'Top Down inputs'!K204,"Error"))</f>
        <v>0</v>
      </c>
      <c r="N251" s="24">
        <f>IF($B$3="Prices",(N78*AH34),IF($B$3="Costs",'Top Down inputs'!L204,"Error"))</f>
        <v>0</v>
      </c>
      <c r="O251" s="30">
        <f t="shared" si="293"/>
        <v>0</v>
      </c>
      <c r="P251" s="30">
        <f t="shared" si="293"/>
        <v>0</v>
      </c>
      <c r="Q251" s="30">
        <f t="shared" si="293"/>
        <v>0</v>
      </c>
      <c r="R251" s="30">
        <f t="shared" si="293"/>
        <v>0</v>
      </c>
      <c r="S251" s="30">
        <f t="shared" si="293"/>
        <v>0</v>
      </c>
      <c r="U251" t="s">
        <v>3</v>
      </c>
      <c r="V251" t="s">
        <v>265</v>
      </c>
      <c r="W251" t="s">
        <v>332</v>
      </c>
      <c r="X251" t="s">
        <v>291</v>
      </c>
      <c r="AD251" s="28">
        <f t="shared" si="288"/>
        <v>54.429167709557298</v>
      </c>
      <c r="AE251" s="28">
        <f t="shared" si="291"/>
        <v>55.514255676390185</v>
      </c>
      <c r="AF251" s="28">
        <f t="shared" si="291"/>
        <v>56.677690128318893</v>
      </c>
      <c r="AG251" s="28">
        <f t="shared" si="291"/>
        <v>57.816619248289719</v>
      </c>
      <c r="AH251" s="28">
        <f t="shared" si="291"/>
        <v>58.972886090520745</v>
      </c>
      <c r="AI251" s="28">
        <f t="shared" si="291"/>
        <v>58.972886090520745</v>
      </c>
      <c r="AJ251" s="28">
        <f t="shared" si="291"/>
        <v>58.972886090520745</v>
      </c>
      <c r="AK251" s="28">
        <f t="shared" si="291"/>
        <v>58.972886090520745</v>
      </c>
      <c r="AL251" s="28">
        <f t="shared" si="291"/>
        <v>58.972886090520745</v>
      </c>
      <c r="AM251" s="28">
        <f t="shared" si="291"/>
        <v>58.972886090520745</v>
      </c>
    </row>
    <row r="252" spans="1:42" x14ac:dyDescent="0.45">
      <c r="A252" s="9" t="str">
        <v>WX313</v>
      </c>
      <c r="B252" t="s">
        <v>291</v>
      </c>
      <c r="C252" s="9" t="s">
        <v>3</v>
      </c>
      <c r="E252" s="173">
        <f t="shared" si="292"/>
        <v>1893322.4677408645</v>
      </c>
      <c r="F252" s="172">
        <f>IF($B$3="Prices",(F79*Z35),IF($B$3="Costs",'Re-scaled copper costs'!V66,"Error"))</f>
        <v>1893322.4677408645</v>
      </c>
      <c r="G252" s="172">
        <f>IF($B$3="Prices",(G79*AA35),IF($B$3="Costs",'Re-scaled copper costs'!W66,"Error"))</f>
        <v>974955.17001868947</v>
      </c>
      <c r="H252" s="172">
        <f>IF($B$3="Prices",(H79*AB35),IF($B$3="Costs",'Re-scaled copper costs'!X66,"Error"))</f>
        <v>373178.78589471983</v>
      </c>
      <c r="I252" s="24">
        <f>IF($B$3="Prices",(I79*AC35),IF($B$3="Costs",'Top Down inputs'!G205,"Error"))</f>
        <v>257251.41155040925</v>
      </c>
      <c r="J252" s="24">
        <f>IF($B$3="Prices",(J79*AD35),IF($B$3="Costs",'Top Down inputs'!H205,"Error"))</f>
        <v>99491.626526109801</v>
      </c>
      <c r="K252" s="24">
        <f>IF($B$3="Prices",(K79*AE35),IF($B$3="Costs",'Top Down inputs'!I205,"Error"))</f>
        <v>5842.1368836219672</v>
      </c>
      <c r="L252" s="24">
        <f>IF($B$3="Prices",(L79*AF35),IF($B$3="Costs",'Top Down inputs'!J205,"Error"))</f>
        <v>0</v>
      </c>
      <c r="M252" s="24">
        <f>IF($B$3="Prices",(M79*AG35),IF($B$3="Costs",'Top Down inputs'!K205,"Error"))</f>
        <v>0</v>
      </c>
      <c r="N252" s="24">
        <f>IF($B$3="Prices",(N79*AH35),IF($B$3="Costs",'Top Down inputs'!L205,"Error"))</f>
        <v>0</v>
      </c>
      <c r="O252" s="30">
        <f t="shared" si="293"/>
        <v>0</v>
      </c>
      <c r="P252" s="30">
        <f t="shared" si="293"/>
        <v>0</v>
      </c>
      <c r="Q252" s="30">
        <f t="shared" si="293"/>
        <v>0</v>
      </c>
      <c r="R252" s="30">
        <f t="shared" si="293"/>
        <v>0</v>
      </c>
      <c r="S252" s="30">
        <f t="shared" si="293"/>
        <v>0</v>
      </c>
      <c r="U252" t="s">
        <v>3</v>
      </c>
      <c r="V252" t="s">
        <v>265</v>
      </c>
      <c r="W252" t="s">
        <v>333</v>
      </c>
      <c r="X252" t="s">
        <v>292</v>
      </c>
      <c r="AD252" s="28">
        <f t="shared" si="288"/>
        <v>53.181891355679205</v>
      </c>
      <c r="AE252" s="28">
        <f t="shared" si="291"/>
        <v>54.242113894289297</v>
      </c>
      <c r="AF252" s="28">
        <f t="shared" si="291"/>
        <v>55.378887562262584</v>
      </c>
      <c r="AG252" s="28">
        <f t="shared" si="291"/>
        <v>56.491717452356092</v>
      </c>
      <c r="AH252" s="28">
        <f t="shared" si="291"/>
        <v>57.62148776061872</v>
      </c>
      <c r="AI252" s="28">
        <f t="shared" si="291"/>
        <v>57.62148776061872</v>
      </c>
      <c r="AJ252" s="28">
        <f t="shared" si="291"/>
        <v>57.62148776061872</v>
      </c>
      <c r="AK252" s="28">
        <f t="shared" si="291"/>
        <v>57.62148776061872</v>
      </c>
      <c r="AL252" s="28">
        <f t="shared" si="291"/>
        <v>57.62148776061872</v>
      </c>
      <c r="AM252" s="28">
        <f t="shared" si="291"/>
        <v>57.62148776061872</v>
      </c>
    </row>
    <row r="253" spans="1:42" x14ac:dyDescent="0.45">
      <c r="A253" s="9" t="str">
        <v>WX339</v>
      </c>
      <c r="B253" t="s">
        <v>292</v>
      </c>
      <c r="C253" s="9" t="s">
        <v>3</v>
      </c>
      <c r="E253" s="173">
        <f t="shared" si="292"/>
        <v>4288241.7480213763</v>
      </c>
      <c r="F253" s="172">
        <f>IF($B$3="Prices",(F80*Z36),IF($B$3="Costs",'Re-scaled copper costs'!V67,"Error"))</f>
        <v>4288241.7480213763</v>
      </c>
      <c r="G253" s="172">
        <f>IF($B$3="Prices",(G80*AA36),IF($B$3="Costs",'Re-scaled copper costs'!W67,"Error"))</f>
        <v>2386907.6005709893</v>
      </c>
      <c r="H253" s="172">
        <f>IF($B$3="Prices",(H80*AB36),IF($B$3="Costs",'Re-scaled copper costs'!X67,"Error"))</f>
        <v>924170.26456166513</v>
      </c>
      <c r="I253" s="24">
        <f>IF($B$3="Prices",(I80*AC36),IF($B$3="Costs",'Top Down inputs'!G206,"Error"))</f>
        <v>563296.46398625814</v>
      </c>
      <c r="J253" s="24">
        <f>IF($B$3="Prices",(J80*AD36),IF($B$3="Costs",'Top Down inputs'!H206,"Error"))</f>
        <v>219881.68856733566</v>
      </c>
      <c r="K253" s="24">
        <f>IF($B$3="Prices",(K80*AE36),IF($B$3="Costs",'Top Down inputs'!I206,"Error"))</f>
        <v>12954.881418440476</v>
      </c>
      <c r="L253" s="24">
        <f>IF($B$3="Prices",(L80*AF36),IF($B$3="Costs",'Top Down inputs'!J206,"Error"))</f>
        <v>0</v>
      </c>
      <c r="M253" s="24">
        <f>IF($B$3="Prices",(M80*AG36),IF($B$3="Costs",'Top Down inputs'!K206,"Error"))</f>
        <v>0</v>
      </c>
      <c r="N253" s="24">
        <f>IF($B$3="Prices",(N80*AH36),IF($B$3="Costs",'Top Down inputs'!L206,"Error"))</f>
        <v>0</v>
      </c>
      <c r="O253" s="30">
        <f t="shared" si="293"/>
        <v>0</v>
      </c>
      <c r="P253" s="30">
        <f t="shared" si="293"/>
        <v>0</v>
      </c>
      <c r="Q253" s="30">
        <f t="shared" si="293"/>
        <v>0</v>
      </c>
      <c r="R253" s="30">
        <f t="shared" si="293"/>
        <v>0</v>
      </c>
      <c r="S253" s="30">
        <f t="shared" si="293"/>
        <v>0</v>
      </c>
      <c r="U253" t="s">
        <v>275</v>
      </c>
      <c r="V253" t="s">
        <v>294</v>
      </c>
      <c r="W253" t="s">
        <v>369</v>
      </c>
      <c r="X253" t="s">
        <v>293</v>
      </c>
      <c r="AD253" s="28">
        <f t="shared" si="288"/>
        <v>189.03633979163359</v>
      </c>
      <c r="AE253" s="28">
        <f t="shared" si="291"/>
        <v>192.80492686054842</v>
      </c>
      <c r="AF253" s="28">
        <f t="shared" si="291"/>
        <v>196.84561680006169</v>
      </c>
      <c r="AG253" s="28">
        <f t="shared" si="291"/>
        <v>200.80119799267263</v>
      </c>
      <c r="AH253" s="28">
        <f t="shared" si="291"/>
        <v>204.81699431798376</v>
      </c>
      <c r="AI253" s="28">
        <f t="shared" si="291"/>
        <v>204.81699431798376</v>
      </c>
      <c r="AJ253" s="28">
        <f t="shared" si="291"/>
        <v>204.81699431798376</v>
      </c>
      <c r="AK253" s="28">
        <f t="shared" si="291"/>
        <v>204.81699431798376</v>
      </c>
      <c r="AL253" s="28">
        <f t="shared" si="291"/>
        <v>204.81699431798376</v>
      </c>
      <c r="AM253" s="28">
        <f t="shared" si="291"/>
        <v>204.81699431798376</v>
      </c>
    </row>
    <row r="254" spans="1:42" x14ac:dyDescent="0.45">
      <c r="A254" s="9" t="str">
        <v>WN332</v>
      </c>
      <c r="B254" t="s">
        <v>293</v>
      </c>
      <c r="C254" s="9" t="s">
        <v>275</v>
      </c>
      <c r="E254" s="173">
        <f t="shared" si="292"/>
        <v>1078036.0973707745</v>
      </c>
      <c r="F254" s="172">
        <f>IF($B$3="Prices",(F81*Z37),IF($B$3="Costs",'Re-scaled copper costs'!V68,"Error"))</f>
        <v>1078036.0973707745</v>
      </c>
      <c r="G254" s="172">
        <f>IF($B$3="Prices",(G81*AA37),IF($B$3="Costs",'Re-scaled copper costs'!W68,"Error"))</f>
        <v>1827816.9579998062</v>
      </c>
      <c r="H254" s="172">
        <f>IF($B$3="Prices",(H81*AB37),IF($B$3="Costs",'Re-scaled copper costs'!X68,"Error"))</f>
        <v>1439929.7400561541</v>
      </c>
      <c r="I254" s="24">
        <f>IF($B$3="Prices",(I81*AC37),IF($B$3="Costs",'Top Down inputs'!G207,"Error"))</f>
        <v>905095.28640242585</v>
      </c>
      <c r="J254" s="24">
        <f>IF($B$3="Prices",(J81*AD37),IF($B$3="Costs",'Top Down inputs'!H207,"Error"))</f>
        <v>1194575.1817983915</v>
      </c>
      <c r="K254" s="24">
        <f>IF($B$3="Prices",(K81*AE37),IF($B$3="Costs",'Top Down inputs'!I207,"Error"))</f>
        <v>1318769.4955525789</v>
      </c>
      <c r="L254" s="24">
        <f>IF($B$3="Prices",(L81*AF37),IF($B$3="Costs",'Top Down inputs'!J207,"Error"))</f>
        <v>1545353.5755811334</v>
      </c>
      <c r="M254" s="24">
        <f>IF($B$3="Prices",(M81*AG37),IF($B$3="Costs",'Top Down inputs'!K207,"Error"))</f>
        <v>1859844.2949394574</v>
      </c>
      <c r="N254" s="24">
        <f>IF($B$3="Prices",(N81*AH37),IF($B$3="Costs",'Top Down inputs'!L207,"Error"))</f>
        <v>2333140.0815500156</v>
      </c>
      <c r="O254" s="30">
        <f t="shared" si="293"/>
        <v>2329629.3587332712</v>
      </c>
      <c r="P254" s="30">
        <f t="shared" si="293"/>
        <v>2325873.1120416592</v>
      </c>
      <c r="Q254" s="30">
        <f t="shared" si="293"/>
        <v>0</v>
      </c>
      <c r="R254" s="30">
        <f t="shared" si="293"/>
        <v>0</v>
      </c>
      <c r="S254" s="30">
        <f t="shared" si="293"/>
        <v>0</v>
      </c>
      <c r="U254" t="s">
        <v>275</v>
      </c>
      <c r="V254" t="s">
        <v>294</v>
      </c>
      <c r="W254" t="s">
        <v>370</v>
      </c>
      <c r="X254" t="s">
        <v>295</v>
      </c>
      <c r="AD254" s="28">
        <f t="shared" si="288"/>
        <v>191.70109600737283</v>
      </c>
      <c r="AE254" s="28">
        <f t="shared" si="291"/>
        <v>195.52280707259183</v>
      </c>
      <c r="AF254" s="28">
        <f t="shared" si="291"/>
        <v>199.62045671437218</v>
      </c>
      <c r="AG254" s="28">
        <f t="shared" si="291"/>
        <v>203.63179787134496</v>
      </c>
      <c r="AH254" s="28">
        <f t="shared" si="291"/>
        <v>207.70420298537263</v>
      </c>
      <c r="AI254" s="28">
        <f t="shared" si="291"/>
        <v>207.70420298537263</v>
      </c>
      <c r="AJ254" s="28">
        <f t="shared" si="291"/>
        <v>207.70420298537263</v>
      </c>
      <c r="AK254" s="28">
        <f t="shared" si="291"/>
        <v>207.70420298537263</v>
      </c>
      <c r="AL254" s="28">
        <f t="shared" si="291"/>
        <v>207.70420298537263</v>
      </c>
      <c r="AM254" s="28">
        <f t="shared" si="291"/>
        <v>207.70420298537263</v>
      </c>
    </row>
    <row r="255" spans="1:42" x14ac:dyDescent="0.45">
      <c r="A255" s="9" t="str">
        <v>WX334</v>
      </c>
      <c r="B255" t="s">
        <v>295</v>
      </c>
      <c r="C255" s="9" t="s">
        <v>275</v>
      </c>
      <c r="E255" s="173">
        <f t="shared" si="292"/>
        <v>593027.26959419169</v>
      </c>
      <c r="F255" s="172">
        <f>IF($B$3="Prices",(F82*Z38),IF($B$3="Costs",'Re-scaled copper costs'!V69,"Error"))</f>
        <v>593027.26959419169</v>
      </c>
      <c r="G255" s="172">
        <f>IF($B$3="Prices",(G82*AA38),IF($B$3="Costs",'Re-scaled copper costs'!W69,"Error"))</f>
        <v>1029769.5959955938</v>
      </c>
      <c r="H255" s="172">
        <f>IF($B$3="Prices",(H82*AB38),IF($B$3="Costs",'Re-scaled copper costs'!X69,"Error"))</f>
        <v>1853946.3014233918</v>
      </c>
      <c r="I255" s="24">
        <f>IF($B$3="Prices",(I82*AC38),IF($B$3="Costs",'Top Down inputs'!G208,"Error"))</f>
        <v>1574273.2244915282</v>
      </c>
      <c r="J255" s="24">
        <f>IF($B$3="Prices",(J82*AD38),IF($B$3="Costs",'Top Down inputs'!H208,"Error"))</f>
        <v>1992803.3266679659</v>
      </c>
      <c r="K255" s="24">
        <f>IF($B$3="Prices",(K82*AE38),IF($B$3="Costs",'Top Down inputs'!I208,"Error"))</f>
        <v>2168739.3590314728</v>
      </c>
      <c r="L255" s="24">
        <f>IF($B$3="Prices",(L82*AF38),IF($B$3="Costs",'Top Down inputs'!J208,"Error"))</f>
        <v>2463419.834746398</v>
      </c>
      <c r="M255" s="24">
        <f>IF($B$3="Prices",(M82*AG38),IF($B$3="Costs",'Top Down inputs'!K208,"Error"))</f>
        <v>2856767.1557650114</v>
      </c>
      <c r="N255" s="24">
        <f>IF($B$3="Prices",(N82*AH38),IF($B$3="Costs",'Top Down inputs'!L208,"Error"))</f>
        <v>3479052.7757513202</v>
      </c>
      <c r="O255" s="30">
        <f t="shared" si="293"/>
        <v>3473817.7750511584</v>
      </c>
      <c r="P255" s="30">
        <f t="shared" si="293"/>
        <v>3468216.6623780709</v>
      </c>
      <c r="Q255" s="30">
        <f t="shared" si="293"/>
        <v>0</v>
      </c>
      <c r="R255" s="30">
        <f t="shared" si="293"/>
        <v>0</v>
      </c>
      <c r="S255" s="30">
        <f t="shared" si="293"/>
        <v>0</v>
      </c>
      <c r="U255" t="s">
        <v>3</v>
      </c>
      <c r="V255" t="s">
        <v>294</v>
      </c>
      <c r="W255" t="s">
        <v>334</v>
      </c>
      <c r="X255" t="s">
        <v>296</v>
      </c>
      <c r="AD255" s="28">
        <f t="shared" si="288"/>
        <v>59.287114728066662</v>
      </c>
      <c r="AE255" s="28">
        <f t="shared" si="291"/>
        <v>60.469049662713289</v>
      </c>
      <c r="AF255" s="28">
        <f t="shared" si="291"/>
        <v>61.736323713239898</v>
      </c>
      <c r="AG255" s="28">
        <f t="shared" si="291"/>
        <v>62.976905266188943</v>
      </c>
      <c r="AH255" s="28">
        <f t="shared" si="291"/>
        <v>64.236371978915713</v>
      </c>
      <c r="AI255" s="28">
        <f t="shared" si="291"/>
        <v>64.236371978915713</v>
      </c>
      <c r="AJ255" s="28">
        <f t="shared" si="291"/>
        <v>64.236371978915713</v>
      </c>
      <c r="AK255" s="28">
        <f t="shared" si="291"/>
        <v>64.236371978915713</v>
      </c>
      <c r="AL255" s="28">
        <f t="shared" si="291"/>
        <v>64.236371978915713</v>
      </c>
      <c r="AM255" s="28">
        <f t="shared" si="291"/>
        <v>64.236371978915713</v>
      </c>
    </row>
    <row r="256" spans="1:42" x14ac:dyDescent="0.45">
      <c r="A256" s="9" t="str">
        <v>WN333</v>
      </c>
      <c r="B256" t="s">
        <v>296</v>
      </c>
      <c r="C256" s="9" t="s">
        <v>3</v>
      </c>
      <c r="E256" s="173">
        <f t="shared" si="292"/>
        <v>226790.57915259601</v>
      </c>
      <c r="F256" s="172">
        <f>IF($B$3="Prices",(F83*Z39),IF($B$3="Costs",'Re-scaled copper costs'!V70,"Error"))</f>
        <v>226790.57915259601</v>
      </c>
      <c r="G256" s="172">
        <f>IF($B$3="Prices",(G83*AA39),IF($B$3="Costs",'Re-scaled copper costs'!W70,"Error"))</f>
        <v>458535.23972219863</v>
      </c>
      <c r="H256" s="172">
        <f>IF($B$3="Prices",(H83*AB39),IF($B$3="Costs",'Re-scaled copper costs'!X70,"Error"))</f>
        <v>167684.45883644206</v>
      </c>
      <c r="I256" s="24">
        <f>IF($B$3="Prices",(I83*AC39),IF($B$3="Costs",'Top Down inputs'!G209,"Error"))</f>
        <v>159516.90713252657</v>
      </c>
      <c r="J256" s="24">
        <f>IF($B$3="Prices",(J83*AD39),IF($B$3="Costs",'Top Down inputs'!H209,"Error"))</f>
        <v>171043.70695379455</v>
      </c>
      <c r="K256" s="24">
        <f>IF($B$3="Prices",(K83*AE39),IF($B$3="Costs",'Top Down inputs'!I209,"Error"))</f>
        <v>170658.00093871017</v>
      </c>
      <c r="L256" s="24">
        <f>IF($B$3="Prices",(L83*AF39),IF($B$3="Costs",'Top Down inputs'!J209,"Error"))</f>
        <v>172747.5621819337</v>
      </c>
      <c r="M256" s="24">
        <f>IF($B$3="Prices",(M83*AG39),IF($B$3="Costs",'Top Down inputs'!K209,"Error"))</f>
        <v>171522.56929011855</v>
      </c>
      <c r="N256" s="24">
        <f>IF($B$3="Prices",(N83*AH39),IF($B$3="Costs",'Top Down inputs'!L209,"Error"))</f>
        <v>321653.91924236796</v>
      </c>
      <c r="O256" s="30">
        <f t="shared" si="293"/>
        <v>321169.92011933657</v>
      </c>
      <c r="P256" s="30">
        <f t="shared" si="293"/>
        <v>320652.07231433224</v>
      </c>
      <c r="Q256" s="30">
        <f t="shared" si="293"/>
        <v>0</v>
      </c>
      <c r="R256" s="30">
        <f t="shared" si="293"/>
        <v>0</v>
      </c>
      <c r="S256" s="30">
        <f t="shared" si="293"/>
        <v>0</v>
      </c>
      <c r="U256" t="s">
        <v>3</v>
      </c>
      <c r="V256" t="s">
        <v>294</v>
      </c>
      <c r="W256" t="s">
        <v>335</v>
      </c>
      <c r="X256" t="s">
        <v>297</v>
      </c>
      <c r="AD256" s="28">
        <f t="shared" si="288"/>
        <v>184.97370798612548</v>
      </c>
      <c r="AE256" s="28">
        <f t="shared" si="291"/>
        <v>188.66130331712961</v>
      </c>
      <c r="AF256" s="28">
        <f t="shared" si="291"/>
        <v>192.61515368133922</v>
      </c>
      <c r="AG256" s="28">
        <f t="shared" si="291"/>
        <v>196.48572439405999</v>
      </c>
      <c r="AH256" s="28">
        <f t="shared" si="291"/>
        <v>200.41521613955521</v>
      </c>
      <c r="AI256" s="28">
        <f t="shared" si="291"/>
        <v>200.41521613955521</v>
      </c>
      <c r="AJ256" s="28">
        <f t="shared" si="291"/>
        <v>200.41521613955521</v>
      </c>
      <c r="AK256" s="28">
        <f t="shared" si="291"/>
        <v>200.41521613955521</v>
      </c>
      <c r="AL256" s="28">
        <f t="shared" si="291"/>
        <v>200.41521613955521</v>
      </c>
      <c r="AM256" s="28">
        <f t="shared" si="291"/>
        <v>200.41521613955521</v>
      </c>
    </row>
    <row r="257" spans="1:39" x14ac:dyDescent="0.45">
      <c r="A257" s="9" t="str">
        <v>WX335</v>
      </c>
      <c r="B257" t="s">
        <v>297</v>
      </c>
      <c r="C257" s="9" t="s">
        <v>3</v>
      </c>
      <c r="E257" s="173">
        <f t="shared" si="292"/>
        <v>132321.48417800805</v>
      </c>
      <c r="F257" s="172">
        <f>IF($B$3="Prices",(F84*Z40),IF($B$3="Costs",'Re-scaled copper costs'!V71,"Error"))</f>
        <v>132321.48417800805</v>
      </c>
      <c r="G257" s="172">
        <f>IF($B$3="Prices",(G84*AA40),IF($B$3="Costs",'Re-scaled copper costs'!W71,"Error"))</f>
        <v>101015.72186100112</v>
      </c>
      <c r="H257" s="172">
        <f>IF($B$3="Prices",(H84*AB40),IF($B$3="Costs",'Re-scaled copper costs'!X71,"Error"))</f>
        <v>27944.693015343637</v>
      </c>
      <c r="I257" s="24">
        <f>IF($B$3="Prices",(I84*AC40),IF($B$3="Costs",'Top Down inputs'!G210,"Error"))</f>
        <v>78756.410022268945</v>
      </c>
      <c r="J257" s="24">
        <f>IF($B$3="Prices",(J84*AD40),IF($B$3="Costs",'Top Down inputs'!H210,"Error"))</f>
        <v>85844.484036214664</v>
      </c>
      <c r="K257" s="24">
        <f>IF($B$3="Prices",(K84*AE40),IF($B$3="Costs",'Top Down inputs'!I210,"Error"))</f>
        <v>90828.471398915557</v>
      </c>
      <c r="L257" s="24">
        <f>IF($B$3="Prices",(L84*AF40),IF($B$3="Costs",'Top Down inputs'!J210,"Error"))</f>
        <v>93935.873042825304</v>
      </c>
      <c r="M257" s="24">
        <f>IF($B$3="Prices",(M84*AG40),IF($B$3="Costs",'Top Down inputs'!K210,"Error"))</f>
        <v>98303.976720078252</v>
      </c>
      <c r="N257" s="24">
        <f>IF($B$3="Prices",(N84*AH40),IF($B$3="Costs",'Top Down inputs'!L210,"Error"))</f>
        <v>1440423.1226858504</v>
      </c>
      <c r="O257" s="30">
        <f t="shared" si="293"/>
        <v>1438255.689035994</v>
      </c>
      <c r="P257" s="30">
        <f t="shared" si="293"/>
        <v>1435936.675003405</v>
      </c>
      <c r="Q257" s="30">
        <f t="shared" si="293"/>
        <v>0</v>
      </c>
      <c r="R257" s="30">
        <f t="shared" si="293"/>
        <v>0</v>
      </c>
      <c r="S257" s="30">
        <f t="shared" si="293"/>
        <v>0</v>
      </c>
      <c r="U257" t="s">
        <v>275</v>
      </c>
      <c r="V257" t="s">
        <v>299</v>
      </c>
      <c r="W257" t="s">
        <v>371</v>
      </c>
      <c r="X257" t="s">
        <v>298</v>
      </c>
      <c r="AD257" s="28">
        <f t="shared" si="288"/>
        <v>227.71635347912036</v>
      </c>
      <c r="AE257" s="28">
        <f t="shared" si="291"/>
        <v>232.25605682953315</v>
      </c>
      <c r="AF257" s="28">
        <f t="shared" si="291"/>
        <v>237.12353987316354</v>
      </c>
      <c r="AG257" s="28">
        <f t="shared" si="291"/>
        <v>241.88849948920779</v>
      </c>
      <c r="AH257" s="28">
        <f t="shared" si="291"/>
        <v>246.72599526659468</v>
      </c>
      <c r="AI257" s="28">
        <f t="shared" si="291"/>
        <v>246.72599526659468</v>
      </c>
      <c r="AJ257" s="28">
        <f t="shared" si="291"/>
        <v>246.72599526659468</v>
      </c>
      <c r="AK257" s="28">
        <f t="shared" si="291"/>
        <v>246.72599526659468</v>
      </c>
      <c r="AL257" s="28">
        <f t="shared" si="291"/>
        <v>246.72599526659468</v>
      </c>
      <c r="AM257" s="28">
        <f t="shared" si="291"/>
        <v>246.72599526659468</v>
      </c>
    </row>
    <row r="258" spans="1:39" x14ac:dyDescent="0.45">
      <c r="A258" s="9" t="str">
        <v>WN348</v>
      </c>
      <c r="B258" t="s">
        <v>298</v>
      </c>
      <c r="C258" s="9" t="s">
        <v>275</v>
      </c>
      <c r="E258" s="173">
        <f t="shared" si="292"/>
        <v>5420205.8911816645</v>
      </c>
      <c r="F258" s="172">
        <f>IF($B$3="Prices",(F85*Z41),IF($B$3="Costs",'Re-scaled copper costs'!V72,"Error"))</f>
        <v>5420205.8911816645</v>
      </c>
      <c r="G258" s="172">
        <f>IF($B$3="Prices",(G85*AA41),IF($B$3="Costs",'Re-scaled copper costs'!W72,"Error"))</f>
        <v>12749147.910573762</v>
      </c>
      <c r="H258" s="172">
        <f>IF($B$3="Prices",(H85*AB41),IF($B$3="Costs",'Re-scaled copper costs'!X72,"Error"))</f>
        <v>24629699.539546117</v>
      </c>
      <c r="I258" s="24">
        <f>IF($B$3="Prices",(I85*AC41),IF($B$3="Costs",'Top Down inputs'!G211,"Error"))</f>
        <v>40055644.525058426</v>
      </c>
      <c r="J258" s="24">
        <f>IF($B$3="Prices",(J85*AD41),IF($B$3="Costs",'Top Down inputs'!H211,"Error"))</f>
        <v>54336100.069678381</v>
      </c>
      <c r="K258" s="24">
        <f>IF($B$3="Prices",(K85*AE41),IF($B$3="Costs",'Top Down inputs'!I211,"Error"))</f>
        <v>80607187.017060518</v>
      </c>
      <c r="L258" s="24">
        <f>IF($B$3="Prices",(L85*AF41),IF($B$3="Costs",'Top Down inputs'!J211,"Error"))</f>
        <v>80742450.400080189</v>
      </c>
      <c r="M258" s="24">
        <f>IF($B$3="Prices",(M85*AG41),IF($B$3="Costs",'Top Down inputs'!K211,"Error"))</f>
        <v>63068305.029597804</v>
      </c>
      <c r="N258" s="24">
        <f>IF($B$3="Prices",(N85*AH41),IF($B$3="Costs",'Top Down inputs'!L211,"Error"))</f>
        <v>37448993.345893309</v>
      </c>
      <c r="O258" s="30">
        <f t="shared" si="293"/>
        <v>0</v>
      </c>
      <c r="P258" s="30">
        <f t="shared" si="293"/>
        <v>0</v>
      </c>
      <c r="Q258" s="30">
        <f t="shared" si="293"/>
        <v>0</v>
      </c>
      <c r="R258" s="30">
        <f t="shared" si="293"/>
        <v>0</v>
      </c>
      <c r="S258" s="30">
        <f t="shared" si="293"/>
        <v>0</v>
      </c>
      <c r="U258" t="s">
        <v>275</v>
      </c>
      <c r="V258" t="s">
        <v>299</v>
      </c>
      <c r="W258" t="s">
        <v>372</v>
      </c>
      <c r="X258" t="s">
        <v>300</v>
      </c>
      <c r="AD258" s="28">
        <f t="shared" si="288"/>
        <v>216.56310086778194</v>
      </c>
      <c r="AE258" s="28">
        <f t="shared" si="291"/>
        <v>220.88045541682797</v>
      </c>
      <c r="AF258" s="28">
        <f t="shared" si="291"/>
        <v>225.5095354334575</v>
      </c>
      <c r="AG258" s="28">
        <f t="shared" si="291"/>
        <v>230.04111348744613</v>
      </c>
      <c r="AH258" s="28">
        <f t="shared" si="291"/>
        <v>234.64167497536653</v>
      </c>
      <c r="AI258" s="28">
        <f t="shared" si="291"/>
        <v>234.64167497536653</v>
      </c>
      <c r="AJ258" s="28">
        <f t="shared" si="291"/>
        <v>234.64167497536653</v>
      </c>
      <c r="AK258" s="28">
        <f t="shared" si="291"/>
        <v>234.64167497536653</v>
      </c>
      <c r="AL258" s="28">
        <f t="shared" si="291"/>
        <v>234.64167497536653</v>
      </c>
      <c r="AM258" s="28">
        <f t="shared" si="291"/>
        <v>234.64167497536653</v>
      </c>
    </row>
    <row r="259" spans="1:39" x14ac:dyDescent="0.45">
      <c r="A259" s="9" t="str">
        <v>WN350</v>
      </c>
      <c r="B259" t="s">
        <v>300</v>
      </c>
      <c r="C259" s="9" t="s">
        <v>275</v>
      </c>
      <c r="E259" s="173">
        <f t="shared" si="292"/>
        <v>18078785.291532371</v>
      </c>
      <c r="F259" s="172">
        <f>IF($B$3="Prices",(F86*Z42),IF($B$3="Costs",'Re-scaled copper costs'!V73,"Error"))</f>
        <v>18078785.291532371</v>
      </c>
      <c r="G259" s="172">
        <f>IF($B$3="Prices",(G86*AA42),IF($B$3="Costs",'Re-scaled copper costs'!W73,"Error"))</f>
        <v>39253184.490953662</v>
      </c>
      <c r="H259" s="172">
        <f>IF($B$3="Prices",(H86*AB42),IF($B$3="Costs",'Re-scaled copper costs'!X73,"Error"))</f>
        <v>73027540.551172882</v>
      </c>
      <c r="I259" s="24">
        <f>IF($B$3="Prices",(I86*AC42),IF($B$3="Costs",'Top Down inputs'!G212,"Error"))</f>
        <v>89800855.522688389</v>
      </c>
      <c r="J259" s="24">
        <f>IF($B$3="Prices",(J86*AD42),IF($B$3="Costs",'Top Down inputs'!H212,"Error"))</f>
        <v>118203597.68120404</v>
      </c>
      <c r="K259" s="24">
        <f>IF($B$3="Prices",(K86*AE42),IF($B$3="Costs",'Top Down inputs'!I212,"Error"))</f>
        <v>123174888.28306788</v>
      </c>
      <c r="L259" s="24">
        <f>IF($B$3="Prices",(L86*AF42),IF($B$3="Costs",'Top Down inputs'!J212,"Error"))</f>
        <v>113192332.18931839</v>
      </c>
      <c r="M259" s="24">
        <f>IF($B$3="Prices",(M86*AG42),IF($B$3="Costs",'Top Down inputs'!K212,"Error"))</f>
        <v>112100400.82479325</v>
      </c>
      <c r="N259" s="24">
        <f>IF($B$3="Prices",(N86*AH42),IF($B$3="Costs",'Top Down inputs'!L212,"Error"))</f>
        <v>115874809.14553604</v>
      </c>
      <c r="O259" s="30">
        <f t="shared" si="293"/>
        <v>93342298.199001476</v>
      </c>
      <c r="P259" s="30">
        <f t="shared" si="293"/>
        <v>33289802.3123019</v>
      </c>
      <c r="Q259" s="30">
        <f t="shared" si="293"/>
        <v>0</v>
      </c>
      <c r="R259" s="30">
        <f t="shared" si="293"/>
        <v>0</v>
      </c>
      <c r="S259" s="30">
        <f t="shared" si="293"/>
        <v>0</v>
      </c>
      <c r="U259" t="s">
        <v>275</v>
      </c>
      <c r="V259" t="s">
        <v>299</v>
      </c>
      <c r="W259" t="s">
        <v>373</v>
      </c>
      <c r="X259" t="s">
        <v>301</v>
      </c>
      <c r="AD259" s="28">
        <f t="shared" si="288"/>
        <v>190.46653890447172</v>
      </c>
      <c r="AE259" s="28">
        <f t="shared" si="291"/>
        <v>194.26363810966976</v>
      </c>
      <c r="AF259" s="28">
        <f t="shared" si="291"/>
        <v>198.33489884405301</v>
      </c>
      <c r="AG259" s="28">
        <f t="shared" si="291"/>
        <v>202.32040692119139</v>
      </c>
      <c r="AH259" s="28">
        <f t="shared" si="291"/>
        <v>206.36658570284996</v>
      </c>
      <c r="AI259" s="28">
        <f t="shared" si="291"/>
        <v>206.36658570284996</v>
      </c>
      <c r="AJ259" s="28">
        <f t="shared" si="291"/>
        <v>206.36658570284996</v>
      </c>
      <c r="AK259" s="28">
        <f t="shared" si="291"/>
        <v>206.36658570284996</v>
      </c>
      <c r="AL259" s="28">
        <f t="shared" si="291"/>
        <v>206.36658570284996</v>
      </c>
      <c r="AM259" s="28">
        <f t="shared" si="291"/>
        <v>206.36658570284996</v>
      </c>
    </row>
    <row r="260" spans="1:39" x14ac:dyDescent="0.45">
      <c r="A260" s="9" t="str">
        <v>WX349</v>
      </c>
      <c r="B260" t="s">
        <v>301</v>
      </c>
      <c r="C260" s="9" t="s">
        <v>275</v>
      </c>
      <c r="E260" s="173">
        <f t="shared" si="292"/>
        <v>3144206.8287478699</v>
      </c>
      <c r="F260" s="172">
        <f>IF($B$3="Prices",(F87*Z43),IF($B$3="Costs",'Re-scaled copper costs'!V74,"Error"))</f>
        <v>3144206.8287478699</v>
      </c>
      <c r="G260" s="172">
        <f>IF($B$3="Prices",(G87*AA43),IF($B$3="Costs",'Re-scaled copper costs'!W74,"Error"))</f>
        <v>9329244.0306380875</v>
      </c>
      <c r="H260" s="172">
        <f>IF($B$3="Prices",(H87*AB43),IF($B$3="Costs",'Re-scaled copper costs'!X74,"Error"))</f>
        <v>14965073.776868735</v>
      </c>
      <c r="I260" s="24">
        <f>IF($B$3="Prices",(I87*AC43),IF($B$3="Costs",'Top Down inputs'!G213,"Error"))</f>
        <v>25785443.075565103</v>
      </c>
      <c r="J260" s="24">
        <f>IF($B$3="Prices",(J87*AD43),IF($B$3="Costs",'Top Down inputs'!H213,"Error"))</f>
        <v>35563092.157698594</v>
      </c>
      <c r="K260" s="24">
        <f>IF($B$3="Prices",(K87*AE43),IF($B$3="Costs",'Top Down inputs'!I213,"Error"))</f>
        <v>52725811.775582321</v>
      </c>
      <c r="L260" s="24">
        <f>IF($B$3="Prices",(L87*AF43),IF($B$3="Costs",'Top Down inputs'!J213,"Error"))</f>
        <v>53525326.028283119</v>
      </c>
      <c r="M260" s="24">
        <f>IF($B$3="Prices",(M87*AG43),IF($B$3="Costs",'Top Down inputs'!K213,"Error"))</f>
        <v>40990716.824281715</v>
      </c>
      <c r="N260" s="24">
        <f>IF($B$3="Prices",(N87*AH43),IF($B$3="Costs",'Top Down inputs'!L213,"Error"))</f>
        <v>24489547.236529887</v>
      </c>
      <c r="O260" s="30">
        <f t="shared" si="293"/>
        <v>0</v>
      </c>
      <c r="P260" s="30">
        <f t="shared" si="293"/>
        <v>0</v>
      </c>
      <c r="Q260" s="30">
        <f t="shared" si="293"/>
        <v>0</v>
      </c>
      <c r="R260" s="30">
        <f t="shared" si="293"/>
        <v>0</v>
      </c>
      <c r="S260" s="30">
        <f t="shared" si="293"/>
        <v>0</v>
      </c>
      <c r="U260" t="s">
        <v>275</v>
      </c>
      <c r="V260" t="s">
        <v>299</v>
      </c>
      <c r="W260" t="s">
        <v>374</v>
      </c>
      <c r="X260" t="s">
        <v>302</v>
      </c>
      <c r="AD260" s="28">
        <f t="shared" si="288"/>
        <v>181.4408093040233</v>
      </c>
      <c r="AE260" s="28">
        <f t="shared" si="291"/>
        <v>185.05797354064723</v>
      </c>
      <c r="AF260" s="28">
        <f t="shared" si="291"/>
        <v>188.9363074820472</v>
      </c>
      <c r="AG260" s="28">
        <f t="shared" si="291"/>
        <v>192.73295236866633</v>
      </c>
      <c r="AH260" s="28">
        <f t="shared" si="291"/>
        <v>196.58739292791387</v>
      </c>
      <c r="AI260" s="28">
        <f t="shared" si="291"/>
        <v>196.58739292791387</v>
      </c>
      <c r="AJ260" s="28">
        <f t="shared" si="291"/>
        <v>196.58739292791387</v>
      </c>
      <c r="AK260" s="28">
        <f t="shared" si="291"/>
        <v>196.58739292791387</v>
      </c>
      <c r="AL260" s="28">
        <f t="shared" si="291"/>
        <v>196.58739292791387</v>
      </c>
      <c r="AM260" s="28">
        <f t="shared" si="291"/>
        <v>196.58739292791387</v>
      </c>
    </row>
    <row r="261" spans="1:39" x14ac:dyDescent="0.45">
      <c r="A261" s="9" t="str">
        <v>WX351</v>
      </c>
      <c r="B261" t="s">
        <v>302</v>
      </c>
      <c r="C261" s="9" t="s">
        <v>275</v>
      </c>
      <c r="E261" s="173">
        <f t="shared" si="292"/>
        <v>10050385.358118236</v>
      </c>
      <c r="F261" s="172">
        <f>IF($B$3="Prices",(F88*Z44),IF($B$3="Costs",'Re-scaled copper costs'!V75,"Error"))</f>
        <v>10050385.358118236</v>
      </c>
      <c r="G261" s="172">
        <f>IF($B$3="Prices",(G88*AA44),IF($B$3="Costs",'Re-scaled copper costs'!W75,"Error"))</f>
        <v>23286259.11437792</v>
      </c>
      <c r="H261" s="172">
        <f>IF($B$3="Prices",(H88*AB44),IF($B$3="Costs",'Re-scaled copper costs'!X75,"Error"))</f>
        <v>38289114.0059589</v>
      </c>
      <c r="I261" s="24">
        <f>IF($B$3="Prices",(I88*AC44),IF($B$3="Costs",'Top Down inputs'!G214,"Error"))</f>
        <v>52898502.38261696</v>
      </c>
      <c r="J261" s="24">
        <f>IF($B$3="Prices",(J88*AD44),IF($B$3="Costs",'Top Down inputs'!H214,"Error"))</f>
        <v>70811550.455634087</v>
      </c>
      <c r="K261" s="24">
        <f>IF($B$3="Prices",(K88*AE44),IF($B$3="Costs",'Top Down inputs'!I214,"Error"))</f>
        <v>74593737.872301906</v>
      </c>
      <c r="L261" s="24">
        <f>IF($B$3="Prices",(L88*AF44),IF($B$3="Costs",'Top Down inputs'!J214,"Error"))</f>
        <v>68671738.875046581</v>
      </c>
      <c r="M261" s="24">
        <f>IF($B$3="Prices",(M88*AG44),IF($B$3="Costs",'Top Down inputs'!K214,"Error"))</f>
        <v>68435494.545886293</v>
      </c>
      <c r="N261" s="24">
        <f>IF($B$3="Prices",(N88*AH44),IF($B$3="Costs",'Top Down inputs'!L214,"Error"))</f>
        <v>70677386.508151188</v>
      </c>
      <c r="O261" s="30">
        <f t="shared" si="293"/>
        <v>56933769.608923517</v>
      </c>
      <c r="P261" s="30">
        <f t="shared" si="293"/>
        <v>20304984.682662129</v>
      </c>
      <c r="Q261" s="30">
        <f t="shared" si="293"/>
        <v>0</v>
      </c>
      <c r="R261" s="30">
        <f t="shared" si="293"/>
        <v>0</v>
      </c>
      <c r="S261" s="30">
        <f t="shared" si="293"/>
        <v>0</v>
      </c>
      <c r="U261" t="s">
        <v>3</v>
      </c>
      <c r="V261" t="s">
        <v>299</v>
      </c>
      <c r="W261" t="s">
        <v>336</v>
      </c>
      <c r="X261" t="s">
        <v>303</v>
      </c>
      <c r="AD261" s="28">
        <f t="shared" si="288"/>
        <v>66.761761879701368</v>
      </c>
      <c r="AE261" s="28">
        <f t="shared" si="291"/>
        <v>68.092709742927767</v>
      </c>
      <c r="AF261" s="28">
        <f t="shared" si="291"/>
        <v>69.519755885848426</v>
      </c>
      <c r="AG261" s="28">
        <f t="shared" si="291"/>
        <v>70.916744263680968</v>
      </c>
      <c r="AH261" s="28">
        <f t="shared" si="291"/>
        <v>72.334998755506817</v>
      </c>
      <c r="AI261" s="28">
        <f t="shared" si="291"/>
        <v>72.334998755506817</v>
      </c>
      <c r="AJ261" s="28">
        <f t="shared" si="291"/>
        <v>72.334998755506817</v>
      </c>
      <c r="AK261" s="28">
        <f t="shared" si="291"/>
        <v>72.334998755506817</v>
      </c>
      <c r="AL261" s="28">
        <f t="shared" si="291"/>
        <v>72.334998755506817</v>
      </c>
      <c r="AM261" s="28">
        <f t="shared" si="291"/>
        <v>72.334998755506817</v>
      </c>
    </row>
    <row r="262" spans="1:39" x14ac:dyDescent="0.45">
      <c r="A262" s="9" t="str">
        <v>WX355</v>
      </c>
      <c r="B262" t="s">
        <v>303</v>
      </c>
      <c r="C262" s="9" t="s">
        <v>3</v>
      </c>
      <c r="E262" s="173">
        <f t="shared" si="292"/>
        <v>10374445.316489698</v>
      </c>
      <c r="F262" s="172">
        <f>IF($B$3="Prices",(F89*Z45),IF($B$3="Costs",'Re-scaled copper costs'!V76,"Error"))</f>
        <v>10374445.316489698</v>
      </c>
      <c r="G262" s="172">
        <f>IF($B$3="Prices",(G89*AA45),IF($B$3="Costs",'Re-scaled copper costs'!W76,"Error"))</f>
        <v>11451644.291190021</v>
      </c>
      <c r="H262" s="172">
        <f>IF($B$3="Prices",(H89*AB45),IF($B$3="Costs",'Re-scaled copper costs'!X76,"Error"))</f>
        <v>8099623.6119759083</v>
      </c>
      <c r="I262" s="24">
        <f>IF($B$3="Prices",(I89*AC45),IF($B$3="Costs",'Top Down inputs'!G215,"Error"))</f>
        <v>15461616.53371791</v>
      </c>
      <c r="J262" s="24">
        <f>IF($B$3="Prices",(J89*AD45),IF($B$3="Costs",'Top Down inputs'!H215,"Error"))</f>
        <v>14950384.780907085</v>
      </c>
      <c r="K262" s="24">
        <f>IF($B$3="Prices",(K89*AE45),IF($B$3="Costs",'Top Down inputs'!I215,"Error"))</f>
        <v>10455367.233149709</v>
      </c>
      <c r="L262" s="24">
        <f>IF($B$3="Prices",(L89*AF45),IF($B$3="Costs",'Top Down inputs'!J215,"Error"))</f>
        <v>9882970.5573033188</v>
      </c>
      <c r="M262" s="24">
        <f>IF($B$3="Prices",(M89*AG45),IF($B$3="Costs",'Top Down inputs'!K215,"Error"))</f>
        <v>7911291.392588852</v>
      </c>
      <c r="N262" s="24">
        <f>IF($B$3="Prices",(N89*AH45),IF($B$3="Costs",'Top Down inputs'!L215,"Error"))</f>
        <v>0</v>
      </c>
      <c r="O262" s="30">
        <f t="shared" si="293"/>
        <v>0</v>
      </c>
      <c r="P262" s="30">
        <f t="shared" si="293"/>
        <v>0</v>
      </c>
      <c r="Q262" s="30">
        <f t="shared" si="293"/>
        <v>0</v>
      </c>
      <c r="R262" s="30">
        <f t="shared" si="293"/>
        <v>0</v>
      </c>
      <c r="S262" s="30">
        <f t="shared" si="293"/>
        <v>0</v>
      </c>
      <c r="U262" t="s">
        <v>3</v>
      </c>
      <c r="V262" t="s">
        <v>299</v>
      </c>
      <c r="W262" t="s">
        <v>337</v>
      </c>
      <c r="X262" t="s">
        <v>304</v>
      </c>
      <c r="AD262" s="28">
        <f t="shared" si="288"/>
        <v>22.16327161863811</v>
      </c>
      <c r="AE262" s="28">
        <f t="shared" si="291"/>
        <v>22.605113747611362</v>
      </c>
      <c r="AF262" s="28">
        <f t="shared" si="291"/>
        <v>23.078858154400255</v>
      </c>
      <c r="AG262" s="28">
        <f t="shared" si="291"/>
        <v>23.54262411854263</v>
      </c>
      <c r="AH262" s="28">
        <f t="shared" si="291"/>
        <v>24.013449912255645</v>
      </c>
      <c r="AI262" s="28">
        <f t="shared" si="291"/>
        <v>24.013449912255645</v>
      </c>
      <c r="AJ262" s="28">
        <f t="shared" si="291"/>
        <v>24.013449912255645</v>
      </c>
      <c r="AK262" s="28">
        <f t="shared" si="291"/>
        <v>24.013449912255645</v>
      </c>
      <c r="AL262" s="28">
        <f t="shared" si="291"/>
        <v>24.013449912255645</v>
      </c>
      <c r="AM262" s="28">
        <f t="shared" si="291"/>
        <v>24.013449912255645</v>
      </c>
    </row>
    <row r="263" spans="1:39" x14ac:dyDescent="0.45">
      <c r="A263" s="9" t="str">
        <v>WN354</v>
      </c>
      <c r="B263" t="s">
        <v>304</v>
      </c>
      <c r="C263" s="9" t="s">
        <v>3</v>
      </c>
      <c r="E263" s="173">
        <f t="shared" si="292"/>
        <v>13410072.90125308</v>
      </c>
      <c r="F263" s="172">
        <f>IF($B$3="Prices",(F90*Z46),IF($B$3="Costs",'Re-scaled copper costs'!V77,"Error"))</f>
        <v>13410072.90125308</v>
      </c>
      <c r="G263" s="172">
        <f>IF($B$3="Prices",(G90*AA46),IF($B$3="Costs",'Re-scaled copper costs'!W77,"Error"))</f>
        <v>25719644.449230839</v>
      </c>
      <c r="H263" s="172">
        <f>IF($B$3="Prices",(H90*AB46),IF($B$3="Costs",'Re-scaled copper costs'!X77,"Error"))</f>
        <v>14086397.249656798</v>
      </c>
      <c r="I263" s="24">
        <f>IF($B$3="Prices",(I90*AC46),IF($B$3="Costs",'Top Down inputs'!G216,"Error"))</f>
        <v>24798196.52477733</v>
      </c>
      <c r="J263" s="24">
        <f>IF($B$3="Prices",(J90*AD46),IF($B$3="Costs",'Top Down inputs'!H216,"Error"))</f>
        <v>23976828.558713961</v>
      </c>
      <c r="K263" s="24">
        <f>IF($B$3="Prices",(K90*AE46),IF($B$3="Costs",'Top Down inputs'!I216,"Error"))</f>
        <v>16722872.385986481</v>
      </c>
      <c r="L263" s="24">
        <f>IF($B$3="Prices",(L90*AF46),IF($B$3="Costs",'Top Down inputs'!J216,"Error"))</f>
        <v>15795430.350566061</v>
      </c>
      <c r="M263" s="24">
        <f>IF($B$3="Prices",(M90*AG46),IF($B$3="Costs",'Top Down inputs'!K216,"Error"))</f>
        <v>12652932.086185452</v>
      </c>
      <c r="N263" s="24">
        <f>IF($B$3="Prices",(N90*AH46),IF($B$3="Costs",'Top Down inputs'!L216,"Error"))</f>
        <v>0</v>
      </c>
      <c r="O263" s="30">
        <f t="shared" si="293"/>
        <v>0</v>
      </c>
      <c r="P263" s="30">
        <f t="shared" si="293"/>
        <v>0</v>
      </c>
      <c r="Q263" s="30">
        <f t="shared" si="293"/>
        <v>0</v>
      </c>
      <c r="R263" s="30">
        <f t="shared" si="293"/>
        <v>0</v>
      </c>
      <c r="S263" s="30">
        <f t="shared" si="293"/>
        <v>0</v>
      </c>
      <c r="U263" t="s">
        <v>275</v>
      </c>
      <c r="V263" t="s">
        <v>261</v>
      </c>
      <c r="W263" t="s">
        <v>375</v>
      </c>
      <c r="X263" t="s">
        <v>305</v>
      </c>
      <c r="AD263" s="28">
        <f t="shared" si="288"/>
        <v>8.1737662065971914</v>
      </c>
      <c r="AE263" s="28">
        <f t="shared" si="291"/>
        <v>8.3367166195414359</v>
      </c>
      <c r="AF263" s="28">
        <f t="shared" ref="AF263:AM274" si="294">AE263*(1+AF$234)</f>
        <v>8.5114325229245402</v>
      </c>
      <c r="AG263" s="28">
        <f t="shared" si="294"/>
        <v>8.6824683984353168</v>
      </c>
      <c r="AH263" s="28">
        <f t="shared" si="294"/>
        <v>8.856107923685256</v>
      </c>
      <c r="AI263" s="28">
        <f t="shared" si="294"/>
        <v>8.856107923685256</v>
      </c>
      <c r="AJ263" s="28">
        <f t="shared" si="294"/>
        <v>8.856107923685256</v>
      </c>
      <c r="AK263" s="28">
        <f t="shared" si="294"/>
        <v>8.856107923685256</v>
      </c>
      <c r="AL263" s="28">
        <f t="shared" si="294"/>
        <v>8.856107923685256</v>
      </c>
      <c r="AM263" s="28">
        <f t="shared" si="294"/>
        <v>8.856107923685256</v>
      </c>
    </row>
    <row r="264" spans="1:39" x14ac:dyDescent="0.45">
      <c r="A264" s="9" t="str">
        <v>WN158</v>
      </c>
      <c r="B264" t="s">
        <v>305</v>
      </c>
      <c r="C264" s="9" t="s">
        <v>275</v>
      </c>
      <c r="E264" s="173">
        <f t="shared" si="292"/>
        <v>454696.20194191765</v>
      </c>
      <c r="F264" s="172">
        <f>IF($B$3="Prices",(F91*Z47),IF($B$3="Costs",'Re-scaled copper costs'!V78,"Error"))</f>
        <v>454696.20194191765</v>
      </c>
      <c r="G264" s="172">
        <f>IF($B$3="Prices",(G91*AA47),IF($B$3="Costs",'Re-scaled copper costs'!W78,"Error"))</f>
        <v>474780.77228252054</v>
      </c>
      <c r="H264" s="172">
        <f>IF($B$3="Prices",(H91*AB47),IF($B$3="Costs",'Re-scaled copper costs'!X78,"Error"))</f>
        <v>638026.92596313125</v>
      </c>
      <c r="I264" s="24">
        <f>IF($B$3="Prices",(I91*AC47),IF($B$3="Costs",'Top Down inputs'!G217,"Error"))</f>
        <v>991649.565477508</v>
      </c>
      <c r="J264" s="24">
        <f>IF($B$3="Prices",(J91*AD47),IF($B$3="Costs",'Top Down inputs'!H217,"Error"))</f>
        <v>878172.02230032627</v>
      </c>
      <c r="K264" s="24">
        <f>IF($B$3="Prices",(K91*AE47),IF($B$3="Costs",'Top Down inputs'!I217,"Error"))</f>
        <v>793286.14538714744</v>
      </c>
      <c r="L264" s="24">
        <f>IF($B$3="Prices",(L91*AF47),IF($B$3="Costs",'Top Down inputs'!J217,"Error"))</f>
        <v>622370.04954869801</v>
      </c>
      <c r="M264" s="24">
        <f>IF($B$3="Prices",(M91*AG47),IF($B$3="Costs",'Top Down inputs'!K217,"Error"))</f>
        <v>478751.72861855896</v>
      </c>
      <c r="N264" s="24">
        <f>IF($B$3="Prices",(N91*AH47),IF($B$3="Costs",'Top Down inputs'!L217,"Error"))</f>
        <v>369348.6400367996</v>
      </c>
      <c r="O264" s="30">
        <f t="shared" si="293"/>
        <v>0</v>
      </c>
      <c r="P264" s="30">
        <f t="shared" si="293"/>
        <v>0</v>
      </c>
      <c r="Q264" s="30">
        <f t="shared" si="293"/>
        <v>0</v>
      </c>
      <c r="R264" s="30">
        <f t="shared" si="293"/>
        <v>0</v>
      </c>
      <c r="S264" s="30">
        <f t="shared" si="293"/>
        <v>0</v>
      </c>
      <c r="U264" t="s">
        <v>275</v>
      </c>
      <c r="V264" t="s">
        <v>261</v>
      </c>
      <c r="W264" t="s">
        <v>376</v>
      </c>
      <c r="X264" t="s">
        <v>306</v>
      </c>
      <c r="AD264" s="28">
        <f t="shared" si="288"/>
        <v>7.6496542063273028</v>
      </c>
      <c r="AE264" s="28">
        <f t="shared" si="291"/>
        <v>7.8021560372208301</v>
      </c>
      <c r="AF264" s="28">
        <f t="shared" si="294"/>
        <v>7.9656689407521437</v>
      </c>
      <c r="AG264" s="28">
        <f t="shared" si="294"/>
        <v>8.1257377843505676</v>
      </c>
      <c r="AH264" s="28">
        <f t="shared" si="294"/>
        <v>8.2882433284461143</v>
      </c>
      <c r="AI264" s="28">
        <f t="shared" si="294"/>
        <v>8.2882433284461143</v>
      </c>
      <c r="AJ264" s="28">
        <f t="shared" si="294"/>
        <v>8.2882433284461143</v>
      </c>
      <c r="AK264" s="28">
        <f t="shared" si="294"/>
        <v>8.2882433284461143</v>
      </c>
      <c r="AL264" s="28">
        <f t="shared" si="294"/>
        <v>8.2882433284461143</v>
      </c>
      <c r="AM264" s="28">
        <f t="shared" si="294"/>
        <v>8.2882433284461143</v>
      </c>
    </row>
    <row r="265" spans="1:39" x14ac:dyDescent="0.45">
      <c r="A265" s="9" t="str">
        <v>WX135</v>
      </c>
      <c r="B265" t="s">
        <v>306</v>
      </c>
      <c r="C265" s="9" t="s">
        <v>275</v>
      </c>
      <c r="E265" s="173">
        <f t="shared" si="292"/>
        <v>146233.89894194217</v>
      </c>
      <c r="F265" s="172">
        <f>IF($B$3="Prices",(F92*Z48),IF($B$3="Costs",'Re-scaled copper costs'!V79,"Error"))</f>
        <v>146233.89894194217</v>
      </c>
      <c r="G265" s="172">
        <f>IF($B$3="Prices",(G92*AA48),IF($B$3="Costs",'Re-scaled copper costs'!W79,"Error"))</f>
        <v>95847.22072754665</v>
      </c>
      <c r="H265" s="172">
        <f>IF($B$3="Prices",(H92*AB48),IF($B$3="Costs",'Re-scaled copper costs'!X79,"Error"))</f>
        <v>108996.76250170727</v>
      </c>
      <c r="I265" s="24">
        <f>IF($B$3="Prices",(I92*AC48),IF($B$3="Costs",'Top Down inputs'!G218,"Error"))</f>
        <v>123155.80585317717</v>
      </c>
      <c r="J265" s="24">
        <f>IF($B$3="Prices",(J92*AD48),IF($B$3="Costs",'Top Down inputs'!H218,"Error"))</f>
        <v>109139.22737622468</v>
      </c>
      <c r="K265" s="24">
        <f>IF($B$3="Prices",(K92*AE48),IF($B$3="Costs",'Top Down inputs'!I218,"Error"))</f>
        <v>96476.073379054127</v>
      </c>
      <c r="L265" s="24">
        <f>IF($B$3="Prices",(L92*AF48),IF($B$3="Costs",'Top Down inputs'!J218,"Error"))</f>
        <v>75320.162997179999</v>
      </c>
      <c r="M265" s="24">
        <f>IF($B$3="Prices",(M92*AG48),IF($B$3="Costs",'Top Down inputs'!K218,"Error"))</f>
        <v>57544.61139030206</v>
      </c>
      <c r="N265" s="24">
        <f>IF($B$3="Prices",(N92*AH48),IF($B$3="Costs",'Top Down inputs'!L218,"Error"))</f>
        <v>43813.006579943496</v>
      </c>
      <c r="O265" s="30">
        <f t="shared" si="293"/>
        <v>0</v>
      </c>
      <c r="P265" s="30">
        <f t="shared" si="293"/>
        <v>0</v>
      </c>
      <c r="Q265" s="30">
        <f t="shared" si="293"/>
        <v>0</v>
      </c>
      <c r="R265" s="30">
        <f t="shared" si="293"/>
        <v>0</v>
      </c>
      <c r="S265" s="30">
        <f t="shared" si="293"/>
        <v>0</v>
      </c>
      <c r="U265" t="s">
        <v>3</v>
      </c>
      <c r="V265" t="s">
        <v>261</v>
      </c>
      <c r="W265" t="s">
        <v>338</v>
      </c>
      <c r="X265" t="s">
        <v>307</v>
      </c>
      <c r="AD265" s="28">
        <f t="shared" si="288"/>
        <v>36.891857298546689</v>
      </c>
      <c r="AE265" s="28">
        <f t="shared" si="291"/>
        <v>37.627325285901932</v>
      </c>
      <c r="AF265" s="28">
        <f t="shared" si="294"/>
        <v>38.415896186081802</v>
      </c>
      <c r="AG265" s="28">
        <f t="shared" si="294"/>
        <v>39.18785747697153</v>
      </c>
      <c r="AH265" s="28">
        <f t="shared" si="294"/>
        <v>39.971570201925395</v>
      </c>
      <c r="AI265" s="28">
        <f t="shared" si="294"/>
        <v>39.971570201925395</v>
      </c>
      <c r="AJ265" s="28">
        <f t="shared" si="294"/>
        <v>39.971570201925395</v>
      </c>
      <c r="AK265" s="28">
        <f t="shared" si="294"/>
        <v>39.971570201925395</v>
      </c>
      <c r="AL265" s="28">
        <f t="shared" si="294"/>
        <v>39.971570201925395</v>
      </c>
      <c r="AM265" s="28">
        <f t="shared" si="294"/>
        <v>39.971570201925395</v>
      </c>
    </row>
    <row r="266" spans="1:39" x14ac:dyDescent="0.45">
      <c r="A266" s="9" t="str">
        <v>WN138</v>
      </c>
      <c r="B266" t="s">
        <v>307</v>
      </c>
      <c r="C266" s="9" t="s">
        <v>3</v>
      </c>
      <c r="E266" s="173">
        <f t="shared" si="292"/>
        <v>204779.12402842095</v>
      </c>
      <c r="F266" s="172">
        <f>IF($B$3="Prices",(F93*Z49),IF($B$3="Costs",'Re-scaled copper costs'!V80,"Error"))</f>
        <v>204779.12402842095</v>
      </c>
      <c r="G266" s="172">
        <f>IF($B$3="Prices",(G93*AA49),IF($B$3="Costs",'Re-scaled copper costs'!W80,"Error"))</f>
        <v>438350.53464847337</v>
      </c>
      <c r="H266" s="172">
        <f>IF($B$3="Prices",(H93*AB49),IF($B$3="Costs",'Re-scaled copper costs'!X80,"Error"))</f>
        <v>294918.09908284864</v>
      </c>
      <c r="I266" s="24">
        <f>IF($B$3="Prices",(I93*AC49),IF($B$3="Costs",'Top Down inputs'!G219,"Error"))</f>
        <v>434138.78653378063</v>
      </c>
      <c r="J266" s="24">
        <f>IF($B$3="Prices",(J93*AD49),IF($B$3="Costs",'Top Down inputs'!H219,"Error"))</f>
        <v>322347.95202382462</v>
      </c>
      <c r="K266" s="24">
        <f>IF($B$3="Prices",(K93*AE49),IF($B$3="Costs",'Top Down inputs'!I219,"Error"))</f>
        <v>222589.01787982369</v>
      </c>
      <c r="L266" s="24">
        <f>IF($B$3="Prices",(L93*AF49),IF($B$3="Costs",'Top Down inputs'!J219,"Error"))</f>
        <v>144190.33816194409</v>
      </c>
      <c r="M266" s="24">
        <f>IF($B$3="Prices",(M93*AG49),IF($B$3="Costs",'Top Down inputs'!K219,"Error"))</f>
        <v>87246.031073758932</v>
      </c>
      <c r="N266" s="24">
        <f>IF($B$3="Prices",(N93*AH49),IF($B$3="Costs",'Top Down inputs'!L219,"Error"))</f>
        <v>65629.129936244935</v>
      </c>
      <c r="O266" s="30">
        <f t="shared" si="293"/>
        <v>0</v>
      </c>
      <c r="P266" s="30">
        <f t="shared" si="293"/>
        <v>0</v>
      </c>
      <c r="Q266" s="30">
        <f t="shared" si="293"/>
        <v>0</v>
      </c>
      <c r="R266" s="30">
        <f t="shared" si="293"/>
        <v>0</v>
      </c>
      <c r="S266" s="30">
        <f t="shared" si="293"/>
        <v>0</v>
      </c>
      <c r="U266" t="s">
        <v>3</v>
      </c>
      <c r="V266" t="s">
        <v>261</v>
      </c>
      <c r="W266" t="s">
        <v>339</v>
      </c>
      <c r="X266" t="s">
        <v>308</v>
      </c>
      <c r="AD266" s="28">
        <f t="shared" si="288"/>
        <v>40.369976068871416</v>
      </c>
      <c r="AE266" s="28">
        <f t="shared" si="291"/>
        <v>41.174783070283127</v>
      </c>
      <c r="AF266" s="28">
        <f t="shared" si="294"/>
        <v>42.037699461595416</v>
      </c>
      <c r="AG266" s="28">
        <f t="shared" si="294"/>
        <v>42.882440310154998</v>
      </c>
      <c r="AH266" s="28">
        <f t="shared" si="294"/>
        <v>43.740040503477438</v>
      </c>
      <c r="AI266" s="28">
        <f t="shared" si="294"/>
        <v>43.740040503477438</v>
      </c>
      <c r="AJ266" s="28">
        <f t="shared" si="294"/>
        <v>43.740040503477438</v>
      </c>
      <c r="AK266" s="28">
        <f t="shared" si="294"/>
        <v>43.740040503477438</v>
      </c>
      <c r="AL266" s="28">
        <f t="shared" si="294"/>
        <v>43.740040503477438</v>
      </c>
      <c r="AM266" s="28">
        <f t="shared" si="294"/>
        <v>43.740040503477438</v>
      </c>
    </row>
    <row r="267" spans="1:39" x14ac:dyDescent="0.45">
      <c r="A267" s="9" t="str">
        <v>WX134</v>
      </c>
      <c r="B267" t="s">
        <v>308</v>
      </c>
      <c r="C267" s="9" t="s">
        <v>3</v>
      </c>
      <c r="E267" s="173">
        <f t="shared" si="292"/>
        <v>18582.059611740791</v>
      </c>
      <c r="F267" s="172">
        <f>IF($B$3="Prices",(F94*Z50),IF($B$3="Costs",'Re-scaled copper costs'!V81,"Error"))</f>
        <v>18582.059611740791</v>
      </c>
      <c r="G267" s="172">
        <f>IF($B$3="Prices",(G94*AA50),IF($B$3="Costs",'Re-scaled copper costs'!W81,"Error"))</f>
        <v>4700.8231266772591</v>
      </c>
      <c r="H267" s="172">
        <f>IF($B$3="Prices",(H94*AB50),IF($B$3="Costs",'Re-scaled copper costs'!X81,"Error"))</f>
        <v>965.78613761269764</v>
      </c>
      <c r="I267" s="24">
        <f>IF($B$3="Prices",(I94*AC50),IF($B$3="Costs",'Top Down inputs'!G220,"Error"))</f>
        <v>1310.5710036574151</v>
      </c>
      <c r="J267" s="24">
        <f>IF($B$3="Prices",(J94*AD50),IF($B$3="Costs",'Top Down inputs'!H220,"Error"))</f>
        <v>1002.6365458705624</v>
      </c>
      <c r="K267" s="24">
        <f>IF($B$3="Prices",(K94*AE50),IF($B$3="Costs",'Top Down inputs'!I220,"Error"))</f>
        <v>760.38048476429788</v>
      </c>
      <c r="L267" s="24">
        <f>IF($B$3="Prices",(L94*AF50),IF($B$3="Costs",'Top Down inputs'!J220,"Error"))</f>
        <v>524.96365285332638</v>
      </c>
      <c r="M267" s="24">
        <f>IF($B$3="Prices",(M94*AG50),IF($B$3="Costs",'Top Down inputs'!K220,"Error"))</f>
        <v>342.16406152175119</v>
      </c>
      <c r="N267" s="24">
        <f>IF($B$3="Prices",(N94*AH50),IF($B$3="Costs",'Top Down inputs'!L220,"Error"))</f>
        <v>468.27096475649302</v>
      </c>
      <c r="O267" s="30">
        <f t="shared" si="293"/>
        <v>0</v>
      </c>
      <c r="P267" s="30">
        <f t="shared" si="293"/>
        <v>0</v>
      </c>
      <c r="Q267" s="30">
        <f t="shared" si="293"/>
        <v>0</v>
      </c>
      <c r="R267" s="30">
        <f t="shared" si="293"/>
        <v>0</v>
      </c>
      <c r="S267" s="30">
        <f t="shared" si="293"/>
        <v>0</v>
      </c>
      <c r="U267" t="s">
        <v>275</v>
      </c>
      <c r="V267" t="s">
        <v>261</v>
      </c>
      <c r="W267" t="s">
        <v>377</v>
      </c>
      <c r="X267" t="s">
        <v>309</v>
      </c>
      <c r="AD267" s="28">
        <f t="shared" si="288"/>
        <v>183.02768950238152</v>
      </c>
      <c r="AE267" s="28">
        <f t="shared" si="291"/>
        <v>186.67648943509457</v>
      </c>
      <c r="AF267" s="28">
        <f t="shared" si="294"/>
        <v>190.58874326120974</v>
      </c>
      <c r="AG267" s="28">
        <f t="shared" si="294"/>
        <v>194.41859358057516</v>
      </c>
      <c r="AH267" s="28">
        <f t="shared" si="294"/>
        <v>198.30674505316509</v>
      </c>
      <c r="AI267" s="28">
        <f t="shared" si="294"/>
        <v>198.30674505316509</v>
      </c>
      <c r="AJ267" s="28">
        <f t="shared" si="294"/>
        <v>198.30674505316509</v>
      </c>
      <c r="AK267" s="28">
        <f t="shared" si="294"/>
        <v>198.30674505316509</v>
      </c>
      <c r="AL267" s="28">
        <f t="shared" si="294"/>
        <v>198.30674505316509</v>
      </c>
      <c r="AM267" s="28">
        <f t="shared" si="294"/>
        <v>198.30674505316509</v>
      </c>
    </row>
    <row r="268" spans="1:39" x14ac:dyDescent="0.45">
      <c r="A268" s="9" t="str">
        <v>SL121</v>
      </c>
      <c r="B268" t="s">
        <v>309</v>
      </c>
      <c r="C268" s="9" t="s">
        <v>275</v>
      </c>
      <c r="E268" s="173">
        <f t="shared" si="292"/>
        <v>2802252.5999390627</v>
      </c>
      <c r="F268" s="172">
        <f>IF($B$3="Prices",(F95*Z51),IF($B$3="Costs",'Re-scaled copper costs'!V82,"Error"))</f>
        <v>2802252.5999390627</v>
      </c>
      <c r="G268" s="172">
        <f>IF($B$3="Prices",(G95*AA51),IF($B$3="Costs",'Re-scaled copper costs'!W82,"Error"))</f>
        <v>5898661.9682432692</v>
      </c>
      <c r="H268" s="172">
        <f>IF($B$3="Prices",(H95*AB51),IF($B$3="Costs",'Re-scaled copper costs'!X82,"Error"))</f>
        <v>7285883.1482450152</v>
      </c>
      <c r="I268" s="24">
        <f>IF($B$3="Prices",(I95*AC51),IF($B$3="Costs",'Top Down inputs'!G221,"Error"))</f>
        <v>4849518.8402767936</v>
      </c>
      <c r="J268" s="24">
        <f>IF($B$3="Prices",(J95*AD51),IF($B$3="Costs",'Top Down inputs'!H221,"Error"))</f>
        <v>4069756.9013997912</v>
      </c>
      <c r="K268" s="24">
        <f>IF($B$3="Prices",(K95*AE51),IF($B$3="Costs",'Top Down inputs'!I221,"Error"))</f>
        <v>2804355.9840198099</v>
      </c>
      <c r="L268" s="24">
        <f>IF($B$3="Prices",(L95*AF51),IF($B$3="Costs",'Top Down inputs'!J221,"Error"))</f>
        <v>2029095.8697390261</v>
      </c>
      <c r="M268" s="24">
        <f>IF($B$3="Prices",(M95*AG51),IF($B$3="Costs",'Top Down inputs'!K221,"Error"))</f>
        <v>1227932.9148053185</v>
      </c>
      <c r="N268" s="24">
        <f>IF($B$3="Prices",(N95*AH51),IF($B$3="Costs",'Top Down inputs'!L221,"Error"))</f>
        <v>344136.5276048283</v>
      </c>
      <c r="O268" s="30">
        <f t="shared" si="293"/>
        <v>132350.95341060488</v>
      </c>
      <c r="P268" s="30">
        <f t="shared" si="293"/>
        <v>107348.77145809306</v>
      </c>
      <c r="Q268" s="30">
        <f t="shared" si="293"/>
        <v>0</v>
      </c>
      <c r="R268" s="30">
        <f t="shared" si="293"/>
        <v>0</v>
      </c>
      <c r="S268" s="30">
        <f t="shared" si="293"/>
        <v>0</v>
      </c>
      <c r="U268" t="s">
        <v>275</v>
      </c>
      <c r="V268" t="s">
        <v>261</v>
      </c>
      <c r="W268" t="s">
        <v>378</v>
      </c>
      <c r="X268" t="s">
        <v>310</v>
      </c>
      <c r="AD268" s="28">
        <f t="shared" si="288"/>
        <v>101.02539873978357</v>
      </c>
      <c r="AE268" s="28">
        <f t="shared" si="291"/>
        <v>103.03941896331501</v>
      </c>
      <c r="AF268" s="28">
        <f t="shared" si="294"/>
        <v>105.1988572637662</v>
      </c>
      <c r="AG268" s="28">
        <f t="shared" si="294"/>
        <v>107.31281147845098</v>
      </c>
      <c r="AH268" s="28">
        <f t="shared" si="294"/>
        <v>109.45894605484776</v>
      </c>
      <c r="AI268" s="28">
        <f t="shared" si="294"/>
        <v>109.45894605484776</v>
      </c>
      <c r="AJ268" s="28">
        <f t="shared" si="294"/>
        <v>109.45894605484776</v>
      </c>
      <c r="AK268" s="28">
        <f t="shared" si="294"/>
        <v>109.45894605484776</v>
      </c>
      <c r="AL268" s="28">
        <f t="shared" si="294"/>
        <v>109.45894605484776</v>
      </c>
      <c r="AM268" s="28">
        <f t="shared" si="294"/>
        <v>109.45894605484776</v>
      </c>
    </row>
    <row r="269" spans="1:39" x14ac:dyDescent="0.45">
      <c r="A269" s="9" t="str">
        <v>SL122</v>
      </c>
      <c r="B269" t="s">
        <v>310</v>
      </c>
      <c r="C269" s="9" t="s">
        <v>275</v>
      </c>
      <c r="E269" s="173">
        <f t="shared" si="292"/>
        <v>41252244.928042106</v>
      </c>
      <c r="F269" s="172">
        <f>IF($B$3="Prices",(F96*Z52),IF($B$3="Costs",'Re-scaled copper costs'!V83,"Error"))</f>
        <v>41252244.928042106</v>
      </c>
      <c r="G269" s="172">
        <f>IF($B$3="Prices",(G96*AA52),IF($B$3="Costs",'Re-scaled copper costs'!W83,"Error"))</f>
        <v>59054276.244018309</v>
      </c>
      <c r="H269" s="172">
        <f>IF($B$3="Prices",(H96*AB52),IF($B$3="Costs",'Re-scaled copper costs'!X83,"Error"))</f>
        <v>64589422.510730796</v>
      </c>
      <c r="I269" s="24">
        <f>IF($B$3="Prices",(I96*AC52),IF($B$3="Costs",'Top Down inputs'!G222,"Error"))</f>
        <v>54298424.165277496</v>
      </c>
      <c r="J269" s="24">
        <f>IF($B$3="Prices",(J96*AD52),IF($B$3="Costs",'Top Down inputs'!H222,"Error"))</f>
        <v>46885039.654169649</v>
      </c>
      <c r="K269" s="24">
        <f>IF($B$3="Prices",(K96*AE52),IF($B$3="Costs",'Top Down inputs'!I222,"Error"))</f>
        <v>32367496.675075598</v>
      </c>
      <c r="L269" s="24">
        <f>IF($B$3="Prices",(L96*AF52),IF($B$3="Costs",'Top Down inputs'!J222,"Error"))</f>
        <v>23507773.783053666</v>
      </c>
      <c r="M269" s="24">
        <f>IF($B$3="Prices",(M96*AG52),IF($B$3="Costs",'Top Down inputs'!K222,"Error"))</f>
        <v>14276013.483298678</v>
      </c>
      <c r="N269" s="24">
        <f>IF($B$3="Prices",(N96*AH52),IF($B$3="Costs",'Top Down inputs'!L222,"Error"))</f>
        <v>4009313.9624565542</v>
      </c>
      <c r="O269" s="30">
        <f t="shared" si="293"/>
        <v>1541936.071555021</v>
      </c>
      <c r="P269" s="30">
        <f t="shared" si="293"/>
        <v>1250651.6854081594</v>
      </c>
      <c r="Q269" s="30">
        <f t="shared" si="293"/>
        <v>0</v>
      </c>
      <c r="R269" s="30">
        <f t="shared" si="293"/>
        <v>0</v>
      </c>
      <c r="S269" s="30">
        <f t="shared" si="293"/>
        <v>0</v>
      </c>
      <c r="U269" t="s">
        <v>275</v>
      </c>
      <c r="V269" t="s">
        <v>261</v>
      </c>
      <c r="W269" t="s">
        <v>379</v>
      </c>
      <c r="X269" t="s">
        <v>311</v>
      </c>
      <c r="AD269" s="28">
        <f t="shared" si="288"/>
        <v>153.05144733978463</v>
      </c>
      <c r="AE269" s="28">
        <f t="shared" si="291"/>
        <v>156.10264747389206</v>
      </c>
      <c r="AF269" s="28">
        <f t="shared" si="294"/>
        <v>159.37415306998793</v>
      </c>
      <c r="AG269" s="28">
        <f t="shared" si="294"/>
        <v>162.57675119089129</v>
      </c>
      <c r="AH269" s="28">
        <f t="shared" si="294"/>
        <v>165.82810191259978</v>
      </c>
      <c r="AI269" s="28">
        <f t="shared" si="294"/>
        <v>165.82810191259978</v>
      </c>
      <c r="AJ269" s="28">
        <f t="shared" si="294"/>
        <v>165.82810191259978</v>
      </c>
      <c r="AK269" s="28">
        <f t="shared" si="294"/>
        <v>165.82810191259978</v>
      </c>
      <c r="AL269" s="28">
        <f t="shared" si="294"/>
        <v>165.82810191259978</v>
      </c>
      <c r="AM269" s="28">
        <f t="shared" si="294"/>
        <v>165.82810191259978</v>
      </c>
    </row>
    <row r="270" spans="1:39" x14ac:dyDescent="0.45">
      <c r="A270" s="9" t="str">
        <v>SL150</v>
      </c>
      <c r="B270" t="s">
        <v>311</v>
      </c>
      <c r="C270" s="9" t="s">
        <v>275</v>
      </c>
      <c r="E270" s="173">
        <f t="shared" si="292"/>
        <v>5735435.8187252935</v>
      </c>
      <c r="F270" s="172">
        <f>IF($B$3="Prices",(F97*Z53),IF($B$3="Costs",'Re-scaled copper costs'!V84,"Error"))</f>
        <v>5735435.8187252935</v>
      </c>
      <c r="G270" s="172">
        <f>IF($B$3="Prices",(G97*AA53),IF($B$3="Costs",'Re-scaled copper costs'!W84,"Error"))</f>
        <v>10586730.182436677</v>
      </c>
      <c r="H270" s="172">
        <f>IF($B$3="Prices",(H97*AB53),IF($B$3="Costs",'Re-scaled copper costs'!X84,"Error"))</f>
        <v>12549998.19632626</v>
      </c>
      <c r="I270" s="24">
        <f>IF($B$3="Prices",(I97*AC53),IF($B$3="Costs",'Top Down inputs'!G223,"Error"))</f>
        <v>7983465.5781068821</v>
      </c>
      <c r="J270" s="24">
        <f>IF($B$3="Prices",(J97*AD53),IF($B$3="Costs",'Top Down inputs'!H223,"Error"))</f>
        <v>6789372.7758906679</v>
      </c>
      <c r="K270" s="24">
        <f>IF($B$3="Prices",(K97*AE53),IF($B$3="Costs",'Top Down inputs'!I223,"Error"))</f>
        <v>4681939.3917045873</v>
      </c>
      <c r="L270" s="24">
        <f>IF($B$3="Prices",(L97*AF53),IF($B$3="Costs",'Top Down inputs'!J223,"Error"))</f>
        <v>3435874.9905738267</v>
      </c>
      <c r="M270" s="24">
        <f>IF($B$3="Prices",(M97*AG53),IF($B$3="Costs",'Top Down inputs'!K223,"Error"))</f>
        <v>2083811.084003662</v>
      </c>
      <c r="N270" s="24">
        <f>IF($B$3="Prices",(N97*AH53),IF($B$3="Costs",'Top Down inputs'!L223,"Error"))</f>
        <v>588976.34694002243</v>
      </c>
      <c r="O270" s="30">
        <f t="shared" si="293"/>
        <v>226513.53402193589</v>
      </c>
      <c r="P270" s="30">
        <f t="shared" si="293"/>
        <v>183723.26733792474</v>
      </c>
      <c r="Q270" s="30">
        <f t="shared" si="293"/>
        <v>0</v>
      </c>
      <c r="R270" s="30">
        <f t="shared" si="293"/>
        <v>0</v>
      </c>
      <c r="S270" s="30">
        <f t="shared" si="293"/>
        <v>0</v>
      </c>
      <c r="U270" t="s">
        <v>275</v>
      </c>
      <c r="V270" t="s">
        <v>261</v>
      </c>
      <c r="W270" t="s">
        <v>380</v>
      </c>
      <c r="X270" t="s">
        <v>312</v>
      </c>
      <c r="AD270" s="28">
        <f t="shared" si="288"/>
        <v>101.60077512144765</v>
      </c>
      <c r="AE270" s="28">
        <f t="shared" si="291"/>
        <v>103.6262659225098</v>
      </c>
      <c r="AF270" s="28">
        <f t="shared" si="294"/>
        <v>105.79800300931808</v>
      </c>
      <c r="AG270" s="28">
        <f t="shared" si="294"/>
        <v>107.92399696195214</v>
      </c>
      <c r="AH270" s="28">
        <f t="shared" si="294"/>
        <v>110.08235455515988</v>
      </c>
      <c r="AI270" s="28">
        <f t="shared" si="294"/>
        <v>110.08235455515988</v>
      </c>
      <c r="AJ270" s="28">
        <f t="shared" si="294"/>
        <v>110.08235455515988</v>
      </c>
      <c r="AK270" s="28">
        <f t="shared" si="294"/>
        <v>110.08235455515988</v>
      </c>
      <c r="AL270" s="28">
        <f t="shared" si="294"/>
        <v>110.08235455515988</v>
      </c>
      <c r="AM270" s="28">
        <f t="shared" si="294"/>
        <v>110.08235455515988</v>
      </c>
    </row>
    <row r="271" spans="1:39" x14ac:dyDescent="0.45">
      <c r="A271" s="9" t="str">
        <v>SL151</v>
      </c>
      <c r="B271" t="s">
        <v>312</v>
      </c>
      <c r="C271" s="9" t="s">
        <v>275</v>
      </c>
      <c r="E271" s="173">
        <f t="shared" si="292"/>
        <v>17695337.587177724</v>
      </c>
      <c r="F271" s="172">
        <f>IF($B$3="Prices",(F98*Z54),IF($B$3="Costs",'Re-scaled copper costs'!V85,"Error"))</f>
        <v>17695337.587177724</v>
      </c>
      <c r="G271" s="172">
        <f>IF($B$3="Prices",(G98*AA54),IF($B$3="Costs",'Re-scaled copper costs'!W85,"Error"))</f>
        <v>17189382.299706683</v>
      </c>
      <c r="H271" s="172">
        <f>IF($B$3="Prices",(H98*AB54),IF($B$3="Costs",'Re-scaled copper costs'!X85,"Error"))</f>
        <v>19402146.829358779</v>
      </c>
      <c r="I271" s="24">
        <f>IF($B$3="Prices",(I98*AC54),IF($B$3="Costs",'Top Down inputs'!G224,"Error"))</f>
        <v>14247480.407034084</v>
      </c>
      <c r="J271" s="24">
        <f>IF($B$3="Prices",(J98*AD54),IF($B$3="Costs",'Top Down inputs'!H224,"Error"))</f>
        <v>12315762.877636002</v>
      </c>
      <c r="K271" s="24">
        <f>IF($B$3="Prices",(K98*AE54),IF($B$3="Costs",'Top Down inputs'!I224,"Error"))</f>
        <v>8414797.6726486962</v>
      </c>
      <c r="L271" s="24">
        <f>IF($B$3="Prices",(L98*AF54),IF($B$3="Costs",'Top Down inputs'!J224,"Error"))</f>
        <v>6253220.5224253796</v>
      </c>
      <c r="M271" s="24">
        <f>IF($B$3="Prices",(M98*AG54),IF($B$3="Costs",'Top Down inputs'!K224,"Error"))</f>
        <v>3696367.9830318228</v>
      </c>
      <c r="N271" s="24">
        <f>IF($B$3="Prices",(N98*AH54),IF($B$3="Costs",'Top Down inputs'!L224,"Error"))</f>
        <v>1045349.2115499179</v>
      </c>
      <c r="O271" s="30">
        <f t="shared" si="293"/>
        <v>402029.29273037333</v>
      </c>
      <c r="P271" s="30">
        <f t="shared" si="293"/>
        <v>326082.65790787706</v>
      </c>
      <c r="Q271" s="30">
        <f t="shared" si="293"/>
        <v>0</v>
      </c>
      <c r="R271" s="30">
        <f t="shared" si="293"/>
        <v>0</v>
      </c>
      <c r="S271" s="30">
        <f t="shared" si="293"/>
        <v>0</v>
      </c>
      <c r="U271" t="s">
        <v>3</v>
      </c>
      <c r="V271" t="s">
        <v>261</v>
      </c>
      <c r="W271" t="s">
        <v>340</v>
      </c>
      <c r="X271" t="s">
        <v>313</v>
      </c>
      <c r="AD271" s="28">
        <f t="shared" si="288"/>
        <v>42.48676650463122</v>
      </c>
      <c r="AE271" s="28">
        <f t="shared" si="291"/>
        <v>43.333773376568352</v>
      </c>
      <c r="AF271" s="28">
        <f t="shared" si="294"/>
        <v>44.241936590937307</v>
      </c>
      <c r="AG271" s="28">
        <f t="shared" si="294"/>
        <v>45.13097123213813</v>
      </c>
      <c r="AH271" s="28">
        <f t="shared" si="294"/>
        <v>46.033539494894988</v>
      </c>
      <c r="AI271" s="28">
        <f t="shared" si="294"/>
        <v>46.033539494894988</v>
      </c>
      <c r="AJ271" s="28">
        <f t="shared" si="294"/>
        <v>46.033539494894988</v>
      </c>
      <c r="AK271" s="28">
        <f t="shared" si="294"/>
        <v>46.033539494894988</v>
      </c>
      <c r="AL271" s="28">
        <f t="shared" si="294"/>
        <v>46.033539494894988</v>
      </c>
      <c r="AM271" s="28">
        <f t="shared" si="294"/>
        <v>46.033539494894988</v>
      </c>
    </row>
    <row r="272" spans="1:39" x14ac:dyDescent="0.45">
      <c r="A272" s="9" t="str">
        <v>SL111</v>
      </c>
      <c r="B272" t="s">
        <v>313</v>
      </c>
      <c r="C272" s="9" t="s">
        <v>3</v>
      </c>
      <c r="E272" s="173">
        <f t="shared" si="292"/>
        <v>13450.514350227108</v>
      </c>
      <c r="F272" s="172">
        <f>IF($B$3="Prices",(F99*Z55),IF($B$3="Costs",'Re-scaled copper costs'!V86,"Error"))</f>
        <v>13450.514350227108</v>
      </c>
      <c r="G272" s="172">
        <f>IF($B$3="Prices",(G99*AA55),IF($B$3="Costs",'Re-scaled copper costs'!W86,"Error"))</f>
        <v>9014.2591755133581</v>
      </c>
      <c r="H272" s="172">
        <f>IF($B$3="Prices",(H99*AB55),IF($B$3="Costs",'Re-scaled copper costs'!X86,"Error"))</f>
        <v>4616.6218257753726</v>
      </c>
      <c r="I272" s="24">
        <f>IF($B$3="Prices",(I99*AC55),IF($B$3="Costs",'Top Down inputs'!G225,"Error"))</f>
        <v>3880.0882352645554</v>
      </c>
      <c r="J272" s="24">
        <f>IF($B$3="Prices",(J99*AD55),IF($B$3="Costs",'Top Down inputs'!H225,"Error"))</f>
        <v>2313.8972803232782</v>
      </c>
      <c r="K272" s="24">
        <f>IF($B$3="Prices",(K99*AE55),IF($B$3="Costs",'Top Down inputs'!I225,"Error"))</f>
        <v>1381.6439692461427</v>
      </c>
      <c r="L272" s="24">
        <f>IF($B$3="Prices",(L99*AF55),IF($B$3="Costs",'Top Down inputs'!J225,"Error"))</f>
        <v>890.79422968011988</v>
      </c>
      <c r="M272" s="24">
        <f>IF($B$3="Prices",(M99*AG55),IF($B$3="Costs",'Top Down inputs'!K225,"Error"))</f>
        <v>453.85994149768476</v>
      </c>
      <c r="N272" s="24">
        <f>IF($B$3="Prices",(N99*AH55),IF($B$3="Costs",'Top Down inputs'!L225,"Error"))</f>
        <v>304.90034528348275</v>
      </c>
      <c r="O272" s="30">
        <f t="shared" si="293"/>
        <v>0</v>
      </c>
      <c r="P272" s="30">
        <f t="shared" si="293"/>
        <v>0</v>
      </c>
      <c r="Q272" s="30">
        <f t="shared" si="293"/>
        <v>0</v>
      </c>
      <c r="R272" s="30">
        <f t="shared" si="293"/>
        <v>0</v>
      </c>
      <c r="S272" s="30">
        <f t="shared" si="293"/>
        <v>0</v>
      </c>
      <c r="U272" t="s">
        <v>3</v>
      </c>
      <c r="V272" t="s">
        <v>261</v>
      </c>
      <c r="W272" t="s">
        <v>341</v>
      </c>
      <c r="X272" t="s">
        <v>314</v>
      </c>
      <c r="AD272" s="28">
        <f t="shared" si="288"/>
        <v>50.453682389170268</v>
      </c>
      <c r="AE272" s="28">
        <f t="shared" si="291"/>
        <v>51.459515951333742</v>
      </c>
      <c r="AF272" s="28">
        <f t="shared" si="294"/>
        <v>52.537973601677756</v>
      </c>
      <c r="AG272" s="28">
        <f t="shared" si="294"/>
        <v>53.593715780015259</v>
      </c>
      <c r="AH272" s="28">
        <f t="shared" si="294"/>
        <v>54.665529340096747</v>
      </c>
      <c r="AI272" s="28">
        <f t="shared" si="294"/>
        <v>54.665529340096747</v>
      </c>
      <c r="AJ272" s="28">
        <f t="shared" si="294"/>
        <v>54.665529340096747</v>
      </c>
      <c r="AK272" s="28">
        <f t="shared" si="294"/>
        <v>54.665529340096747</v>
      </c>
      <c r="AL272" s="28">
        <f t="shared" si="294"/>
        <v>54.665529340096747</v>
      </c>
      <c r="AM272" s="28">
        <f t="shared" si="294"/>
        <v>54.665529340096747</v>
      </c>
    </row>
    <row r="273" spans="1:55" x14ac:dyDescent="0.45">
      <c r="A273" s="9" t="str">
        <v>SL112</v>
      </c>
      <c r="B273" t="s">
        <v>314</v>
      </c>
      <c r="C273" s="9" t="s">
        <v>3</v>
      </c>
      <c r="E273" s="173">
        <f t="shared" si="292"/>
        <v>240608.3847691158</v>
      </c>
      <c r="F273" s="172">
        <f>IF($B$3="Prices",(F100*Z56),IF($B$3="Costs",'Re-scaled copper costs'!V87,"Error"))</f>
        <v>240608.3847691158</v>
      </c>
      <c r="G273" s="172">
        <f>IF($B$3="Prices",(G100*AA56),IF($B$3="Costs",'Re-scaled copper costs'!W87,"Error"))</f>
        <v>122234.57824209426</v>
      </c>
      <c r="H273" s="172">
        <f>IF($B$3="Prices",(H100*AB56),IF($B$3="Costs",'Re-scaled copper costs'!X87,"Error"))</f>
        <v>53133.776194121579</v>
      </c>
      <c r="I273" s="24">
        <f>IF($B$3="Prices",(I100*AC56),IF($B$3="Costs",'Top Down inputs'!G226,"Error"))</f>
        <v>36234.113749917567</v>
      </c>
      <c r="J273" s="24">
        <f>IF($B$3="Prices",(J100*AD56),IF($B$3="Costs",'Top Down inputs'!H226,"Error"))</f>
        <v>21610.967632712171</v>
      </c>
      <c r="K273" s="24">
        <f>IF($B$3="Prices",(K100*AE56),IF($B$3="Costs",'Top Down inputs'!I226,"Error"))</f>
        <v>12916.408033197935</v>
      </c>
      <c r="L273" s="24">
        <f>IF($B$3="Prices",(L100*AF56),IF($B$3="Costs",'Top Down inputs'!J226,"Error"))</f>
        <v>8328.6622679252851</v>
      </c>
      <c r="M273" s="24">
        <f>IF($B$3="Prices",(M100*AG56),IF($B$3="Costs",'Top Down inputs'!K226,"Error"))</f>
        <v>4247.3146392570889</v>
      </c>
      <c r="N273" s="24">
        <f>IF($B$3="Prices",(N100*AH56),IF($B$3="Costs",'Top Down inputs'!L226,"Error"))</f>
        <v>2946.5325398507061</v>
      </c>
      <c r="O273" s="30">
        <f t="shared" si="293"/>
        <v>0</v>
      </c>
      <c r="P273" s="30">
        <f t="shared" si="293"/>
        <v>0</v>
      </c>
      <c r="Q273" s="30">
        <f t="shared" si="293"/>
        <v>0</v>
      </c>
      <c r="R273" s="30">
        <f t="shared" si="293"/>
        <v>0</v>
      </c>
      <c r="S273" s="30">
        <f t="shared" si="293"/>
        <v>0</v>
      </c>
      <c r="U273" t="s">
        <v>3</v>
      </c>
      <c r="V273" t="s">
        <v>261</v>
      </c>
      <c r="W273" t="s">
        <v>342</v>
      </c>
      <c r="X273" t="s">
        <v>315</v>
      </c>
      <c r="AD273" s="28">
        <f t="shared" si="288"/>
        <v>50.542950841102332</v>
      </c>
      <c r="AE273" s="28">
        <f t="shared" si="291"/>
        <v>51.550564039572684</v>
      </c>
      <c r="AF273" s="28">
        <f t="shared" si="294"/>
        <v>52.630929821104779</v>
      </c>
      <c r="AG273" s="28">
        <f t="shared" si="294"/>
        <v>53.68853993980732</v>
      </c>
      <c r="AH273" s="28">
        <f t="shared" si="294"/>
        <v>54.762249875589006</v>
      </c>
      <c r="AI273" s="28">
        <f t="shared" si="294"/>
        <v>54.762249875589006</v>
      </c>
      <c r="AJ273" s="28">
        <f t="shared" si="294"/>
        <v>54.762249875589006</v>
      </c>
      <c r="AK273" s="28">
        <f t="shared" si="294"/>
        <v>54.762249875589006</v>
      </c>
      <c r="AL273" s="28">
        <f t="shared" si="294"/>
        <v>54.762249875589006</v>
      </c>
      <c r="AM273" s="28">
        <f t="shared" si="294"/>
        <v>54.762249875589006</v>
      </c>
    </row>
    <row r="274" spans="1:55" x14ac:dyDescent="0.45">
      <c r="A274" s="9" t="str">
        <v>SL140</v>
      </c>
      <c r="B274" t="s">
        <v>315</v>
      </c>
      <c r="C274" s="9" t="s">
        <v>3</v>
      </c>
      <c r="E274" s="173">
        <f t="shared" si="292"/>
        <v>115214.1092160827</v>
      </c>
      <c r="F274" s="172">
        <f>IF($B$3="Prices",(F101*Z57),IF($B$3="Costs",'Re-scaled copper costs'!V88,"Error"))</f>
        <v>115214.1092160827</v>
      </c>
      <c r="G274" s="172">
        <f>IF($B$3="Prices",(G101*AA57),IF($B$3="Costs",'Re-scaled copper costs'!W88,"Error"))</f>
        <v>18745.970043286776</v>
      </c>
      <c r="H274" s="172">
        <f>IF($B$3="Prices",(H101*AB57),IF($B$3="Costs",'Re-scaled copper costs'!X88,"Error"))</f>
        <v>4486.4653088109699</v>
      </c>
      <c r="I274" s="24">
        <f>IF($B$3="Prices",(I101*AC57),IF($B$3="Costs",'Top Down inputs'!G227,"Error"))</f>
        <v>2634.6994072658149</v>
      </c>
      <c r="J274" s="24">
        <f>IF($B$3="Prices",(J101*AD57),IF($B$3="Costs",'Top Down inputs'!H227,"Error"))</f>
        <v>1571.7565341438026</v>
      </c>
      <c r="K274" s="24">
        <f>IF($B$3="Prices",(K101*AE57),IF($B$3="Costs",'Top Down inputs'!I227,"Error"))</f>
        <v>939.2649683069917</v>
      </c>
      <c r="L274" s="24">
        <f>IF($B$3="Prices",(L101*AF57),IF($B$3="Costs",'Top Down inputs'!J227,"Error"))</f>
        <v>605.59899748663179</v>
      </c>
      <c r="M274" s="24">
        <f>IF($B$3="Prices",(M101*AG57),IF($B$3="Costs",'Top Down inputs'!K227,"Error"))</f>
        <v>308.75793355027332</v>
      </c>
      <c r="N274" s="24">
        <f>IF($B$3="Prices",(N101*AH57),IF($B$3="Costs",'Top Down inputs'!L227,"Error"))</f>
        <v>212.15394490087459</v>
      </c>
      <c r="O274" s="30">
        <f t="shared" si="293"/>
        <v>0</v>
      </c>
      <c r="P274" s="30">
        <f t="shared" si="293"/>
        <v>0</v>
      </c>
      <c r="Q274" s="30">
        <f t="shared" si="293"/>
        <v>0</v>
      </c>
      <c r="R274" s="30">
        <f t="shared" si="293"/>
        <v>0</v>
      </c>
      <c r="S274" s="30">
        <f t="shared" si="293"/>
        <v>0</v>
      </c>
      <c r="U274" t="s">
        <v>3</v>
      </c>
      <c r="V274" t="s">
        <v>261</v>
      </c>
      <c r="W274" t="s">
        <v>343</v>
      </c>
      <c r="X274" t="s">
        <v>316</v>
      </c>
      <c r="AD274" s="28">
        <f t="shared" si="288"/>
        <v>54.669980500697804</v>
      </c>
      <c r="AE274" s="28">
        <f t="shared" si="291"/>
        <v>55.759869258594044</v>
      </c>
      <c r="AF274" s="28">
        <f t="shared" si="294"/>
        <v>56.928451132566259</v>
      </c>
      <c r="AG274" s="28">
        <f t="shared" si="294"/>
        <v>58.072419254819003</v>
      </c>
      <c r="AH274" s="28">
        <f t="shared" si="294"/>
        <v>59.233801807197693</v>
      </c>
      <c r="AI274" s="28">
        <f t="shared" si="294"/>
        <v>59.233801807197693</v>
      </c>
      <c r="AJ274" s="28">
        <f t="shared" si="294"/>
        <v>59.233801807197693</v>
      </c>
      <c r="AK274" s="28">
        <f t="shared" si="294"/>
        <v>59.233801807197693</v>
      </c>
      <c r="AL274" s="28">
        <f t="shared" si="294"/>
        <v>59.233801807197693</v>
      </c>
      <c r="AM274" s="28">
        <f t="shared" si="294"/>
        <v>59.233801807197693</v>
      </c>
    </row>
    <row r="275" spans="1:55" x14ac:dyDescent="0.45">
      <c r="A275" s="9" t="str">
        <v>SL144</v>
      </c>
      <c r="B275" t="s">
        <v>316</v>
      </c>
      <c r="C275" s="9" t="s">
        <v>3</v>
      </c>
      <c r="E275" s="173">
        <f t="shared" si="292"/>
        <v>47989.80727846524</v>
      </c>
      <c r="F275" s="172">
        <f>IF($B$3="Prices",(F102*Z58),IF($B$3="Costs",'Re-scaled copper costs'!V89,"Error"))</f>
        <v>47989.80727846524</v>
      </c>
      <c r="G275" s="172">
        <f>IF($B$3="Prices",(G102*AA58),IF($B$3="Costs",'Re-scaled copper costs'!W89,"Error"))</f>
        <v>15346.137037907511</v>
      </c>
      <c r="H275" s="172">
        <f>IF($B$3="Prices",(H102*AB58),IF($B$3="Costs",'Re-scaled copper costs'!X89,"Error"))</f>
        <v>5887.4337502900598</v>
      </c>
      <c r="I275" s="24">
        <f>IF($B$3="Prices",(I102*AC58),IF($B$3="Costs",'Top Down inputs'!G228,"Error"))</f>
        <v>3818.1841210403045</v>
      </c>
      <c r="J275" s="24">
        <f>IF($B$3="Prices",(J102*AD58),IF($B$3="Costs",'Top Down inputs'!H228,"Error"))</f>
        <v>2277.8829025279265</v>
      </c>
      <c r="K275" s="24">
        <f>IF($B$3="Prices",(K102*AE58),IF($B$3="Costs",'Top Down inputs'!I228,"Error"))</f>
        <v>1362.0689296496712</v>
      </c>
      <c r="L275" s="24">
        <f>IF($B$3="Prices",(L102*AF58),IF($B$3="Costs",'Top Down inputs'!J228,"Error"))</f>
        <v>878.44106590675574</v>
      </c>
      <c r="M275" s="24">
        <f>IF($B$3="Prices",(M102*AG58),IF($B$3="Costs",'Top Down inputs'!K228,"Error"))</f>
        <v>448.06453950849709</v>
      </c>
      <c r="N275" s="24">
        <f>IF($B$3="Prices",(N102*AH58),IF($B$3="Costs",'Top Down inputs'!L228,"Error"))</f>
        <v>313.76165849006799</v>
      </c>
      <c r="O275" s="30">
        <f t="shared" si="293"/>
        <v>0</v>
      </c>
      <c r="P275" s="30">
        <f t="shared" si="293"/>
        <v>0</v>
      </c>
      <c r="Q275" s="30">
        <f t="shared" si="293"/>
        <v>0</v>
      </c>
      <c r="R275" s="30">
        <f t="shared" si="293"/>
        <v>0</v>
      </c>
      <c r="S275" s="30">
        <f t="shared" si="293"/>
        <v>0</v>
      </c>
      <c r="X275" s="5" t="s">
        <v>352</v>
      </c>
      <c r="AD275" s="28">
        <f t="shared" si="288"/>
        <v>44.338452781506639</v>
      </c>
      <c r="AE275" s="28">
        <f>AD275*(1+AE$234)</f>
        <v>45.222374465518591</v>
      </c>
      <c r="AF275" s="28">
        <f t="shared" ref="AF275" si="295">AE275*(1+AF$234)</f>
        <v>46.170117848009468</v>
      </c>
      <c r="AG275" s="28">
        <f t="shared" ref="AG275" si="296">AF275*(1+AG$234)</f>
        <v>47.097898983241535</v>
      </c>
      <c r="AH275" s="28">
        <f t="shared" ref="AH275" si="297">AG275*(1+AH$234)</f>
        <v>48.039803571249408</v>
      </c>
      <c r="AI275" s="28">
        <f>AH275*(1+AI$234)</f>
        <v>48.039803571249408</v>
      </c>
      <c r="AJ275" s="28">
        <f t="shared" ref="AJ275" si="298">AI275*(1+AJ$234)</f>
        <v>48.039803571249408</v>
      </c>
      <c r="AK275" s="28">
        <f t="shared" ref="AK275" si="299">AJ275*(1+AK$234)</f>
        <v>48.039803571249408</v>
      </c>
      <c r="AL275" s="28">
        <f t="shared" ref="AL275" si="300">AK275*(1+AL$234)</f>
        <v>48.039803571249408</v>
      </c>
      <c r="AM275" s="28">
        <f t="shared" ref="AM275" si="301">AL275*(1+AM$234)</f>
        <v>48.039803571249408</v>
      </c>
    </row>
    <row r="276" spans="1:55" ht="14.65" thickBot="1" x14ac:dyDescent="0.5">
      <c r="E276" s="20">
        <f>SUM(E236:E275)</f>
        <v>265201798.26230627</v>
      </c>
      <c r="F276" s="20">
        <f t="shared" ref="F276:S276" si="302">SUM(F236:F275)</f>
        <v>265201798.26230627</v>
      </c>
      <c r="G276" s="20">
        <f t="shared" si="302"/>
        <v>380267291.60673189</v>
      </c>
      <c r="H276" s="20">
        <f t="shared" si="302"/>
        <v>439672511.43934774</v>
      </c>
      <c r="I276" s="20">
        <f t="shared" si="302"/>
        <v>438559700.0176937</v>
      </c>
      <c r="J276" s="20">
        <f t="shared" si="302"/>
        <v>457039430.8561306</v>
      </c>
      <c r="K276" s="20">
        <f t="shared" si="302"/>
        <v>428495785.16250169</v>
      </c>
      <c r="L276" s="20">
        <f t="shared" si="302"/>
        <v>394381025.30501038</v>
      </c>
      <c r="M276" s="20">
        <f t="shared" si="302"/>
        <v>343387119.6604895</v>
      </c>
      <c r="N276" s="20">
        <f t="shared" si="302"/>
        <v>274206142.71661615</v>
      </c>
      <c r="O276" s="20">
        <f t="shared" si="302"/>
        <v>169150829.61965206</v>
      </c>
      <c r="P276" s="20">
        <f t="shared" si="302"/>
        <v>72042254.038518757</v>
      </c>
      <c r="Q276" s="20">
        <f t="shared" si="302"/>
        <v>0</v>
      </c>
      <c r="R276" s="20">
        <f t="shared" si="302"/>
        <v>0</v>
      </c>
      <c r="S276" s="20">
        <f t="shared" si="302"/>
        <v>0</v>
      </c>
      <c r="AD276" s="28">
        <f t="shared" si="288"/>
        <v>7.8111569975152948</v>
      </c>
      <c r="AE276" s="28">
        <f>AD276*(1+AE$234)</f>
        <v>7.9668785126829436</v>
      </c>
      <c r="AF276" s="28">
        <f t="shared" ref="AF276" si="303">AE276*(1+AF$234)</f>
        <v>8.1338435709918837</v>
      </c>
      <c r="AG276" s="28">
        <f t="shared" ref="AG276" si="304">AF276*(1+AG$234)</f>
        <v>8.297291856892679</v>
      </c>
      <c r="AH276" s="28">
        <f t="shared" ref="AH276" si="305">AG276*(1+AH$234)</f>
        <v>8.4632282879599856</v>
      </c>
      <c r="AI276" s="28">
        <f>AH276*(1+AI$234)</f>
        <v>8.4632282879599856</v>
      </c>
      <c r="AJ276" s="28">
        <f t="shared" ref="AJ276" si="306">AI276*(1+AJ$234)</f>
        <v>8.4632282879599856</v>
      </c>
      <c r="AK276" s="28">
        <f t="shared" ref="AK276" si="307">AJ276*(1+AK$234)</f>
        <v>8.4632282879599856</v>
      </c>
      <c r="AL276" s="28">
        <f t="shared" ref="AL276" si="308">AK276*(1+AL$234)</f>
        <v>8.4632282879599856</v>
      </c>
      <c r="AM276" s="28">
        <f t="shared" ref="AM276" si="309">AL276*(1+AM$234)</f>
        <v>8.4632282879599856</v>
      </c>
    </row>
    <row r="277" spans="1:55" ht="14.65" thickTop="1" x14ac:dyDescent="0.45"/>
    <row r="278" spans="1:55" x14ac:dyDescent="0.45">
      <c r="B278" t="s">
        <v>381</v>
      </c>
      <c r="D278" s="146">
        <f>AVERAGE(E278:S278)</f>
        <v>6.0777172071308776E-2</v>
      </c>
      <c r="E278" s="94">
        <f t="shared" ref="E278:O278" si="310">IF(E276=0,0,(SUMIF($C$236:$C$275,"Connections",E236:E275)+E264+E265)/E276)</f>
        <v>0.14507641539424035</v>
      </c>
      <c r="F278" s="94">
        <f t="shared" si="310"/>
        <v>0.14507641539424035</v>
      </c>
      <c r="G278" s="94">
        <f t="shared" si="310"/>
        <v>0.12393931758117935</v>
      </c>
      <c r="H278" s="94">
        <f t="shared" si="310"/>
        <v>6.317997711722631E-2</v>
      </c>
      <c r="I278" s="94">
        <f t="shared" si="310"/>
        <v>0.10186724595381769</v>
      </c>
      <c r="J278" s="94">
        <f t="shared" si="310"/>
        <v>9.1063791161053981E-2</v>
      </c>
      <c r="K278" s="94">
        <f t="shared" si="310"/>
        <v>6.7060225628646691E-2</v>
      </c>
      <c r="L278" s="94">
        <f t="shared" si="310"/>
        <v>6.8172023306110899E-2</v>
      </c>
      <c r="M278" s="94">
        <f t="shared" si="310"/>
        <v>6.2716823096314975E-2</v>
      </c>
      <c r="N278" s="94">
        <f t="shared" si="310"/>
        <v>8.7210705641330172E-3</v>
      </c>
      <c r="O278" s="94">
        <f t="shared" si="310"/>
        <v>1.0401519242391698E-2</v>
      </c>
      <c r="P278" s="94">
        <f>IF(P276=0,0,(SUMIF($C$236:$C$275,"Connections",P236:P275)+P264+P265)/P276)</f>
        <v>2.4382756630276222E-2</v>
      </c>
      <c r="Q278" s="94">
        <f>IF(Q276=0,0,(SUMIF($C$236:$C$275,"Connections",Q236:Q275)+Q264+Q265)/Q276)</f>
        <v>0</v>
      </c>
      <c r="R278" s="94">
        <f t="shared" ref="R278:S278" si="311">IF(R276=0,0,(SUMIF($C$236:$C$275,"Connections",R236:R275)+R264+R265)/R276)</f>
        <v>0</v>
      </c>
      <c r="S278" s="94">
        <f t="shared" si="311"/>
        <v>0</v>
      </c>
      <c r="W278" s="23" t="s">
        <v>382</v>
      </c>
    </row>
    <row r="279" spans="1:55" x14ac:dyDescent="0.45">
      <c r="H279" s="9"/>
      <c r="I279" s="12"/>
      <c r="J279" t="s">
        <v>354</v>
      </c>
    </row>
    <row r="280" spans="1:55" x14ac:dyDescent="0.45">
      <c r="A280" s="23" t="s">
        <v>383</v>
      </c>
      <c r="E280" s="41"/>
      <c r="F280" s="41"/>
      <c r="G280" s="41"/>
      <c r="H280" s="41"/>
      <c r="I280" s="41"/>
      <c r="J280" t="s">
        <v>357</v>
      </c>
      <c r="W280" t="s">
        <v>272</v>
      </c>
      <c r="Y280" s="15" t="s">
        <v>5</v>
      </c>
      <c r="Z280" s="15" t="s">
        <v>6</v>
      </c>
      <c r="AA280" s="16" t="s">
        <v>7</v>
      </c>
      <c r="AB280" s="16" t="s">
        <v>8</v>
      </c>
      <c r="AC280" s="15" t="s">
        <v>9</v>
      </c>
      <c r="AD280" s="15" t="s">
        <v>10</v>
      </c>
      <c r="AE280" s="15" t="s">
        <v>11</v>
      </c>
      <c r="AF280" s="15" t="s">
        <v>12</v>
      </c>
      <c r="AG280" s="15" t="s">
        <v>13</v>
      </c>
      <c r="AH280" s="15" t="s">
        <v>14</v>
      </c>
      <c r="AI280" s="15" t="s">
        <v>49</v>
      </c>
      <c r="AJ280" s="15" t="s">
        <v>50</v>
      </c>
      <c r="AK280" s="15" t="s">
        <v>51</v>
      </c>
      <c r="AL280" s="15" t="s">
        <v>52</v>
      </c>
      <c r="AM280" s="15" t="s">
        <v>53</v>
      </c>
      <c r="AO280" s="15" t="s">
        <v>5</v>
      </c>
      <c r="AP280" s="15" t="s">
        <v>6</v>
      </c>
      <c r="AQ280" s="16" t="s">
        <v>7</v>
      </c>
      <c r="AR280" s="16" t="s">
        <v>8</v>
      </c>
      <c r="AS280" s="15" t="s">
        <v>9</v>
      </c>
      <c r="AT280" s="15" t="s">
        <v>10</v>
      </c>
      <c r="AU280" s="15" t="s">
        <v>11</v>
      </c>
      <c r="AV280" s="15" t="s">
        <v>12</v>
      </c>
      <c r="AW280" s="15" t="s">
        <v>13</v>
      </c>
      <c r="AX280" s="15" t="s">
        <v>14</v>
      </c>
      <c r="AY280" s="15" t="s">
        <v>49</v>
      </c>
      <c r="AZ280" s="15" t="s">
        <v>50</v>
      </c>
      <c r="BA280" s="15" t="s">
        <v>51</v>
      </c>
      <c r="BB280" s="15" t="s">
        <v>52</v>
      </c>
      <c r="BC280" s="15" t="s">
        <v>53</v>
      </c>
    </row>
    <row r="281" spans="1:55" x14ac:dyDescent="0.45">
      <c r="A281" s="9" t="str" cm="1">
        <f t="array" ref="A281:A320">TD_service_codes</f>
        <v>WN127</v>
      </c>
      <c r="B281" t="s">
        <v>274</v>
      </c>
      <c r="C281" t="s">
        <v>261</v>
      </c>
      <c r="D281" s="45"/>
      <c r="E281" s="46"/>
      <c r="F281" s="46"/>
      <c r="G281" s="46"/>
      <c r="H281" s="46"/>
      <c r="I281" s="46"/>
      <c r="J281" s="70">
        <f>J192*(1-$B$4)</f>
        <v>-9.638031733988095E-2</v>
      </c>
      <c r="K281" s="70">
        <f t="shared" ref="K281:S281" si="312">K192*(1-$B$4)</f>
        <v>-0.21164814899966392</v>
      </c>
      <c r="L281" s="70">
        <f t="shared" si="312"/>
        <v>-0.16091285458763585</v>
      </c>
      <c r="M281" s="70">
        <f t="shared" si="312"/>
        <v>-0.11842533760878222</v>
      </c>
      <c r="N281" s="70">
        <f t="shared" si="312"/>
        <v>-0.10897359836677323</v>
      </c>
      <c r="O281" s="70">
        <f t="shared" si="312"/>
        <v>-0.17459165114504441</v>
      </c>
      <c r="P281" s="70">
        <f t="shared" si="312"/>
        <v>1.7691456704444165E-3</v>
      </c>
      <c r="Q281" s="70">
        <f t="shared" si="312"/>
        <v>0</v>
      </c>
      <c r="R281" s="70">
        <f t="shared" si="312"/>
        <v>0</v>
      </c>
      <c r="S281" s="70">
        <f t="shared" si="312"/>
        <v>0</v>
      </c>
      <c r="W281" t="s">
        <v>361</v>
      </c>
      <c r="X281" t="s">
        <v>274</v>
      </c>
      <c r="Y281" s="12">
        <f>INDEX(Y$19:Y$58,MATCH($X281,$X$19:$X$58,0))</f>
        <v>3820.5548656066276</v>
      </c>
      <c r="Z281" s="12">
        <f>INDEX(Z$19:Z$58,MATCH($X281,$X$19:$X$58,0))</f>
        <v>3214.2811211359221</v>
      </c>
      <c r="AA281" s="12">
        <f t="shared" ref="AA281:AM282" si="313">INDEX(AA$19:AA$58,MATCH($X281,$X$19:$X$58,0))</f>
        <v>1825.3657921716563</v>
      </c>
      <c r="AB281" s="12">
        <f t="shared" si="313"/>
        <v>982.18516363367644</v>
      </c>
      <c r="AC281" s="12">
        <f t="shared" si="313"/>
        <v>815.66540430196721</v>
      </c>
      <c r="AD281" s="12">
        <f t="shared" si="313"/>
        <v>578.54391534972285</v>
      </c>
      <c r="AE281" s="12">
        <f t="shared" si="313"/>
        <v>267.87685656885373</v>
      </c>
      <c r="AF281" s="12">
        <f t="shared" si="313"/>
        <v>192.72183984362792</v>
      </c>
      <c r="AG281" s="12">
        <f t="shared" si="313"/>
        <v>155.89258413243067</v>
      </c>
      <c r="AH281" s="12">
        <f t="shared" si="313"/>
        <v>128.86783790320865</v>
      </c>
      <c r="AI281" s="12">
        <f t="shared" si="313"/>
        <v>90.651697756157276</v>
      </c>
      <c r="AJ281" s="12">
        <f t="shared" si="313"/>
        <v>93.785060083733441</v>
      </c>
      <c r="AK281" s="12">
        <f t="shared" si="313"/>
        <v>0</v>
      </c>
      <c r="AL281" s="12">
        <f t="shared" si="313"/>
        <v>0</v>
      </c>
      <c r="AM281" s="12">
        <f t="shared" si="313"/>
        <v>0</v>
      </c>
      <c r="AN281" t="s">
        <v>274</v>
      </c>
      <c r="AO281" s="94">
        <f t="shared" ref="AO281:AO300" si="314">Y281/SUM(Y$281:Y$300)</f>
        <v>8.9370322903667507E-4</v>
      </c>
      <c r="AP281" s="94">
        <f t="shared" ref="AP281:BC296" si="315">Z281/SUM(Z$281:Z$300)</f>
        <v>7.9643817004038597E-4</v>
      </c>
      <c r="AQ281" s="94">
        <f t="shared" si="315"/>
        <v>5.0136580103995424E-4</v>
      </c>
      <c r="AR281" s="94">
        <f t="shared" si="315"/>
        <v>2.9279800793716409E-4</v>
      </c>
      <c r="AS281" s="94">
        <f t="shared" si="315"/>
        <v>2.922043312363707E-4</v>
      </c>
      <c r="AT281" s="94">
        <f t="shared" si="315"/>
        <v>2.5001905993721495E-4</v>
      </c>
      <c r="AU281" s="94">
        <f t="shared" si="315"/>
        <v>1.3121989144902949E-4</v>
      </c>
      <c r="AV281" s="94">
        <f t="shared" si="315"/>
        <v>1.1519087735799702E-4</v>
      </c>
      <c r="AW281" s="94">
        <f t="shared" si="315"/>
        <v>1.2222826337575477E-4</v>
      </c>
      <c r="AX281" s="94">
        <f t="shared" si="315"/>
        <v>1.4365768846005657E-4</v>
      </c>
      <c r="AY281" s="94">
        <f t="shared" si="315"/>
        <v>1.6592800215448327E-4</v>
      </c>
      <c r="AZ281" s="94">
        <f t="shared" si="315"/>
        <v>4.7209511071022084E-4</v>
      </c>
      <c r="BA281" s="94" t="e">
        <f t="shared" si="315"/>
        <v>#DIV/0!</v>
      </c>
      <c r="BB281" s="94" t="e">
        <f t="shared" si="315"/>
        <v>#DIV/0!</v>
      </c>
      <c r="BC281" s="94" t="e">
        <f t="shared" si="315"/>
        <v>#DIV/0!</v>
      </c>
    </row>
    <row r="282" spans="1:55" x14ac:dyDescent="0.45">
      <c r="A282" s="9" t="str">
        <v>WN346</v>
      </c>
      <c r="B282" t="s">
        <v>276</v>
      </c>
      <c r="C282" t="s">
        <v>261</v>
      </c>
      <c r="E282" s="46"/>
      <c r="F282" s="46"/>
      <c r="G282" s="46"/>
      <c r="H282" s="46"/>
      <c r="I282" s="46"/>
      <c r="J282" s="70">
        <f t="shared" ref="J282:S282" si="316">J193*(1-$B$4)</f>
        <v>-9.6380317339881047E-2</v>
      </c>
      <c r="K282" s="70">
        <f t="shared" si="316"/>
        <v>-0.21164814899966392</v>
      </c>
      <c r="L282" s="70">
        <f t="shared" si="316"/>
        <v>-0.16091285458763577</v>
      </c>
      <c r="M282" s="70">
        <f t="shared" si="316"/>
        <v>-0.11842533760878232</v>
      </c>
      <c r="N282" s="70">
        <f t="shared" si="316"/>
        <v>-0.10897359836677296</v>
      </c>
      <c r="O282" s="70">
        <f t="shared" si="316"/>
        <v>-0.1745916511450446</v>
      </c>
      <c r="P282" s="70">
        <f t="shared" si="316"/>
        <v>1.7691456704444165E-3</v>
      </c>
      <c r="Q282" s="70">
        <f t="shared" si="316"/>
        <v>0</v>
      </c>
      <c r="R282" s="70">
        <f t="shared" si="316"/>
        <v>0</v>
      </c>
      <c r="S282" s="70">
        <f t="shared" si="316"/>
        <v>0</v>
      </c>
      <c r="W282" t="s">
        <v>362</v>
      </c>
      <c r="X282" t="s">
        <v>276</v>
      </c>
      <c r="Y282" s="12">
        <f>INDEX(Y$19:Y$58,MATCH($X282,$X$19:$X$58,0))</f>
        <v>15.363570811146541</v>
      </c>
      <c r="Z282" s="12">
        <f>INDEX(Z$19:Z$58,MATCH($X282,$X$19:$X$58,0))</f>
        <v>12.327909419758932</v>
      </c>
      <c r="AA282" s="12">
        <f t="shared" si="313"/>
        <v>4.1890291923289622</v>
      </c>
      <c r="AB282" s="12">
        <f t="shared" si="313"/>
        <v>3.2326300866024185</v>
      </c>
      <c r="AC282" s="12">
        <f t="shared" si="313"/>
        <v>2.6845696963947359</v>
      </c>
      <c r="AD282" s="12">
        <f t="shared" si="313"/>
        <v>1.9041404171243221</v>
      </c>
      <c r="AE282" s="12">
        <f t="shared" si="313"/>
        <v>0.88165329523280012</v>
      </c>
      <c r="AF282" s="12">
        <f t="shared" si="313"/>
        <v>0.6342983389376482</v>
      </c>
      <c r="AG282" s="12">
        <f t="shared" si="313"/>
        <v>0.51308355735982103</v>
      </c>
      <c r="AH282" s="12">
        <f t="shared" si="313"/>
        <v>0.42413799904989857</v>
      </c>
      <c r="AI282" s="12">
        <f t="shared" si="313"/>
        <v>0.2983586154805456</v>
      </c>
      <c r="AJ282" s="12">
        <f t="shared" si="313"/>
        <v>0.30867133624578935</v>
      </c>
      <c r="AK282" s="12">
        <f t="shared" si="313"/>
        <v>0</v>
      </c>
      <c r="AL282" s="12">
        <f t="shared" si="313"/>
        <v>0</v>
      </c>
      <c r="AM282" s="12">
        <f t="shared" si="313"/>
        <v>0</v>
      </c>
      <c r="AN282" t="s">
        <v>276</v>
      </c>
      <c r="AO282" s="94">
        <f t="shared" si="314"/>
        <v>3.5938426030887922E-6</v>
      </c>
      <c r="AP282" s="94">
        <f t="shared" si="315"/>
        <v>3.0546231797007926E-6</v>
      </c>
      <c r="AQ282" s="94">
        <f t="shared" si="315"/>
        <v>1.1505836175954028E-6</v>
      </c>
      <c r="AR282" s="94">
        <f t="shared" si="315"/>
        <v>9.6367536875963989E-7</v>
      </c>
      <c r="AS282" s="94">
        <f t="shared" si="315"/>
        <v>9.6172142235671208E-7</v>
      </c>
      <c r="AT282" s="94">
        <f t="shared" si="315"/>
        <v>8.2287858267440246E-7</v>
      </c>
      <c r="AU282" s="94">
        <f t="shared" si="315"/>
        <v>4.3187922681327527E-7</v>
      </c>
      <c r="AV282" s="94">
        <f t="shared" si="315"/>
        <v>3.7912351930757919E-7</v>
      </c>
      <c r="AW282" s="94">
        <f t="shared" si="315"/>
        <v>4.0228541037892126E-7</v>
      </c>
      <c r="AX282" s="94">
        <f t="shared" si="315"/>
        <v>4.7281529296197653E-7</v>
      </c>
      <c r="AY282" s="94">
        <f t="shared" si="315"/>
        <v>5.4611276145572296E-7</v>
      </c>
      <c r="AZ282" s="94">
        <f t="shared" si="315"/>
        <v>1.5537893618442383E-6</v>
      </c>
      <c r="BA282" s="94" t="e">
        <f t="shared" si="315"/>
        <v>#DIV/0!</v>
      </c>
      <c r="BB282" s="94" t="e">
        <f t="shared" si="315"/>
        <v>#DIV/0!</v>
      </c>
      <c r="BC282" s="94" t="e">
        <f t="shared" si="315"/>
        <v>#DIV/0!</v>
      </c>
    </row>
    <row r="283" spans="1:55" x14ac:dyDescent="0.45">
      <c r="A283" s="9" t="str">
        <v>WX130</v>
      </c>
      <c r="B283" t="s">
        <v>277</v>
      </c>
      <c r="C283" t="s">
        <v>261</v>
      </c>
      <c r="E283" s="46"/>
      <c r="F283" s="46"/>
      <c r="G283" s="46"/>
      <c r="H283" s="46"/>
      <c r="I283" s="46"/>
      <c r="J283" s="70">
        <f t="shared" ref="J283:S283" si="317">J194*(1-$B$4)</f>
        <v>-9.638031733988095E-2</v>
      </c>
      <c r="K283" s="70">
        <f t="shared" si="317"/>
        <v>-0.21164814899966392</v>
      </c>
      <c r="L283" s="70">
        <f t="shared" si="317"/>
        <v>-0.16091285458763568</v>
      </c>
      <c r="M283" s="70">
        <f t="shared" si="317"/>
        <v>-0.11842533760878232</v>
      </c>
      <c r="N283" s="70">
        <f t="shared" si="317"/>
        <v>-0.10897359836677306</v>
      </c>
      <c r="O283" s="70">
        <f t="shared" si="317"/>
        <v>-0.17459165114504441</v>
      </c>
      <c r="P283" s="70">
        <f t="shared" si="317"/>
        <v>1.7691456704442389E-3</v>
      </c>
      <c r="Q283" s="70">
        <f t="shared" si="317"/>
        <v>0</v>
      </c>
      <c r="R283" s="70">
        <f t="shared" si="317"/>
        <v>0</v>
      </c>
      <c r="S283" s="70">
        <f t="shared" si="317"/>
        <v>0</v>
      </c>
      <c r="W283" t="s">
        <v>363</v>
      </c>
      <c r="X283" t="s">
        <v>277</v>
      </c>
      <c r="Y283" s="12">
        <f t="shared" ref="Y283:AM300" si="318">INDEX(Y$19:Y$58,MATCH($X283,$X$19:$X$58,0))</f>
        <v>33185.225603388848</v>
      </c>
      <c r="Z283" s="12">
        <f t="shared" si="318"/>
        <v>27919.14994281144</v>
      </c>
      <c r="AA283" s="12">
        <f t="shared" si="318"/>
        <v>20071.343979228684</v>
      </c>
      <c r="AB283" s="12">
        <f t="shared" si="318"/>
        <v>22885.831156114902</v>
      </c>
      <c r="AC283" s="12">
        <f t="shared" si="318"/>
        <v>19005.765321966559</v>
      </c>
      <c r="AD283" s="12">
        <f t="shared" si="318"/>
        <v>13480.613282842893</v>
      </c>
      <c r="AE283" s="12">
        <f t="shared" si="318"/>
        <v>6241.7808138996606</v>
      </c>
      <c r="AF283" s="12">
        <f t="shared" si="318"/>
        <v>4490.5987690138727</v>
      </c>
      <c r="AG283" s="12">
        <f t="shared" si="318"/>
        <v>3632.4427318226994</v>
      </c>
      <c r="AH283" s="12">
        <f t="shared" si="318"/>
        <v>3002.7409178076182</v>
      </c>
      <c r="AI283" s="12">
        <f t="shared" si="318"/>
        <v>2112.2691786417017</v>
      </c>
      <c r="AJ283" s="12">
        <f t="shared" si="318"/>
        <v>2185.2794457837372</v>
      </c>
      <c r="AK283" s="12">
        <f t="shared" si="318"/>
        <v>0</v>
      </c>
      <c r="AL283" s="12">
        <f t="shared" si="318"/>
        <v>0</v>
      </c>
      <c r="AM283" s="12">
        <f t="shared" si="318"/>
        <v>0</v>
      </c>
      <c r="AN283" t="s">
        <v>277</v>
      </c>
      <c r="AO283" s="94">
        <f t="shared" si="314"/>
        <v>7.7626795900888343E-3</v>
      </c>
      <c r="AP283" s="94">
        <f t="shared" si="315"/>
        <v>6.9178381888631334E-3</v>
      </c>
      <c r="AQ283" s="94">
        <f t="shared" si="315"/>
        <v>5.5129144499428233E-3</v>
      </c>
      <c r="AR283" s="94">
        <f t="shared" si="315"/>
        <v>6.8224669040062589E-3</v>
      </c>
      <c r="AS283" s="94">
        <f t="shared" si="315"/>
        <v>6.8086336826965136E-3</v>
      </c>
      <c r="AT283" s="94">
        <f t="shared" si="315"/>
        <v>5.825677482609321E-3</v>
      </c>
      <c r="AU283" s="94">
        <f t="shared" si="315"/>
        <v>3.0575459610040069E-3</v>
      </c>
      <c r="AV283" s="94">
        <f t="shared" si="315"/>
        <v>2.6840549700291394E-3</v>
      </c>
      <c r="AW283" s="94">
        <f t="shared" si="315"/>
        <v>2.8480326334535846E-3</v>
      </c>
      <c r="AX283" s="94">
        <f t="shared" si="315"/>
        <v>3.3473582417101349E-3</v>
      </c>
      <c r="AY283" s="94">
        <f t="shared" si="315"/>
        <v>3.8662773395295091E-3</v>
      </c>
      <c r="AZ283" s="94">
        <f t="shared" si="315"/>
        <v>1.1000256767644592E-2</v>
      </c>
      <c r="BA283" s="94" t="e">
        <f t="shared" si="315"/>
        <v>#DIV/0!</v>
      </c>
      <c r="BB283" s="94" t="e">
        <f t="shared" si="315"/>
        <v>#DIV/0!</v>
      </c>
      <c r="BC283" s="94" t="e">
        <f t="shared" si="315"/>
        <v>#DIV/0!</v>
      </c>
    </row>
    <row r="284" spans="1:55" x14ac:dyDescent="0.45">
      <c r="A284" s="9" t="str">
        <v>WX347</v>
      </c>
      <c r="B284" t="s">
        <v>278</v>
      </c>
      <c r="C284" t="s">
        <v>261</v>
      </c>
      <c r="E284" s="46"/>
      <c r="F284" s="46"/>
      <c r="G284" s="46"/>
      <c r="H284" s="46"/>
      <c r="I284" s="46"/>
      <c r="J284" s="70">
        <f t="shared" ref="J284:S284" si="319">J195*(1-$B$4)</f>
        <v>-9.6380317339881047E-2</v>
      </c>
      <c r="K284" s="70">
        <f t="shared" si="319"/>
        <v>-0.21164814899966392</v>
      </c>
      <c r="L284" s="70">
        <f t="shared" si="319"/>
        <v>-0.16091285458763577</v>
      </c>
      <c r="M284" s="70">
        <f t="shared" si="319"/>
        <v>-0.11842533760878232</v>
      </c>
      <c r="N284" s="70">
        <f t="shared" si="319"/>
        <v>-0.10897359836677306</v>
      </c>
      <c r="O284" s="70">
        <f t="shared" si="319"/>
        <v>-0.17459165114504449</v>
      </c>
      <c r="P284" s="70">
        <f t="shared" si="319"/>
        <v>1.7691456704442389E-3</v>
      </c>
      <c r="Q284" s="70">
        <f t="shared" si="319"/>
        <v>0</v>
      </c>
      <c r="R284" s="70">
        <f t="shared" si="319"/>
        <v>0</v>
      </c>
      <c r="S284" s="70">
        <f t="shared" si="319"/>
        <v>0</v>
      </c>
      <c r="W284" t="s">
        <v>364</v>
      </c>
      <c r="X284" t="s">
        <v>278</v>
      </c>
      <c r="Y284" s="12">
        <f t="shared" si="318"/>
        <v>518763.02615067014</v>
      </c>
      <c r="Z284" s="12">
        <f t="shared" si="318"/>
        <v>416261.53680794162</v>
      </c>
      <c r="AA284" s="12">
        <f t="shared" si="318"/>
        <v>321114.68835181685</v>
      </c>
      <c r="AB284" s="12">
        <f t="shared" si="318"/>
        <v>305581.99808132544</v>
      </c>
      <c r="AC284" s="12">
        <f t="shared" si="318"/>
        <v>253773.59915545429</v>
      </c>
      <c r="AD284" s="12">
        <f t="shared" si="318"/>
        <v>179999.2630476132</v>
      </c>
      <c r="AE284" s="12">
        <f t="shared" si="318"/>
        <v>83343.088554924776</v>
      </c>
      <c r="AF284" s="12">
        <f t="shared" si="318"/>
        <v>59960.511595845943</v>
      </c>
      <c r="AG284" s="12">
        <f t="shared" si="318"/>
        <v>48502.022947494472</v>
      </c>
      <c r="AH284" s="12">
        <f t="shared" si="318"/>
        <v>40093.958708553815</v>
      </c>
      <c r="AI284" s="12">
        <f t="shared" si="318"/>
        <v>28203.976149778893</v>
      </c>
      <c r="AJ284" s="12">
        <f t="shared" si="318"/>
        <v>29178.842352431679</v>
      </c>
      <c r="AK284" s="12">
        <f t="shared" si="318"/>
        <v>0</v>
      </c>
      <c r="AL284" s="12">
        <f t="shared" si="318"/>
        <v>0</v>
      </c>
      <c r="AM284" s="12">
        <f t="shared" si="318"/>
        <v>0</v>
      </c>
      <c r="AN284" t="s">
        <v>278</v>
      </c>
      <c r="AO284" s="94">
        <f t="shared" si="314"/>
        <v>0.12134891603031002</v>
      </c>
      <c r="AP284" s="94">
        <f t="shared" si="315"/>
        <v>0.10314174900680585</v>
      </c>
      <c r="AQ284" s="94">
        <f t="shared" si="315"/>
        <v>8.819926594530153E-2</v>
      </c>
      <c r="AR284" s="94">
        <f t="shared" si="315"/>
        <v>9.1096672615838106E-2</v>
      </c>
      <c r="AS284" s="94">
        <f t="shared" si="315"/>
        <v>9.0911965170480488E-2</v>
      </c>
      <c r="AT284" s="94">
        <f t="shared" si="315"/>
        <v>7.7787088140667426E-2</v>
      </c>
      <c r="AU284" s="94">
        <f t="shared" si="315"/>
        <v>4.0825740503614864E-2</v>
      </c>
      <c r="AV284" s="94">
        <f t="shared" si="315"/>
        <v>3.583871938522392E-2</v>
      </c>
      <c r="AW284" s="94">
        <f t="shared" si="315"/>
        <v>3.8028223523751153E-2</v>
      </c>
      <c r="AX284" s="94">
        <f t="shared" si="315"/>
        <v>4.4695445527765651E-2</v>
      </c>
      <c r="AY284" s="94">
        <f t="shared" si="315"/>
        <v>5.1624288691577674E-2</v>
      </c>
      <c r="AZ284" s="94">
        <f t="shared" si="315"/>
        <v>0.14688041782420899</v>
      </c>
      <c r="BA284" s="94" t="e">
        <f t="shared" si="315"/>
        <v>#DIV/0!</v>
      </c>
      <c r="BB284" s="94" t="e">
        <f t="shared" si="315"/>
        <v>#DIV/0!</v>
      </c>
      <c r="BC284" s="94" t="e">
        <f t="shared" si="315"/>
        <v>#DIV/0!</v>
      </c>
    </row>
    <row r="285" spans="1:55" x14ac:dyDescent="0.45">
      <c r="A285" s="9" t="str">
        <v>WX129</v>
      </c>
      <c r="B285" t="s">
        <v>279</v>
      </c>
      <c r="C285" t="s">
        <v>261</v>
      </c>
      <c r="E285" s="46"/>
      <c r="F285" s="46"/>
      <c r="G285" s="46"/>
      <c r="H285" s="46"/>
      <c r="I285" s="46"/>
      <c r="J285" s="70">
        <f t="shared" ref="J285:S285" si="320">J196*(1-$B$4)</f>
        <v>-0.26392103769379399</v>
      </c>
      <c r="K285" s="70">
        <f t="shared" si="320"/>
        <v>-0.37510228674493701</v>
      </c>
      <c r="L285" s="70">
        <f t="shared" si="320"/>
        <v>-0.17930319457059279</v>
      </c>
      <c r="M285" s="70">
        <f t="shared" si="320"/>
        <v>-0.11842533760878232</v>
      </c>
      <c r="N285" s="70">
        <f t="shared" si="320"/>
        <v>-0.10897359836677306</v>
      </c>
      <c r="O285" s="70">
        <f t="shared" si="320"/>
        <v>0</v>
      </c>
      <c r="P285" s="70">
        <f t="shared" si="320"/>
        <v>0</v>
      </c>
      <c r="Q285" s="70">
        <f t="shared" si="320"/>
        <v>0</v>
      </c>
      <c r="R285" s="70">
        <f t="shared" si="320"/>
        <v>0</v>
      </c>
      <c r="S285" s="70">
        <f t="shared" si="320"/>
        <v>0</v>
      </c>
      <c r="W285" t="s">
        <v>365</v>
      </c>
      <c r="X285" t="s">
        <v>281</v>
      </c>
      <c r="Y285" s="12">
        <f t="shared" si="318"/>
        <v>633694.28534892073</v>
      </c>
      <c r="Z285" s="12">
        <f t="shared" si="318"/>
        <v>575167.22197028296</v>
      </c>
      <c r="AA285" s="12">
        <f t="shared" si="318"/>
        <v>392061.43789407297</v>
      </c>
      <c r="AB285" s="12">
        <f t="shared" si="318"/>
        <v>257790.97415180696</v>
      </c>
      <c r="AC285" s="12">
        <f t="shared" si="318"/>
        <v>159981.80417045378</v>
      </c>
      <c r="AD285" s="12">
        <f t="shared" si="318"/>
        <v>63101.115861931743</v>
      </c>
      <c r="AE285" s="12">
        <f t="shared" si="318"/>
        <v>3648.5847411318782</v>
      </c>
      <c r="AF285" s="12">
        <f t="shared" si="318"/>
        <v>0</v>
      </c>
      <c r="AG285" s="12">
        <f t="shared" si="318"/>
        <v>0</v>
      </c>
      <c r="AH285" s="12">
        <f t="shared" si="318"/>
        <v>0</v>
      </c>
      <c r="AI285" s="12">
        <f t="shared" si="318"/>
        <v>0</v>
      </c>
      <c r="AJ285" s="12">
        <f t="shared" si="318"/>
        <v>0</v>
      </c>
      <c r="AK285" s="12">
        <f t="shared" si="318"/>
        <v>0</v>
      </c>
      <c r="AL285" s="12">
        <f t="shared" si="318"/>
        <v>0</v>
      </c>
      <c r="AM285" s="12">
        <f t="shared" si="318"/>
        <v>0</v>
      </c>
      <c r="AN285" t="s">
        <v>281</v>
      </c>
      <c r="AO285" s="94">
        <f t="shared" si="314"/>
        <v>0.14823360714870826</v>
      </c>
      <c r="AP285" s="94">
        <f t="shared" si="315"/>
        <v>0.14251557734668149</v>
      </c>
      <c r="AQ285" s="94">
        <f t="shared" si="315"/>
        <v>0.10768592120529516</v>
      </c>
      <c r="AR285" s="94">
        <f t="shared" si="315"/>
        <v>7.6849749406296186E-2</v>
      </c>
      <c r="AS285" s="94">
        <f t="shared" si="315"/>
        <v>5.7311951507396694E-2</v>
      </c>
      <c r="AT285" s="94">
        <f t="shared" si="315"/>
        <v>2.726928976385961E-2</v>
      </c>
      <c r="AU285" s="94">
        <f t="shared" si="315"/>
        <v>1.7872648641852739E-3</v>
      </c>
      <c r="AV285" s="94">
        <f t="shared" si="315"/>
        <v>0</v>
      </c>
      <c r="AW285" s="94">
        <f t="shared" si="315"/>
        <v>0</v>
      </c>
      <c r="AX285" s="94">
        <f t="shared" si="315"/>
        <v>0</v>
      </c>
      <c r="AY285" s="94">
        <f t="shared" si="315"/>
        <v>0</v>
      </c>
      <c r="AZ285" s="94">
        <f t="shared" si="315"/>
        <v>0</v>
      </c>
      <c r="BA285" s="94" t="e">
        <f t="shared" si="315"/>
        <v>#DIV/0!</v>
      </c>
      <c r="BB285" s="94" t="e">
        <f t="shared" si="315"/>
        <v>#DIV/0!</v>
      </c>
      <c r="BC285" s="94" t="e">
        <f t="shared" si="315"/>
        <v>#DIV/0!</v>
      </c>
    </row>
    <row r="286" spans="1:55" x14ac:dyDescent="0.45">
      <c r="A286" s="9" t="str">
        <v>WN123</v>
      </c>
      <c r="B286" t="s">
        <v>280</v>
      </c>
      <c r="C286" t="s">
        <v>261</v>
      </c>
      <c r="E286" s="46"/>
      <c r="F286" s="46"/>
      <c r="G286" s="46"/>
      <c r="H286" s="46"/>
      <c r="I286" s="46"/>
      <c r="J286" s="70">
        <f t="shared" ref="J286:S286" si="321">J197*(1-$B$4)</f>
        <v>0</v>
      </c>
      <c r="K286" s="70">
        <f t="shared" si="321"/>
        <v>0</v>
      </c>
      <c r="L286" s="70">
        <f t="shared" si="321"/>
        <v>0</v>
      </c>
      <c r="M286" s="70">
        <f t="shared" si="321"/>
        <v>0</v>
      </c>
      <c r="N286" s="70">
        <f t="shared" si="321"/>
        <v>0</v>
      </c>
      <c r="O286" s="70">
        <f t="shared" si="321"/>
        <v>0</v>
      </c>
      <c r="P286" s="70">
        <f t="shared" si="321"/>
        <v>0</v>
      </c>
      <c r="Q286" s="70">
        <f t="shared" si="321"/>
        <v>0</v>
      </c>
      <c r="R286" s="70">
        <f t="shared" si="321"/>
        <v>0</v>
      </c>
      <c r="S286" s="70">
        <f t="shared" si="321"/>
        <v>0</v>
      </c>
      <c r="W286" t="s">
        <v>366</v>
      </c>
      <c r="X286" t="s">
        <v>282</v>
      </c>
      <c r="Y286" s="12">
        <f t="shared" si="318"/>
        <v>288917.88897414954</v>
      </c>
      <c r="Z286" s="12">
        <f t="shared" si="318"/>
        <v>250090.11140994233</v>
      </c>
      <c r="AA286" s="12">
        <f t="shared" si="318"/>
        <v>192878.15292062549</v>
      </c>
      <c r="AB286" s="12">
        <f t="shared" si="318"/>
        <v>122202.61481215814</v>
      </c>
      <c r="AC286" s="12">
        <f t="shared" si="318"/>
        <v>75672.134714452885</v>
      </c>
      <c r="AD286" s="12">
        <f t="shared" si="318"/>
        <v>29576.139984274716</v>
      </c>
      <c r="AE286" s="12">
        <f t="shared" si="318"/>
        <v>1703.9030397116865</v>
      </c>
      <c r="AF286" s="12">
        <f t="shared" si="318"/>
        <v>0</v>
      </c>
      <c r="AG286" s="12">
        <f t="shared" si="318"/>
        <v>0</v>
      </c>
      <c r="AH286" s="12">
        <f t="shared" si="318"/>
        <v>0</v>
      </c>
      <c r="AI286" s="12">
        <f t="shared" si="318"/>
        <v>0</v>
      </c>
      <c r="AJ286" s="12">
        <f t="shared" si="318"/>
        <v>0</v>
      </c>
      <c r="AK286" s="12">
        <f t="shared" si="318"/>
        <v>0</v>
      </c>
      <c r="AL286" s="12">
        <f t="shared" si="318"/>
        <v>0</v>
      </c>
      <c r="AM286" s="12">
        <f t="shared" si="318"/>
        <v>0</v>
      </c>
      <c r="AN286" t="s">
        <v>282</v>
      </c>
      <c r="AO286" s="94">
        <f t="shared" si="314"/>
        <v>6.7583599604100694E-2</v>
      </c>
      <c r="AP286" s="94">
        <f t="shared" si="315"/>
        <v>6.1967607427610545E-2</v>
      </c>
      <c r="AQ286" s="94">
        <f t="shared" si="315"/>
        <v>5.2977058109053433E-2</v>
      </c>
      <c r="AR286" s="94">
        <f t="shared" si="315"/>
        <v>3.6429670806000417E-2</v>
      </c>
      <c r="AS286" s="94">
        <f t="shared" si="315"/>
        <v>2.7108818641619476E-2</v>
      </c>
      <c r="AT286" s="94">
        <f t="shared" si="315"/>
        <v>1.2781395706097598E-2</v>
      </c>
      <c r="AU286" s="94">
        <f t="shared" si="315"/>
        <v>8.3465953264674612E-4</v>
      </c>
      <c r="AV286" s="94">
        <f t="shared" si="315"/>
        <v>0</v>
      </c>
      <c r="AW286" s="94">
        <f t="shared" si="315"/>
        <v>0</v>
      </c>
      <c r="AX286" s="94">
        <f t="shared" si="315"/>
        <v>0</v>
      </c>
      <c r="AY286" s="94">
        <f t="shared" si="315"/>
        <v>0</v>
      </c>
      <c r="AZ286" s="94">
        <f t="shared" si="315"/>
        <v>0</v>
      </c>
      <c r="BA286" s="94" t="e">
        <f t="shared" si="315"/>
        <v>#DIV/0!</v>
      </c>
      <c r="BB286" s="94" t="e">
        <f t="shared" si="315"/>
        <v>#DIV/0!</v>
      </c>
      <c r="BC286" s="94" t="e">
        <f t="shared" si="315"/>
        <v>#DIV/0!</v>
      </c>
    </row>
    <row r="287" spans="1:55" x14ac:dyDescent="0.45">
      <c r="A287" s="9" t="str">
        <v>WN300</v>
      </c>
      <c r="B287" t="s">
        <v>281</v>
      </c>
      <c r="C287" t="s">
        <v>265</v>
      </c>
      <c r="E287" s="46"/>
      <c r="F287" s="46"/>
      <c r="G287" s="46"/>
      <c r="H287" s="46"/>
      <c r="I287" s="46"/>
      <c r="J287" s="70">
        <f t="shared" ref="J287:S287" si="322">J198*(1-$B$4)</f>
        <v>-0.42074417625623045</v>
      </c>
      <c r="K287" s="70">
        <f t="shared" si="322"/>
        <v>-0.64536349303283314</v>
      </c>
      <c r="L287" s="70">
        <f t="shared" si="322"/>
        <v>0</v>
      </c>
      <c r="M287" s="70">
        <f t="shared" si="322"/>
        <v>0</v>
      </c>
      <c r="N287" s="70">
        <f t="shared" si="322"/>
        <v>0</v>
      </c>
      <c r="O287" s="70">
        <f t="shared" si="322"/>
        <v>0</v>
      </c>
      <c r="P287" s="70">
        <f t="shared" si="322"/>
        <v>0</v>
      </c>
      <c r="Q287" s="70">
        <f t="shared" si="322"/>
        <v>0</v>
      </c>
      <c r="R287" s="70">
        <f t="shared" si="322"/>
        <v>0</v>
      </c>
      <c r="S287" s="70">
        <f t="shared" si="322"/>
        <v>0</v>
      </c>
      <c r="W287" t="s">
        <v>367</v>
      </c>
      <c r="X287" t="s">
        <v>283</v>
      </c>
      <c r="Y287" s="12">
        <f t="shared" si="318"/>
        <v>710001.39962209307</v>
      </c>
      <c r="Z287" s="12">
        <f t="shared" si="318"/>
        <v>761310.28333642799</v>
      </c>
      <c r="AA287" s="12">
        <f t="shared" si="318"/>
        <v>786338.37329970254</v>
      </c>
      <c r="AB287" s="12">
        <f t="shared" si="318"/>
        <v>572240.21292980365</v>
      </c>
      <c r="AC287" s="12">
        <f t="shared" si="318"/>
        <v>312652.31695828243</v>
      </c>
      <c r="AD287" s="12">
        <f t="shared" si="318"/>
        <v>123318.4622412802</v>
      </c>
      <c r="AE287" s="12">
        <f t="shared" si="318"/>
        <v>7130.4263559755136</v>
      </c>
      <c r="AF287" s="12">
        <f t="shared" si="318"/>
        <v>0</v>
      </c>
      <c r="AG287" s="12">
        <f t="shared" si="318"/>
        <v>0</v>
      </c>
      <c r="AH287" s="12">
        <f t="shared" si="318"/>
        <v>0</v>
      </c>
      <c r="AI287" s="12">
        <f t="shared" si="318"/>
        <v>0</v>
      </c>
      <c r="AJ287" s="12">
        <f t="shared" si="318"/>
        <v>0</v>
      </c>
      <c r="AK287" s="12">
        <f t="shared" si="318"/>
        <v>0</v>
      </c>
      <c r="AL287" s="12">
        <f t="shared" si="318"/>
        <v>0</v>
      </c>
      <c r="AM287" s="12">
        <f t="shared" si="318"/>
        <v>0</v>
      </c>
      <c r="AN287" t="s">
        <v>283</v>
      </c>
      <c r="AO287" s="94">
        <f t="shared" si="314"/>
        <v>0.16608334804323577</v>
      </c>
      <c r="AP287" s="94">
        <f t="shared" si="315"/>
        <v>0.18863831321608671</v>
      </c>
      <c r="AQ287" s="94">
        <f t="shared" si="315"/>
        <v>0.21598036410489801</v>
      </c>
      <c r="AR287" s="94">
        <f t="shared" si="315"/>
        <v>0.17058982421147242</v>
      </c>
      <c r="AS287" s="94">
        <f t="shared" si="315"/>
        <v>0.11200470279167923</v>
      </c>
      <c r="AT287" s="94">
        <f t="shared" si="315"/>
        <v>5.3292352031444772E-2</v>
      </c>
      <c r="AU287" s="94">
        <f t="shared" si="315"/>
        <v>3.4928503507204254E-3</v>
      </c>
      <c r="AV287" s="94">
        <f t="shared" si="315"/>
        <v>0</v>
      </c>
      <c r="AW287" s="94">
        <f t="shared" si="315"/>
        <v>0</v>
      </c>
      <c r="AX287" s="94">
        <f t="shared" si="315"/>
        <v>0</v>
      </c>
      <c r="AY287" s="94">
        <f t="shared" si="315"/>
        <v>0</v>
      </c>
      <c r="AZ287" s="94">
        <f t="shared" si="315"/>
        <v>0</v>
      </c>
      <c r="BA287" s="94" t="e">
        <f t="shared" si="315"/>
        <v>#DIV/0!</v>
      </c>
      <c r="BB287" s="94" t="e">
        <f t="shared" si="315"/>
        <v>#DIV/0!</v>
      </c>
      <c r="BC287" s="94" t="e">
        <f t="shared" si="315"/>
        <v>#DIV/0!</v>
      </c>
    </row>
    <row r="288" spans="1:55" x14ac:dyDescent="0.45">
      <c r="A288" s="9" t="str">
        <v>WN301</v>
      </c>
      <c r="B288" t="s">
        <v>282</v>
      </c>
      <c r="C288" t="s">
        <v>265</v>
      </c>
      <c r="E288" s="46"/>
      <c r="F288" s="46"/>
      <c r="G288" s="46"/>
      <c r="H288" s="46"/>
      <c r="I288" s="46"/>
      <c r="J288" s="70">
        <f t="shared" ref="J288:S288" si="323">J199*(1-$B$4)</f>
        <v>-0.42313378824578396</v>
      </c>
      <c r="K288" s="70">
        <f t="shared" si="323"/>
        <v>-0.64550396705758972</v>
      </c>
      <c r="L288" s="70">
        <f t="shared" si="323"/>
        <v>0</v>
      </c>
      <c r="M288" s="70">
        <f t="shared" si="323"/>
        <v>0</v>
      </c>
      <c r="N288" s="70">
        <f t="shared" si="323"/>
        <v>0</v>
      </c>
      <c r="O288" s="70">
        <f t="shared" si="323"/>
        <v>0</v>
      </c>
      <c r="P288" s="70">
        <f t="shared" si="323"/>
        <v>0</v>
      </c>
      <c r="Q288" s="70">
        <f t="shared" si="323"/>
        <v>0</v>
      </c>
      <c r="R288" s="70">
        <f t="shared" si="323"/>
        <v>0</v>
      </c>
      <c r="S288" s="70">
        <f t="shared" si="323"/>
        <v>0</v>
      </c>
      <c r="W288" t="s">
        <v>368</v>
      </c>
      <c r="X288" t="s">
        <v>284</v>
      </c>
      <c r="Y288" s="12">
        <f t="shared" si="318"/>
        <v>557108.21962528361</v>
      </c>
      <c r="Z288" s="12">
        <f t="shared" si="318"/>
        <v>482238.24841094512</v>
      </c>
      <c r="AA288" s="12">
        <f t="shared" si="318"/>
        <v>382378.56678716827</v>
      </c>
      <c r="AB288" s="12">
        <f t="shared" si="318"/>
        <v>293750.77698514832</v>
      </c>
      <c r="AC288" s="12">
        <f t="shared" si="318"/>
        <v>181900.76008892694</v>
      </c>
      <c r="AD288" s="12">
        <f t="shared" si="318"/>
        <v>71095.15760242645</v>
      </c>
      <c r="AE288" s="12">
        <f t="shared" si="318"/>
        <v>4095.8439881595141</v>
      </c>
      <c r="AF288" s="12">
        <f t="shared" si="318"/>
        <v>0</v>
      </c>
      <c r="AG288" s="12">
        <f t="shared" si="318"/>
        <v>0</v>
      </c>
      <c r="AH288" s="12">
        <f t="shared" si="318"/>
        <v>0</v>
      </c>
      <c r="AI288" s="12">
        <f t="shared" si="318"/>
        <v>0</v>
      </c>
      <c r="AJ288" s="12">
        <f t="shared" si="318"/>
        <v>0</v>
      </c>
      <c r="AK288" s="12">
        <f t="shared" si="318"/>
        <v>0</v>
      </c>
      <c r="AL288" s="12">
        <f t="shared" si="318"/>
        <v>0</v>
      </c>
      <c r="AM288" s="12">
        <f t="shared" si="318"/>
        <v>0</v>
      </c>
      <c r="AN288" t="s">
        <v>284</v>
      </c>
      <c r="AO288" s="94">
        <f t="shared" si="314"/>
        <v>0.13031861400135508</v>
      </c>
      <c r="AP288" s="94">
        <f t="shared" si="315"/>
        <v>0.11948953237548911</v>
      </c>
      <c r="AQ288" s="94">
        <f t="shared" si="315"/>
        <v>0.10502636636445185</v>
      </c>
      <c r="AR288" s="94">
        <f t="shared" si="315"/>
        <v>8.7569681884672027E-2</v>
      </c>
      <c r="AS288" s="94">
        <f t="shared" si="315"/>
        <v>6.5164207863712395E-2</v>
      </c>
      <c r="AT288" s="94">
        <f t="shared" si="315"/>
        <v>3.0723932960390641E-2</v>
      </c>
      <c r="AU288" s="94">
        <f t="shared" si="315"/>
        <v>2.0063554963372001E-3</v>
      </c>
      <c r="AV288" s="94">
        <f t="shared" si="315"/>
        <v>0</v>
      </c>
      <c r="AW288" s="94">
        <f t="shared" si="315"/>
        <v>0</v>
      </c>
      <c r="AX288" s="94">
        <f t="shared" si="315"/>
        <v>0</v>
      </c>
      <c r="AY288" s="94">
        <f t="shared" si="315"/>
        <v>0</v>
      </c>
      <c r="AZ288" s="94">
        <f t="shared" si="315"/>
        <v>0</v>
      </c>
      <c r="BA288" s="94" t="e">
        <f t="shared" si="315"/>
        <v>#DIV/0!</v>
      </c>
      <c r="BB288" s="94" t="e">
        <f t="shared" si="315"/>
        <v>#DIV/0!</v>
      </c>
      <c r="BC288" s="94" t="e">
        <f t="shared" si="315"/>
        <v>#DIV/0!</v>
      </c>
    </row>
    <row r="289" spans="1:55" x14ac:dyDescent="0.45">
      <c r="A289" s="9" t="str">
        <v>WX310</v>
      </c>
      <c r="B289" t="s">
        <v>283</v>
      </c>
      <c r="C289" t="s">
        <v>265</v>
      </c>
      <c r="E289" s="46"/>
      <c r="F289" s="46"/>
      <c r="G289" s="46"/>
      <c r="H289" s="46"/>
      <c r="I289" s="46"/>
      <c r="J289" s="70">
        <f t="shared" ref="J289:S289" si="324">J200*(1-$B$4)</f>
        <v>-0.42074417625623045</v>
      </c>
      <c r="K289" s="70">
        <f t="shared" si="324"/>
        <v>-0.64536349303283302</v>
      </c>
      <c r="L289" s="70">
        <f t="shared" si="324"/>
        <v>0</v>
      </c>
      <c r="M289" s="70">
        <f t="shared" si="324"/>
        <v>0</v>
      </c>
      <c r="N289" s="70">
        <f t="shared" si="324"/>
        <v>0</v>
      </c>
      <c r="O289" s="70">
        <f t="shared" si="324"/>
        <v>0</v>
      </c>
      <c r="P289" s="70">
        <f t="shared" si="324"/>
        <v>0</v>
      </c>
      <c r="Q289" s="70">
        <f t="shared" si="324"/>
        <v>0</v>
      </c>
      <c r="R289" s="70">
        <f t="shared" si="324"/>
        <v>0</v>
      </c>
      <c r="S289" s="70">
        <f t="shared" si="324"/>
        <v>0</v>
      </c>
      <c r="W289" t="s">
        <v>369</v>
      </c>
      <c r="X289" t="s">
        <v>293</v>
      </c>
      <c r="Y289" s="12">
        <f t="shared" si="318"/>
        <v>15562.932631604381</v>
      </c>
      <c r="Z289" s="12">
        <f t="shared" si="318"/>
        <v>18611.965410178149</v>
      </c>
      <c r="AA289" s="12">
        <f t="shared" si="318"/>
        <v>18412.270804268246</v>
      </c>
      <c r="AB289" s="12">
        <f t="shared" si="318"/>
        <v>10239.74208171486</v>
      </c>
      <c r="AC289" s="12">
        <f t="shared" si="318"/>
        <v>13626.0699352844</v>
      </c>
      <c r="AD289" s="12">
        <f t="shared" si="318"/>
        <v>15028.040877415719</v>
      </c>
      <c r="AE289" s="12">
        <f t="shared" si="318"/>
        <v>15641.18208047675</v>
      </c>
      <c r="AF289" s="12">
        <f t="shared" si="318"/>
        <v>16414.124437352355</v>
      </c>
      <c r="AG289" s="12">
        <f t="shared" si="318"/>
        <v>17081.527268838545</v>
      </c>
      <c r="AH289" s="12">
        <f t="shared" si="318"/>
        <v>17478.941312008741</v>
      </c>
      <c r="AI289" s="12">
        <f t="shared" si="318"/>
        <v>17883.288949862166</v>
      </c>
      <c r="AJ289" s="12">
        <f t="shared" si="318"/>
        <v>18294.682382444458</v>
      </c>
      <c r="AK289" s="12">
        <f t="shared" si="318"/>
        <v>0</v>
      </c>
      <c r="AL289" s="12">
        <f t="shared" si="318"/>
        <v>0</v>
      </c>
      <c r="AM289" s="12">
        <f t="shared" si="318"/>
        <v>0</v>
      </c>
      <c r="AN289" t="s">
        <v>293</v>
      </c>
      <c r="AO289" s="94">
        <f t="shared" si="314"/>
        <v>3.6404772697686836E-3</v>
      </c>
      <c r="AP289" s="94">
        <f t="shared" si="315"/>
        <v>4.6116935991269868E-3</v>
      </c>
      <c r="AQ289" s="94">
        <f t="shared" si="315"/>
        <v>5.0572235660031519E-3</v>
      </c>
      <c r="AR289" s="94">
        <f t="shared" si="315"/>
        <v>3.0525568847165814E-3</v>
      </c>
      <c r="AS289" s="94">
        <f t="shared" si="315"/>
        <v>4.8814092541134297E-3</v>
      </c>
      <c r="AT289" s="94">
        <f t="shared" si="315"/>
        <v>6.4944018132111481E-3</v>
      </c>
      <c r="AU289" s="94">
        <f t="shared" si="315"/>
        <v>7.6618571720738294E-3</v>
      </c>
      <c r="AV289" s="94">
        <f t="shared" si="315"/>
        <v>9.8108102150544722E-3</v>
      </c>
      <c r="AW289" s="94">
        <f t="shared" si="315"/>
        <v>1.3392846269724486E-2</v>
      </c>
      <c r="AX289" s="94">
        <f t="shared" si="315"/>
        <v>1.9484957196986105E-2</v>
      </c>
      <c r="AY289" s="94">
        <f t="shared" si="315"/>
        <v>3.2733401368651452E-2</v>
      </c>
      <c r="AZ289" s="94">
        <f t="shared" si="315"/>
        <v>9.2091747843817379E-2</v>
      </c>
      <c r="BA289" s="94" t="e">
        <f t="shared" si="315"/>
        <v>#DIV/0!</v>
      </c>
      <c r="BB289" s="94" t="e">
        <f t="shared" si="315"/>
        <v>#DIV/0!</v>
      </c>
      <c r="BC289" s="94" t="e">
        <f t="shared" si="315"/>
        <v>#DIV/0!</v>
      </c>
    </row>
    <row r="290" spans="1:55" x14ac:dyDescent="0.45">
      <c r="A290" s="9" t="str">
        <v>WX311</v>
      </c>
      <c r="B290" t="s">
        <v>284</v>
      </c>
      <c r="C290" t="s">
        <v>265</v>
      </c>
      <c r="E290" s="46"/>
      <c r="F290" s="46"/>
      <c r="G290" s="46"/>
      <c r="H290" s="46"/>
      <c r="I290" s="46"/>
      <c r="J290" s="70">
        <f t="shared" ref="J290:S290" si="325">J201*(1-$B$4)</f>
        <v>-0.42313378824578396</v>
      </c>
      <c r="K290" s="70">
        <f t="shared" si="325"/>
        <v>-0.64550396705758983</v>
      </c>
      <c r="L290" s="70">
        <f t="shared" si="325"/>
        <v>0</v>
      </c>
      <c r="M290" s="70">
        <f t="shared" si="325"/>
        <v>0</v>
      </c>
      <c r="N290" s="70">
        <f t="shared" si="325"/>
        <v>0</v>
      </c>
      <c r="O290" s="70">
        <f t="shared" si="325"/>
        <v>0</v>
      </c>
      <c r="P290" s="70">
        <f t="shared" si="325"/>
        <v>0</v>
      </c>
      <c r="Q290" s="70">
        <f t="shared" si="325"/>
        <v>0</v>
      </c>
      <c r="R290" s="70">
        <f t="shared" si="325"/>
        <v>0</v>
      </c>
      <c r="S290" s="70">
        <f t="shared" si="325"/>
        <v>0</v>
      </c>
      <c r="W290" t="s">
        <v>370</v>
      </c>
      <c r="X290" t="s">
        <v>295</v>
      </c>
      <c r="Y290" s="12">
        <f t="shared" si="318"/>
        <v>15283.037781397848</v>
      </c>
      <c r="Z290" s="12">
        <f t="shared" si="318"/>
        <v>15964.12771985299</v>
      </c>
      <c r="AA290" s="12">
        <f t="shared" si="318"/>
        <v>15642.524404647553</v>
      </c>
      <c r="AB290" s="12">
        <f t="shared" si="318"/>
        <v>19615.293069738414</v>
      </c>
      <c r="AC290" s="12">
        <f t="shared" si="318"/>
        <v>21144.372397112689</v>
      </c>
      <c r="AD290" s="12">
        <f t="shared" si="318"/>
        <v>23319.892986038594</v>
      </c>
      <c r="AE290" s="12">
        <f t="shared" si="318"/>
        <v>24271.340174487621</v>
      </c>
      <c r="AF290" s="12">
        <f t="shared" si="318"/>
        <v>25470.760191623958</v>
      </c>
      <c r="AG290" s="12">
        <f t="shared" si="318"/>
        <v>26506.408333373856</v>
      </c>
      <c r="AH290" s="12">
        <f t="shared" si="318"/>
        <v>27123.099027355496</v>
      </c>
      <c r="AI290" s="12">
        <f t="shared" si="318"/>
        <v>27750.548987121696</v>
      </c>
      <c r="AJ290" s="12">
        <f t="shared" si="318"/>
        <v>28388.932320068016</v>
      </c>
      <c r="AK290" s="12">
        <f t="shared" si="318"/>
        <v>0</v>
      </c>
      <c r="AL290" s="12">
        <f t="shared" si="318"/>
        <v>0</v>
      </c>
      <c r="AM290" s="12">
        <f t="shared" si="318"/>
        <v>0</v>
      </c>
      <c r="AN290" t="s">
        <v>295</v>
      </c>
      <c r="AO290" s="94">
        <f t="shared" si="314"/>
        <v>3.5750043371137567E-3</v>
      </c>
      <c r="AP290" s="94">
        <f t="shared" si="315"/>
        <v>3.9556094157058201E-3</v>
      </c>
      <c r="AQ290" s="94">
        <f t="shared" si="315"/>
        <v>4.2964685829313702E-3</v>
      </c>
      <c r="AR290" s="94">
        <f t="shared" si="315"/>
        <v>5.8474908281806849E-3</v>
      </c>
      <c r="AS290" s="94">
        <f t="shared" si="315"/>
        <v>7.5747692167948775E-3</v>
      </c>
      <c r="AT290" s="94">
        <f t="shared" si="315"/>
        <v>1.0077744433076276E-2</v>
      </c>
      <c r="AU290" s="94">
        <f t="shared" si="315"/>
        <v>1.1889353428335858E-2</v>
      </c>
      <c r="AV290" s="94">
        <f t="shared" si="315"/>
        <v>1.5224009981582357E-2</v>
      </c>
      <c r="AW290" s="94">
        <f t="shared" si="315"/>
        <v>2.078246554797427E-2</v>
      </c>
      <c r="AX290" s="94">
        <f t="shared" si="315"/>
        <v>3.0235951603919033E-2</v>
      </c>
      <c r="AY290" s="94">
        <f t="shared" si="315"/>
        <v>5.0794339941752142E-2</v>
      </c>
      <c r="AZ290" s="94">
        <f t="shared" si="315"/>
        <v>0.14290416975392048</v>
      </c>
      <c r="BA290" s="94" t="e">
        <f t="shared" si="315"/>
        <v>#DIV/0!</v>
      </c>
      <c r="BB290" s="94" t="e">
        <f t="shared" si="315"/>
        <v>#DIV/0!</v>
      </c>
      <c r="BC290" s="94" t="e">
        <f t="shared" si="315"/>
        <v>#DIV/0!</v>
      </c>
    </row>
    <row r="291" spans="1:55" x14ac:dyDescent="0.45">
      <c r="A291" s="9" t="str">
        <v>WN302</v>
      </c>
      <c r="B291" t="s">
        <v>285</v>
      </c>
      <c r="C291" t="s">
        <v>265</v>
      </c>
      <c r="E291" s="46"/>
      <c r="F291" s="46"/>
      <c r="G291" s="46"/>
      <c r="H291" s="46"/>
      <c r="I291" s="46"/>
      <c r="J291" s="70">
        <f t="shared" ref="J291:S291" si="326">J202*(1-$B$4)</f>
        <v>-0.42074417625623045</v>
      </c>
      <c r="K291" s="70">
        <f t="shared" si="326"/>
        <v>-0.64536349303283314</v>
      </c>
      <c r="L291" s="70">
        <f t="shared" si="326"/>
        <v>0</v>
      </c>
      <c r="M291" s="70">
        <f t="shared" si="326"/>
        <v>0</v>
      </c>
      <c r="N291" s="70">
        <f t="shared" si="326"/>
        <v>0</v>
      </c>
      <c r="O291" s="70">
        <f t="shared" si="326"/>
        <v>0</v>
      </c>
      <c r="P291" s="70">
        <f t="shared" si="326"/>
        <v>0</v>
      </c>
      <c r="Q291" s="70">
        <f t="shared" si="326"/>
        <v>0</v>
      </c>
      <c r="R291" s="70">
        <f t="shared" si="326"/>
        <v>0</v>
      </c>
      <c r="S291" s="70">
        <f t="shared" si="326"/>
        <v>0</v>
      </c>
      <c r="W291" t="s">
        <v>371</v>
      </c>
      <c r="X291" t="s">
        <v>298</v>
      </c>
      <c r="Y291" s="12">
        <f t="shared" si="318"/>
        <v>37225.493682006112</v>
      </c>
      <c r="Z291" s="12">
        <f t="shared" si="318"/>
        <v>85864.312477539293</v>
      </c>
      <c r="AA291" s="12">
        <f t="shared" si="318"/>
        <v>127560.83190379567</v>
      </c>
      <c r="AB291" s="12">
        <f t="shared" si="318"/>
        <v>180086.39967006436</v>
      </c>
      <c r="AC291" s="12">
        <f t="shared" si="318"/>
        <v>261481.18346980814</v>
      </c>
      <c r="AD291" s="12">
        <f t="shared" si="318"/>
        <v>287797.72504500643</v>
      </c>
      <c r="AE291" s="12">
        <f t="shared" si="318"/>
        <v>393702.03956636426</v>
      </c>
      <c r="AF291" s="12">
        <f t="shared" si="318"/>
        <v>357603.95422998437</v>
      </c>
      <c r="AG291" s="12">
        <f t="shared" si="318"/>
        <v>240628.26650127026</v>
      </c>
      <c r="AH291" s="12">
        <f t="shared" si="318"/>
        <v>119412.79085481199</v>
      </c>
      <c r="AI291" s="12">
        <f t="shared" si="318"/>
        <v>0</v>
      </c>
      <c r="AJ291" s="12">
        <f t="shared" si="318"/>
        <v>0</v>
      </c>
      <c r="AK291" s="12">
        <f t="shared" si="318"/>
        <v>0</v>
      </c>
      <c r="AL291" s="12">
        <f t="shared" si="318"/>
        <v>0</v>
      </c>
      <c r="AM291" s="12">
        <f t="shared" si="318"/>
        <v>0</v>
      </c>
      <c r="AN291" t="s">
        <v>298</v>
      </c>
      <c r="AO291" s="94">
        <f t="shared" si="314"/>
        <v>8.7077780784103019E-3</v>
      </c>
      <c r="AP291" s="94">
        <f t="shared" si="315"/>
        <v>2.1275555349439968E-2</v>
      </c>
      <c r="AQ291" s="94">
        <f t="shared" si="315"/>
        <v>3.5036615095477369E-2</v>
      </c>
      <c r="AR291" s="94">
        <f t="shared" si="315"/>
        <v>5.3685334529892187E-2</v>
      </c>
      <c r="AS291" s="94">
        <f t="shared" si="315"/>
        <v>9.3673133546808882E-2</v>
      </c>
      <c r="AT291" s="94">
        <f t="shared" si="315"/>
        <v>0.12437243700735438</v>
      </c>
      <c r="AU291" s="94">
        <f t="shared" si="315"/>
        <v>0.19285555145328878</v>
      </c>
      <c r="AV291" s="94">
        <f t="shared" si="315"/>
        <v>0.21374180148894467</v>
      </c>
      <c r="AW291" s="94">
        <f t="shared" si="315"/>
        <v>0.18866564626694141</v>
      </c>
      <c r="AX291" s="94">
        <f t="shared" si="315"/>
        <v>0.1331175084946416</v>
      </c>
      <c r="AY291" s="94">
        <f t="shared" si="315"/>
        <v>0</v>
      </c>
      <c r="AZ291" s="94">
        <f t="shared" si="315"/>
        <v>0</v>
      </c>
      <c r="BA291" s="94" t="e">
        <f t="shared" si="315"/>
        <v>#DIV/0!</v>
      </c>
      <c r="BB291" s="94" t="e">
        <f t="shared" si="315"/>
        <v>#DIV/0!</v>
      </c>
      <c r="BC291" s="94" t="e">
        <f t="shared" si="315"/>
        <v>#DIV/0!</v>
      </c>
    </row>
    <row r="292" spans="1:55" x14ac:dyDescent="0.45">
      <c r="A292" s="9" t="str">
        <v>WX312</v>
      </c>
      <c r="B292" t="s">
        <v>286</v>
      </c>
      <c r="C292" t="s">
        <v>265</v>
      </c>
      <c r="E292" s="46"/>
      <c r="F292" s="46"/>
      <c r="G292" s="46"/>
      <c r="H292" s="46"/>
      <c r="I292" s="46"/>
      <c r="J292" s="70">
        <f t="shared" ref="J292:S292" si="327">J203*(1-$B$4)</f>
        <v>-0.42074417625623028</v>
      </c>
      <c r="K292" s="70">
        <f t="shared" si="327"/>
        <v>-0.64536349303283314</v>
      </c>
      <c r="L292" s="70">
        <f t="shared" si="327"/>
        <v>0</v>
      </c>
      <c r="M292" s="70">
        <f t="shared" si="327"/>
        <v>0</v>
      </c>
      <c r="N292" s="70">
        <f t="shared" si="327"/>
        <v>0</v>
      </c>
      <c r="O292" s="70">
        <f t="shared" si="327"/>
        <v>0</v>
      </c>
      <c r="P292" s="70">
        <f t="shared" si="327"/>
        <v>0</v>
      </c>
      <c r="Q292" s="70">
        <f t="shared" si="327"/>
        <v>0</v>
      </c>
      <c r="R292" s="70">
        <f t="shared" si="327"/>
        <v>0</v>
      </c>
      <c r="S292" s="70">
        <f t="shared" si="327"/>
        <v>0</v>
      </c>
      <c r="W292" t="s">
        <v>372</v>
      </c>
      <c r="X292" t="s">
        <v>300</v>
      </c>
      <c r="Y292" s="12">
        <f t="shared" si="318"/>
        <v>106612.5482746474</v>
      </c>
      <c r="Z292" s="12">
        <f t="shared" si="318"/>
        <v>232336.12379478154</v>
      </c>
      <c r="AA292" s="12">
        <f t="shared" si="318"/>
        <v>357385.40526988974</v>
      </c>
      <c r="AB292" s="12">
        <f t="shared" si="318"/>
        <v>514802.00762610673</v>
      </c>
      <c r="AC292" s="12">
        <f t="shared" si="318"/>
        <v>563846.04200365604</v>
      </c>
      <c r="AD292" s="12">
        <f t="shared" si="318"/>
        <v>613037.40720303985</v>
      </c>
      <c r="AE292" s="12">
        <f t="shared" si="318"/>
        <v>597523.26701290708</v>
      </c>
      <c r="AF292" s="12">
        <f t="shared" si="318"/>
        <v>486639.08542237978</v>
      </c>
      <c r="AG292" s="12">
        <f t="shared" si="318"/>
        <v>423320.98126628372</v>
      </c>
      <c r="AH292" s="12">
        <f t="shared" si="318"/>
        <v>364917.96429244441</v>
      </c>
      <c r="AI292" s="12">
        <f t="shared" si="318"/>
        <v>288947.34951620648</v>
      </c>
      <c r="AJ292" s="12">
        <f t="shared" si="318"/>
        <v>73291.200304760365</v>
      </c>
      <c r="AK292" s="12">
        <f t="shared" si="318"/>
        <v>0</v>
      </c>
      <c r="AL292" s="12">
        <f t="shared" si="318"/>
        <v>0</v>
      </c>
      <c r="AM292" s="12">
        <f t="shared" si="318"/>
        <v>0</v>
      </c>
      <c r="AN292" t="s">
        <v>300</v>
      </c>
      <c r="AO292" s="94">
        <f t="shared" si="314"/>
        <v>2.4938780360572635E-2</v>
      </c>
      <c r="AP292" s="94">
        <f t="shared" si="315"/>
        <v>5.7568504525826611E-2</v>
      </c>
      <c r="AQ292" s="94">
        <f t="shared" si="315"/>
        <v>9.8161596301174076E-2</v>
      </c>
      <c r="AR292" s="94">
        <f t="shared" si="315"/>
        <v>0.15346699165901409</v>
      </c>
      <c r="AS292" s="94">
        <f t="shared" si="315"/>
        <v>0.20199245273244149</v>
      </c>
      <c r="AT292" s="94">
        <f t="shared" si="315"/>
        <v>0.26492550036171614</v>
      </c>
      <c r="AU292" s="94">
        <f t="shared" si="315"/>
        <v>0.29269769415690378</v>
      </c>
      <c r="AV292" s="94">
        <f t="shared" si="315"/>
        <v>0.29086679149587108</v>
      </c>
      <c r="AW292" s="94">
        <f t="shared" si="315"/>
        <v>0.33190666944582592</v>
      </c>
      <c r="AX292" s="94">
        <f t="shared" si="315"/>
        <v>0.4067987178241993</v>
      </c>
      <c r="AY292" s="94">
        <f t="shared" si="315"/>
        <v>0.52888647008048828</v>
      </c>
      <c r="AZ292" s="94">
        <f t="shared" si="315"/>
        <v>0.36893314661278431</v>
      </c>
      <c r="BA292" s="94" t="e">
        <f t="shared" si="315"/>
        <v>#DIV/0!</v>
      </c>
      <c r="BB292" s="94" t="e">
        <f t="shared" si="315"/>
        <v>#DIV/0!</v>
      </c>
      <c r="BC292" s="94" t="e">
        <f t="shared" si="315"/>
        <v>#DIV/0!</v>
      </c>
    </row>
    <row r="293" spans="1:55" x14ac:dyDescent="0.45">
      <c r="A293" s="9" t="str">
        <v>WX338</v>
      </c>
      <c r="B293" t="s">
        <v>287</v>
      </c>
      <c r="C293" t="s">
        <v>265</v>
      </c>
      <c r="E293" s="46"/>
      <c r="F293" s="46"/>
      <c r="G293" s="46"/>
      <c r="H293" s="46"/>
      <c r="I293" s="46"/>
      <c r="J293" s="70">
        <f t="shared" ref="J293:S293" si="328">J204*(1-$B$4)</f>
        <v>-0.42313378824578396</v>
      </c>
      <c r="K293" s="70">
        <f t="shared" si="328"/>
        <v>-0.64550396705758972</v>
      </c>
      <c r="L293" s="70">
        <f t="shared" si="328"/>
        <v>0</v>
      </c>
      <c r="M293" s="70">
        <f t="shared" si="328"/>
        <v>0</v>
      </c>
      <c r="N293" s="70">
        <f t="shared" si="328"/>
        <v>0</v>
      </c>
      <c r="O293" s="70">
        <f t="shared" si="328"/>
        <v>0</v>
      </c>
      <c r="P293" s="70">
        <f t="shared" si="328"/>
        <v>0</v>
      </c>
      <c r="Q293" s="70">
        <f t="shared" si="328"/>
        <v>0</v>
      </c>
      <c r="R293" s="70">
        <f t="shared" si="328"/>
        <v>0</v>
      </c>
      <c r="S293" s="70">
        <f t="shared" si="328"/>
        <v>0</v>
      </c>
      <c r="W293" t="s">
        <v>373</v>
      </c>
      <c r="X293" t="s">
        <v>301</v>
      </c>
      <c r="Y293" s="12">
        <f>INDEX(Y$19:Y$58,MATCH($X293,$X$19:$X$58,0))</f>
        <v>25235.162935987762</v>
      </c>
      <c r="Z293" s="12">
        <f>INDEX(Z$19:Z$58,MATCH($X293,$X$19:$X$58,0))</f>
        <v>58207.419202197132</v>
      </c>
      <c r="AA293" s="12">
        <f t="shared" si="318"/>
        <v>100865.34434480222</v>
      </c>
      <c r="AB293" s="12">
        <f t="shared" si="318"/>
        <v>114266.12456527917</v>
      </c>
      <c r="AC293" s="12">
        <f t="shared" si="318"/>
        <v>165911.70479204782</v>
      </c>
      <c r="AD293" s="12">
        <f t="shared" si="318"/>
        <v>182609.74102942817</v>
      </c>
      <c r="AE293" s="12">
        <f t="shared" si="318"/>
        <v>249806.79564693756</v>
      </c>
      <c r="AF293" s="12">
        <f t="shared" si="318"/>
        <v>226902.29904640446</v>
      </c>
      <c r="AG293" s="12">
        <f t="shared" si="318"/>
        <v>152680.37794004654</v>
      </c>
      <c r="AH293" s="12">
        <f t="shared" si="318"/>
        <v>75768.280691546213</v>
      </c>
      <c r="AI293" s="12">
        <f t="shared" si="318"/>
        <v>0</v>
      </c>
      <c r="AJ293" s="12">
        <f t="shared" si="318"/>
        <v>0</v>
      </c>
      <c r="AK293" s="12">
        <f t="shared" si="318"/>
        <v>0</v>
      </c>
      <c r="AL293" s="12">
        <f t="shared" si="318"/>
        <v>0</v>
      </c>
      <c r="AM293" s="12">
        <f t="shared" si="318"/>
        <v>0</v>
      </c>
      <c r="AN293" t="s">
        <v>301</v>
      </c>
      <c r="AO293" s="94">
        <f t="shared" si="314"/>
        <v>5.903002939228295E-3</v>
      </c>
      <c r="AP293" s="94">
        <f t="shared" si="315"/>
        <v>1.4422699410868095E-2</v>
      </c>
      <c r="AQ293" s="94">
        <f t="shared" si="315"/>
        <v>2.7704274059194688E-2</v>
      </c>
      <c r="AR293" s="94">
        <f t="shared" si="315"/>
        <v>3.4063733485483541E-2</v>
      </c>
      <c r="AS293" s="94">
        <f t="shared" si="315"/>
        <v>5.9436281700012722E-2</v>
      </c>
      <c r="AT293" s="94">
        <f t="shared" si="315"/>
        <v>7.8915212097524959E-2</v>
      </c>
      <c r="AU293" s="94">
        <f t="shared" si="315"/>
        <v>0.12236824422939849</v>
      </c>
      <c r="AV293" s="94">
        <f t="shared" si="315"/>
        <v>0.13562072115391402</v>
      </c>
      <c r="AW293" s="94">
        <f t="shared" si="315"/>
        <v>0.11970971904162259</v>
      </c>
      <c r="AX293" s="94">
        <f t="shared" si="315"/>
        <v>8.4464023295833149E-2</v>
      </c>
      <c r="AY293" s="94">
        <f t="shared" si="315"/>
        <v>0</v>
      </c>
      <c r="AZ293" s="94">
        <f t="shared" si="315"/>
        <v>0</v>
      </c>
      <c r="BA293" s="94" t="e">
        <f t="shared" si="315"/>
        <v>#DIV/0!</v>
      </c>
      <c r="BB293" s="94" t="e">
        <f t="shared" si="315"/>
        <v>#DIV/0!</v>
      </c>
      <c r="BC293" s="94" t="e">
        <f t="shared" si="315"/>
        <v>#DIV/0!</v>
      </c>
    </row>
    <row r="294" spans="1:55" x14ac:dyDescent="0.45">
      <c r="A294" s="9" t="str">
        <v>WN336</v>
      </c>
      <c r="B294" t="s">
        <v>288</v>
      </c>
      <c r="C294" t="s">
        <v>265</v>
      </c>
      <c r="E294" s="46"/>
      <c r="F294" s="46"/>
      <c r="G294" s="46"/>
      <c r="H294" s="46"/>
      <c r="I294" s="46"/>
      <c r="J294" s="70">
        <f t="shared" ref="J294:S294" si="329">J205*(1-$B$4)</f>
        <v>-0.42313378824578396</v>
      </c>
      <c r="K294" s="70">
        <f t="shared" si="329"/>
        <v>-0.64550396705758972</v>
      </c>
      <c r="L294" s="70">
        <f t="shared" si="329"/>
        <v>0</v>
      </c>
      <c r="M294" s="70">
        <f t="shared" si="329"/>
        <v>0</v>
      </c>
      <c r="N294" s="70">
        <f t="shared" si="329"/>
        <v>0</v>
      </c>
      <c r="O294" s="70">
        <f t="shared" si="329"/>
        <v>0</v>
      </c>
      <c r="P294" s="70">
        <f t="shared" si="329"/>
        <v>0</v>
      </c>
      <c r="Q294" s="70">
        <f t="shared" si="329"/>
        <v>0</v>
      </c>
      <c r="R294" s="70">
        <f t="shared" si="329"/>
        <v>0</v>
      </c>
      <c r="S294" s="70">
        <f t="shared" si="329"/>
        <v>0</v>
      </c>
      <c r="W294" t="s">
        <v>374</v>
      </c>
      <c r="X294" t="s">
        <v>302</v>
      </c>
      <c r="Y294" s="12">
        <f t="shared" si="318"/>
        <v>74201.758838606373</v>
      </c>
      <c r="Z294" s="12">
        <f t="shared" si="318"/>
        <v>161704.68961031872</v>
      </c>
      <c r="AA294" s="12">
        <f t="shared" si="318"/>
        <v>255460.95813080907</v>
      </c>
      <c r="AB294" s="12">
        <f t="shared" si="318"/>
        <v>318664.18741405988</v>
      </c>
      <c r="AC294" s="12">
        <f t="shared" si="318"/>
        <v>349022.65354221669</v>
      </c>
      <c r="AD294" s="12">
        <f t="shared" si="318"/>
        <v>379472.27903261228</v>
      </c>
      <c r="AE294" s="12">
        <f t="shared" si="318"/>
        <v>369868.97250350303</v>
      </c>
      <c r="AF294" s="12">
        <f t="shared" si="318"/>
        <v>301231.27992157673</v>
      </c>
      <c r="AG294" s="12">
        <f t="shared" si="318"/>
        <v>262037.15407245033</v>
      </c>
      <c r="AH294" s="12">
        <f t="shared" si="318"/>
        <v>225885.48421830893</v>
      </c>
      <c r="AI294" s="12">
        <f t="shared" si="318"/>
        <v>178859.41045850739</v>
      </c>
      <c r="AJ294" s="12">
        <f t="shared" si="318"/>
        <v>45367.506918662948</v>
      </c>
      <c r="AK294" s="12">
        <f t="shared" si="318"/>
        <v>0</v>
      </c>
      <c r="AL294" s="12">
        <f t="shared" si="318"/>
        <v>0</v>
      </c>
      <c r="AM294" s="12">
        <f t="shared" si="318"/>
        <v>0</v>
      </c>
      <c r="AN294" t="s">
        <v>302</v>
      </c>
      <c r="AO294" s="94">
        <f t="shared" si="314"/>
        <v>1.7357256683116308E-2</v>
      </c>
      <c r="AP294" s="94">
        <f t="shared" si="315"/>
        <v>4.0067368791525441E-2</v>
      </c>
      <c r="AQ294" s="94">
        <f t="shared" si="315"/>
        <v>7.0166422783298654E-2</v>
      </c>
      <c r="AR294" s="94">
        <f t="shared" si="315"/>
        <v>9.4996587945357466E-2</v>
      </c>
      <c r="AS294" s="94">
        <f t="shared" si="315"/>
        <v>0.1250340280791053</v>
      </c>
      <c r="AT294" s="94">
        <f t="shared" si="315"/>
        <v>0.16398980260403442</v>
      </c>
      <c r="AU294" s="94">
        <f t="shared" si="315"/>
        <v>0.18118088678481548</v>
      </c>
      <c r="AV294" s="94">
        <f t="shared" si="315"/>
        <v>0.18004755169415787</v>
      </c>
      <c r="AW294" s="94">
        <f t="shared" si="315"/>
        <v>0.20545137833492211</v>
      </c>
      <c r="AX294" s="94">
        <f t="shared" si="315"/>
        <v>0.251809815757566</v>
      </c>
      <c r="AY294" s="94">
        <f t="shared" si="315"/>
        <v>0.32738255739830358</v>
      </c>
      <c r="AZ294" s="94">
        <f t="shared" si="315"/>
        <v>0.22837089598589169</v>
      </c>
      <c r="BA294" s="94" t="e">
        <f t="shared" si="315"/>
        <v>#DIV/0!</v>
      </c>
      <c r="BB294" s="94" t="e">
        <f t="shared" si="315"/>
        <v>#DIV/0!</v>
      </c>
      <c r="BC294" s="94" t="e">
        <f t="shared" si="315"/>
        <v>#DIV/0!</v>
      </c>
    </row>
    <row r="295" spans="1:55" x14ac:dyDescent="0.45">
      <c r="A295" s="9" t="str">
        <v>WN303</v>
      </c>
      <c r="B295" t="s">
        <v>289</v>
      </c>
      <c r="C295" t="s">
        <v>265</v>
      </c>
      <c r="E295" s="46"/>
      <c r="F295" s="46"/>
      <c r="G295" s="46"/>
      <c r="H295" s="46"/>
      <c r="I295" s="46"/>
      <c r="J295" s="70">
        <f t="shared" ref="J295:S295" si="330">J206*(1-$B$4)</f>
        <v>-0.42313378824578396</v>
      </c>
      <c r="K295" s="70">
        <f t="shared" si="330"/>
        <v>-0.64550396705758983</v>
      </c>
      <c r="L295" s="70">
        <f t="shared" si="330"/>
        <v>0</v>
      </c>
      <c r="M295" s="70">
        <f t="shared" si="330"/>
        <v>0</v>
      </c>
      <c r="N295" s="70">
        <f t="shared" si="330"/>
        <v>0</v>
      </c>
      <c r="O295" s="70">
        <f t="shared" si="330"/>
        <v>0</v>
      </c>
      <c r="P295" s="70">
        <f t="shared" si="330"/>
        <v>0</v>
      </c>
      <c r="Q295" s="70">
        <f t="shared" si="330"/>
        <v>0</v>
      </c>
      <c r="R295" s="70">
        <f t="shared" si="330"/>
        <v>0</v>
      </c>
      <c r="S295" s="70">
        <f t="shared" si="330"/>
        <v>0</v>
      </c>
      <c r="W295" t="s">
        <v>375</v>
      </c>
      <c r="X295" s="96" t="s">
        <v>305</v>
      </c>
      <c r="Y295" s="12"/>
      <c r="Z295" s="12"/>
      <c r="AA295" s="12"/>
      <c r="AB295" s="12"/>
      <c r="AC295" s="12"/>
      <c r="AD295" s="12"/>
      <c r="AE295" s="12"/>
      <c r="AF295" s="12"/>
      <c r="AG295" s="12"/>
      <c r="AH295" s="12"/>
      <c r="AI295" s="12"/>
      <c r="AJ295" s="12"/>
      <c r="AK295" s="12"/>
      <c r="AL295" s="12"/>
      <c r="AM295" s="12"/>
      <c r="AN295" s="96" t="s">
        <v>305</v>
      </c>
      <c r="AO295" s="94">
        <f t="shared" si="314"/>
        <v>0</v>
      </c>
      <c r="AP295" s="94">
        <f t="shared" si="315"/>
        <v>0</v>
      </c>
      <c r="AQ295" s="94">
        <f t="shared" si="315"/>
        <v>0</v>
      </c>
      <c r="AR295" s="94">
        <f t="shared" si="315"/>
        <v>0</v>
      </c>
      <c r="AS295" s="94">
        <f t="shared" si="315"/>
        <v>0</v>
      </c>
      <c r="AT295" s="94">
        <f t="shared" si="315"/>
        <v>0</v>
      </c>
      <c r="AU295" s="94">
        <f t="shared" si="315"/>
        <v>0</v>
      </c>
      <c r="AV295" s="94">
        <f t="shared" si="315"/>
        <v>0</v>
      </c>
      <c r="AW295" s="94">
        <f t="shared" si="315"/>
        <v>0</v>
      </c>
      <c r="AX295" s="94">
        <f t="shared" si="315"/>
        <v>0</v>
      </c>
      <c r="AY295" s="94">
        <f t="shared" si="315"/>
        <v>0</v>
      </c>
      <c r="AZ295" s="94">
        <f t="shared" si="315"/>
        <v>0</v>
      </c>
      <c r="BA295" s="94" t="e">
        <f t="shared" si="315"/>
        <v>#DIV/0!</v>
      </c>
      <c r="BB295" s="94" t="e">
        <f t="shared" si="315"/>
        <v>#DIV/0!</v>
      </c>
      <c r="BC295" s="94" t="e">
        <f t="shared" si="315"/>
        <v>#DIV/0!</v>
      </c>
    </row>
    <row r="296" spans="1:55" x14ac:dyDescent="0.45">
      <c r="A296" s="9" t="str">
        <v>WN337</v>
      </c>
      <c r="B296" t="s">
        <v>290</v>
      </c>
      <c r="C296" t="s">
        <v>265</v>
      </c>
      <c r="E296" s="46"/>
      <c r="F296" s="46"/>
      <c r="G296" s="46"/>
      <c r="H296" s="46"/>
      <c r="I296" s="46"/>
      <c r="J296" s="70">
        <f t="shared" ref="J296:S296" si="331">J207*(1-$B$4)</f>
        <v>-0.42074417625623045</v>
      </c>
      <c r="K296" s="70">
        <f t="shared" si="331"/>
        <v>-0.64536349303283302</v>
      </c>
      <c r="L296" s="70">
        <f t="shared" si="331"/>
        <v>0</v>
      </c>
      <c r="M296" s="70">
        <f t="shared" si="331"/>
        <v>0</v>
      </c>
      <c r="N296" s="70">
        <f t="shared" si="331"/>
        <v>0</v>
      </c>
      <c r="O296" s="70">
        <f t="shared" si="331"/>
        <v>0</v>
      </c>
      <c r="P296" s="70">
        <f t="shared" si="331"/>
        <v>0</v>
      </c>
      <c r="Q296" s="70">
        <f t="shared" si="331"/>
        <v>0</v>
      </c>
      <c r="R296" s="70">
        <f t="shared" si="331"/>
        <v>0</v>
      </c>
      <c r="S296" s="70">
        <f t="shared" si="331"/>
        <v>0</v>
      </c>
      <c r="W296" t="s">
        <v>376</v>
      </c>
      <c r="X296" s="96" t="s">
        <v>306</v>
      </c>
      <c r="Y296" s="12"/>
      <c r="Z296" s="12"/>
      <c r="AA296" s="12"/>
      <c r="AB296" s="12"/>
      <c r="AC296" s="12"/>
      <c r="AD296" s="12"/>
      <c r="AE296" s="12"/>
      <c r="AF296" s="12"/>
      <c r="AG296" s="12"/>
      <c r="AH296" s="12"/>
      <c r="AI296" s="12"/>
      <c r="AJ296" s="12"/>
      <c r="AK296" s="12"/>
      <c r="AL296" s="12"/>
      <c r="AM296" s="12"/>
      <c r="AN296" s="96" t="s">
        <v>306</v>
      </c>
      <c r="AO296" s="94">
        <f t="shared" si="314"/>
        <v>0</v>
      </c>
      <c r="AP296" s="94">
        <f t="shared" si="315"/>
        <v>0</v>
      </c>
      <c r="AQ296" s="94">
        <f t="shared" si="315"/>
        <v>0</v>
      </c>
      <c r="AR296" s="94">
        <f t="shared" si="315"/>
        <v>0</v>
      </c>
      <c r="AS296" s="94">
        <f t="shared" si="315"/>
        <v>0</v>
      </c>
      <c r="AT296" s="94">
        <f t="shared" si="315"/>
        <v>0</v>
      </c>
      <c r="AU296" s="94">
        <f t="shared" si="315"/>
        <v>0</v>
      </c>
      <c r="AV296" s="94">
        <f t="shared" si="315"/>
        <v>0</v>
      </c>
      <c r="AW296" s="94">
        <f t="shared" si="315"/>
        <v>0</v>
      </c>
      <c r="AX296" s="94">
        <f t="shared" si="315"/>
        <v>0</v>
      </c>
      <c r="AY296" s="94">
        <f t="shared" si="315"/>
        <v>0</v>
      </c>
      <c r="AZ296" s="94">
        <f t="shared" si="315"/>
        <v>0</v>
      </c>
      <c r="BA296" s="94" t="e">
        <f t="shared" si="315"/>
        <v>#DIV/0!</v>
      </c>
      <c r="BB296" s="94" t="e">
        <f t="shared" si="315"/>
        <v>#DIV/0!</v>
      </c>
      <c r="BC296" s="94" t="e">
        <f t="shared" si="315"/>
        <v>#DIV/0!</v>
      </c>
    </row>
    <row r="297" spans="1:55" x14ac:dyDescent="0.45">
      <c r="A297" s="9" t="str">
        <v>WX313</v>
      </c>
      <c r="B297" t="s">
        <v>291</v>
      </c>
      <c r="C297" t="s">
        <v>265</v>
      </c>
      <c r="E297" s="46"/>
      <c r="F297" s="46"/>
      <c r="G297" s="46"/>
      <c r="H297" s="46"/>
      <c r="I297" s="46"/>
      <c r="J297" s="70">
        <f t="shared" ref="J297:S297" si="332">J208*(1-$B$4)</f>
        <v>-0.42313378824578396</v>
      </c>
      <c r="K297" s="70">
        <f t="shared" si="332"/>
        <v>-0.64550396705758972</v>
      </c>
      <c r="L297" s="70">
        <f t="shared" si="332"/>
        <v>0</v>
      </c>
      <c r="M297" s="70">
        <f t="shared" si="332"/>
        <v>0</v>
      </c>
      <c r="N297" s="70">
        <f t="shared" si="332"/>
        <v>0</v>
      </c>
      <c r="O297" s="70">
        <f t="shared" si="332"/>
        <v>0</v>
      </c>
      <c r="P297" s="70">
        <f t="shared" si="332"/>
        <v>0</v>
      </c>
      <c r="Q297" s="70">
        <f t="shared" si="332"/>
        <v>0</v>
      </c>
      <c r="R297" s="70">
        <f t="shared" si="332"/>
        <v>0</v>
      </c>
      <c r="S297" s="70">
        <f t="shared" si="332"/>
        <v>0</v>
      </c>
      <c r="W297" t="s">
        <v>377</v>
      </c>
      <c r="X297" t="s">
        <v>309</v>
      </c>
      <c r="Y297" s="12">
        <f t="shared" si="318"/>
        <v>54551.654322215116</v>
      </c>
      <c r="Z297" s="12">
        <f t="shared" si="318"/>
        <v>44209.374696969302</v>
      </c>
      <c r="AA297" s="12">
        <f t="shared" si="318"/>
        <v>30658.657637026583</v>
      </c>
      <c r="AB297" s="12">
        <f t="shared" si="318"/>
        <v>27549.856719439933</v>
      </c>
      <c r="AC297" s="12">
        <f t="shared" si="318"/>
        <v>23833.602748858386</v>
      </c>
      <c r="AD297" s="12">
        <f t="shared" si="318"/>
        <v>19154.415555050226</v>
      </c>
      <c r="AE297" s="12">
        <f t="shared" si="318"/>
        <v>16416.619532290657</v>
      </c>
      <c r="AF297" s="12">
        <f t="shared" si="318"/>
        <v>11215.911757683367</v>
      </c>
      <c r="AG297" s="12">
        <f t="shared" si="318"/>
        <v>5827.2709362582964</v>
      </c>
      <c r="AH297" s="12">
        <f t="shared" si="318"/>
        <v>1342.2308235686626</v>
      </c>
      <c r="AI297" s="12">
        <f t="shared" si="318"/>
        <v>143.47645836367556</v>
      </c>
      <c r="AJ297" s="12">
        <f t="shared" si="318"/>
        <v>107.24905100526911</v>
      </c>
      <c r="AK297" s="12">
        <f t="shared" si="318"/>
        <v>0</v>
      </c>
      <c r="AL297" s="12">
        <f t="shared" si="318"/>
        <v>0</v>
      </c>
      <c r="AM297" s="12">
        <f t="shared" si="318"/>
        <v>0</v>
      </c>
      <c r="AN297" t="s">
        <v>309</v>
      </c>
      <c r="AO297" s="94">
        <f t="shared" si="314"/>
        <v>1.2760709198535523E-2</v>
      </c>
      <c r="AP297" s="94">
        <f t="shared" ref="AP297:AP300" si="333">Z297/SUM(Z$281:Z$300)</f>
        <v>1.0954248292333808E-2</v>
      </c>
      <c r="AQ297" s="94">
        <f t="shared" ref="AQ297:AQ300" si="334">AA297/SUM(AA$281:AA$300)</f>
        <v>8.4208888491934912E-3</v>
      </c>
      <c r="AR297" s="94">
        <f t="shared" ref="AR297:AR300" si="335">AB297/SUM(AB$281:AB$300)</f>
        <v>8.2128538131888019E-3</v>
      </c>
      <c r="AS297" s="94">
        <f t="shared" ref="AS297:AS300" si="336">AC297/SUM(AC$281:AC$300)</f>
        <v>8.5381602743632434E-3</v>
      </c>
      <c r="AT297" s="94">
        <f t="shared" ref="AT297:AT300" si="337">AD297/SUM(AD$281:AD$300)</f>
        <v>8.2776239515466189E-3</v>
      </c>
      <c r="AU297" s="94">
        <f t="shared" ref="AU297:AU300" si="338">AE297/SUM(AE$281:AE$300)</f>
        <v>8.0417064041271354E-3</v>
      </c>
      <c r="AV297" s="94">
        <f t="shared" ref="AV297:AV300" si="339">AF297/SUM(AF$281:AF$300)</f>
        <v>6.7038106152665948E-3</v>
      </c>
      <c r="AW297" s="94">
        <f t="shared" ref="AW297:AW300" si="340">AG297/SUM(AG$281:AG$300)</f>
        <v>4.5688973001679024E-3</v>
      </c>
      <c r="AX297" s="94">
        <f t="shared" ref="AX297:AX300" si="341">AH297/SUM(AH$281:AH$300)</f>
        <v>1.4962754138743183E-3</v>
      </c>
      <c r="AY297" s="94">
        <f t="shared" ref="AY297:AY300" si="342">AI297/SUM(AI$281:AI$300)</f>
        <v>2.6261793967194153E-4</v>
      </c>
      <c r="AZ297" s="94">
        <f t="shared" ref="AZ297:AZ300" si="343">AJ297/SUM(AJ$281:AJ$300)</f>
        <v>5.3987013030320032E-4</v>
      </c>
      <c r="BA297" s="94" t="e">
        <f t="shared" ref="BA297:BA300" si="344">AK297/SUM(AK$281:AK$300)</f>
        <v>#DIV/0!</v>
      </c>
      <c r="BB297" s="94" t="e">
        <f t="shared" ref="BB297:BB300" si="345">AL297/SUM(AL$281:AL$300)</f>
        <v>#DIV/0!</v>
      </c>
      <c r="BC297" s="94" t="e">
        <f t="shared" ref="BC297:BC300" si="346">AM297/SUM(AM$281:AM$300)</f>
        <v>#DIV/0!</v>
      </c>
    </row>
    <row r="298" spans="1:55" x14ac:dyDescent="0.45">
      <c r="A298" s="9" t="str">
        <v>WX339</v>
      </c>
      <c r="B298" t="s">
        <v>292</v>
      </c>
      <c r="C298" t="s">
        <v>265</v>
      </c>
      <c r="E298" s="46"/>
      <c r="F298" s="46"/>
      <c r="G298" s="46"/>
      <c r="H298" s="46"/>
      <c r="I298" s="46"/>
      <c r="J298" s="70">
        <f t="shared" ref="J298:S298" si="347">J209*(1-$B$4)</f>
        <v>-0.42074417625623028</v>
      </c>
      <c r="K298" s="70">
        <f t="shared" si="347"/>
        <v>-0.64536349303283314</v>
      </c>
      <c r="L298" s="70">
        <f t="shared" si="347"/>
        <v>0</v>
      </c>
      <c r="M298" s="70">
        <f t="shared" si="347"/>
        <v>0</v>
      </c>
      <c r="N298" s="70">
        <f t="shared" si="347"/>
        <v>0</v>
      </c>
      <c r="O298" s="70">
        <f t="shared" si="347"/>
        <v>0</v>
      </c>
      <c r="P298" s="70">
        <f t="shared" si="347"/>
        <v>0</v>
      </c>
      <c r="Q298" s="70">
        <f t="shared" si="347"/>
        <v>0</v>
      </c>
      <c r="R298" s="70">
        <f t="shared" si="347"/>
        <v>0</v>
      </c>
      <c r="S298" s="70">
        <f t="shared" si="347"/>
        <v>0</v>
      </c>
      <c r="W298" t="s">
        <v>378</v>
      </c>
      <c r="X298" t="s">
        <v>310</v>
      </c>
      <c r="Y298" s="12">
        <f t="shared" si="318"/>
        <v>821068.59082038037</v>
      </c>
      <c r="Z298" s="12">
        <f t="shared" si="318"/>
        <v>607907.59867599944</v>
      </c>
      <c r="AA298" s="12">
        <f t="shared" si="318"/>
        <v>470253.52364789718</v>
      </c>
      <c r="AB298" s="12">
        <f t="shared" si="318"/>
        <v>436906.75685821782</v>
      </c>
      <c r="AC298" s="12">
        <f t="shared" si="318"/>
        <v>275656.52012195555</v>
      </c>
      <c r="AD298" s="12">
        <f t="shared" si="318"/>
        <v>221537.61613434256</v>
      </c>
      <c r="AE298" s="12">
        <f t="shared" si="318"/>
        <v>189872.6038242006</v>
      </c>
      <c r="AF298" s="12">
        <f t="shared" si="318"/>
        <v>129721.85689660432</v>
      </c>
      <c r="AG298" s="12">
        <f t="shared" si="318"/>
        <v>67397.499447443537</v>
      </c>
      <c r="AH298" s="12">
        <f t="shared" si="318"/>
        <v>15524.076738380916</v>
      </c>
      <c r="AI298" s="12">
        <f t="shared" si="318"/>
        <v>1659.4310834457403</v>
      </c>
      <c r="AJ298" s="12">
        <f t="shared" si="318"/>
        <v>1240.4293424715527</v>
      </c>
      <c r="AK298" s="12">
        <f t="shared" si="318"/>
        <v>0</v>
      </c>
      <c r="AL298" s="12">
        <f t="shared" si="318"/>
        <v>0</v>
      </c>
      <c r="AM298" s="12">
        <f t="shared" si="318"/>
        <v>0</v>
      </c>
      <c r="AN298" t="s">
        <v>310</v>
      </c>
      <c r="AO298" s="94">
        <f t="shared" si="314"/>
        <v>0.19206415735120064</v>
      </c>
      <c r="AP298" s="94">
        <f t="shared" si="333"/>
        <v>0.15062802449340729</v>
      </c>
      <c r="AQ298" s="94">
        <f t="shared" si="334"/>
        <v>0.12916262350632318</v>
      </c>
      <c r="AR298" s="94">
        <f t="shared" si="335"/>
        <v>0.13024573451008181</v>
      </c>
      <c r="AS298" s="94">
        <f t="shared" si="336"/>
        <v>9.8751312349838888E-2</v>
      </c>
      <c r="AT298" s="94">
        <f t="shared" si="337"/>
        <v>9.5737981261384719E-2</v>
      </c>
      <c r="AU298" s="94">
        <f t="shared" si="338"/>
        <v>9.3009387903400839E-2</v>
      </c>
      <c r="AV298" s="94">
        <f t="shared" si="339"/>
        <v>7.7535449643656204E-2</v>
      </c>
      <c r="AW298" s="94">
        <f t="shared" si="340"/>
        <v>5.284330463296022E-2</v>
      </c>
      <c r="AX298" s="94">
        <f t="shared" si="341"/>
        <v>1.730573753699028E-2</v>
      </c>
      <c r="AY298" s="94">
        <f t="shared" si="342"/>
        <v>3.0374068131614135E-3</v>
      </c>
      <c r="AZ298" s="94">
        <f t="shared" si="343"/>
        <v>6.2440715742942054E-3</v>
      </c>
      <c r="BA298" s="94" t="e">
        <f t="shared" si="344"/>
        <v>#DIV/0!</v>
      </c>
      <c r="BB298" s="94" t="e">
        <f t="shared" si="345"/>
        <v>#DIV/0!</v>
      </c>
      <c r="BC298" s="94" t="e">
        <f t="shared" si="346"/>
        <v>#DIV/0!</v>
      </c>
    </row>
    <row r="299" spans="1:55" x14ac:dyDescent="0.45">
      <c r="A299" s="9" t="str">
        <v>WN332</v>
      </c>
      <c r="B299" t="s">
        <v>293</v>
      </c>
      <c r="C299" t="s">
        <v>265</v>
      </c>
      <c r="E299" s="46"/>
      <c r="F299" s="46"/>
      <c r="G299" s="46"/>
      <c r="H299" s="46"/>
      <c r="I299" s="46"/>
      <c r="J299" s="70">
        <f t="shared" ref="J299:S299" si="348">J210*(1-$B$4)</f>
        <v>5.201760806502094E-2</v>
      </c>
      <c r="K299" s="70">
        <f t="shared" si="348"/>
        <v>1.0585133842912065E-2</v>
      </c>
      <c r="L299" s="70">
        <f t="shared" si="348"/>
        <v>1.6335534724066569E-2</v>
      </c>
      <c r="M299" s="70">
        <f t="shared" si="348"/>
        <v>1.0492022288648251E-2</v>
      </c>
      <c r="N299" s="70">
        <f t="shared" si="348"/>
        <v>-1.1154888562461274E-3</v>
      </c>
      <c r="O299" s="70">
        <f t="shared" si="348"/>
        <v>-1.2037760936880915E-3</v>
      </c>
      <c r="P299" s="70">
        <f t="shared" si="348"/>
        <v>-1.2899036243790186E-3</v>
      </c>
      <c r="Q299" s="70">
        <f t="shared" si="348"/>
        <v>0</v>
      </c>
      <c r="R299" s="70">
        <f t="shared" si="348"/>
        <v>0</v>
      </c>
      <c r="S299" s="70">
        <f t="shared" si="348"/>
        <v>0</v>
      </c>
      <c r="W299" t="s">
        <v>379</v>
      </c>
      <c r="X299" t="s">
        <v>311</v>
      </c>
      <c r="Y299" s="12">
        <f t="shared" si="318"/>
        <v>80407.808975339212</v>
      </c>
      <c r="Z299" s="12">
        <f t="shared" si="318"/>
        <v>68503.812787792995</v>
      </c>
      <c r="AA299" s="12">
        <f t="shared" si="318"/>
        <v>57705.592004577033</v>
      </c>
      <c r="AB299" s="12">
        <f t="shared" si="318"/>
        <v>54472.184487218867</v>
      </c>
      <c r="AC299" s="12">
        <f t="shared" si="318"/>
        <v>38650.950782425352</v>
      </c>
      <c r="AD299" s="12">
        <f t="shared" si="318"/>
        <v>31062.713459039689</v>
      </c>
      <c r="AE299" s="12">
        <f t="shared" si="318"/>
        <v>26622.829970041428</v>
      </c>
      <c r="AF299" s="12">
        <f t="shared" si="318"/>
        <v>18188.842781941992</v>
      </c>
      <c r="AG299" s="12">
        <f t="shared" si="318"/>
        <v>9450.0845938604671</v>
      </c>
      <c r="AH299" s="12">
        <f t="shared" si="318"/>
        <v>2176.6955691535791</v>
      </c>
      <c r="AI299" s="12">
        <f t="shared" si="318"/>
        <v>232.67575570028959</v>
      </c>
      <c r="AJ299" s="12">
        <f t="shared" si="318"/>
        <v>173.9257734362061</v>
      </c>
      <c r="AK299" s="12">
        <f t="shared" ref="AA299:AM300" si="349">INDEX(AK$19:AK$58,MATCH($X299,$X$19:$X$58,0))</f>
        <v>0</v>
      </c>
      <c r="AL299" s="12">
        <f t="shared" si="349"/>
        <v>0</v>
      </c>
      <c r="AM299" s="12">
        <f t="shared" si="349"/>
        <v>0</v>
      </c>
      <c r="AN299" t="s">
        <v>311</v>
      </c>
      <c r="AO299" s="94">
        <f t="shared" si="314"/>
        <v>1.8808974363365087E-2</v>
      </c>
      <c r="AP299" s="94">
        <f t="shared" si="333"/>
        <v>1.6973951325768902E-2</v>
      </c>
      <c r="AQ299" s="94">
        <f t="shared" si="334"/>
        <v>1.5849760351561815E-2</v>
      </c>
      <c r="AR299" s="94">
        <f t="shared" si="335"/>
        <v>1.6238635744442963E-2</v>
      </c>
      <c r="AS299" s="94">
        <f t="shared" si="336"/>
        <v>1.3846333515510166E-2</v>
      </c>
      <c r="AT299" s="94">
        <f t="shared" si="337"/>
        <v>1.3423821791356254E-2</v>
      </c>
      <c r="AU299" s="94">
        <f t="shared" si="338"/>
        <v>1.3041234332376405E-2</v>
      </c>
      <c r="AV299" s="94">
        <f t="shared" si="339"/>
        <v>1.087156888850054E-2</v>
      </c>
      <c r="AW299" s="94">
        <f t="shared" si="340"/>
        <v>7.4093802158049444E-3</v>
      </c>
      <c r="AX299" s="94">
        <f t="shared" si="341"/>
        <v>2.4265096631846616E-3</v>
      </c>
      <c r="AY299" s="94">
        <f t="shared" si="342"/>
        <v>4.2588748196402502E-4</v>
      </c>
      <c r="AZ299" s="94">
        <f t="shared" si="343"/>
        <v>8.7550732699235103E-4</v>
      </c>
      <c r="BA299" s="94" t="e">
        <f t="shared" si="344"/>
        <v>#DIV/0!</v>
      </c>
      <c r="BB299" s="94" t="e">
        <f t="shared" si="345"/>
        <v>#DIV/0!</v>
      </c>
      <c r="BC299" s="94" t="e">
        <f t="shared" si="346"/>
        <v>#DIV/0!</v>
      </c>
    </row>
    <row r="300" spans="1:55" x14ac:dyDescent="0.45">
      <c r="A300" s="9" t="str">
        <v>WX334</v>
      </c>
      <c r="B300" t="s">
        <v>295</v>
      </c>
      <c r="C300" t="s">
        <v>265</v>
      </c>
      <c r="E300" s="46"/>
      <c r="F300" s="46"/>
      <c r="G300" s="46"/>
      <c r="H300" s="46"/>
      <c r="I300" s="46"/>
      <c r="J300" s="70">
        <f t="shared" ref="J300:S300" si="350">J211*(1-$B$4)</f>
        <v>5.201760806502076E-2</v>
      </c>
      <c r="K300" s="70">
        <f t="shared" si="350"/>
        <v>1.0585133842912065E-2</v>
      </c>
      <c r="L300" s="70">
        <f t="shared" si="350"/>
        <v>1.6335534724066569E-2</v>
      </c>
      <c r="M300" s="70">
        <f t="shared" si="350"/>
        <v>1.0492022288648251E-2</v>
      </c>
      <c r="N300" s="70">
        <f t="shared" si="350"/>
        <v>-1.1154888562459498E-3</v>
      </c>
      <c r="O300" s="70">
        <f t="shared" si="350"/>
        <v>-1.2037760936882691E-3</v>
      </c>
      <c r="P300" s="70">
        <f t="shared" si="350"/>
        <v>-1.289903624378841E-3</v>
      </c>
      <c r="Q300" s="70">
        <f t="shared" si="350"/>
        <v>0</v>
      </c>
      <c r="R300" s="70">
        <f t="shared" si="350"/>
        <v>0</v>
      </c>
      <c r="S300" s="70">
        <f t="shared" si="350"/>
        <v>0</v>
      </c>
      <c r="W300" t="s">
        <v>380</v>
      </c>
      <c r="X300" t="s">
        <v>312</v>
      </c>
      <c r="Y300" s="12">
        <f t="shared" si="318"/>
        <v>299315.46486216265</v>
      </c>
      <c r="Z300" s="12">
        <f t="shared" si="318"/>
        <v>226297.44701367838</v>
      </c>
      <c r="AA300" s="12">
        <f t="shared" si="349"/>
        <v>110169.17842623618</v>
      </c>
      <c r="AB300" s="12">
        <f t="shared" si="349"/>
        <v>102439.9698539283</v>
      </c>
      <c r="AC300" s="12">
        <f t="shared" si="349"/>
        <v>74443.504512889966</v>
      </c>
      <c r="AD300" s="12">
        <f t="shared" si="349"/>
        <v>59828.211279658586</v>
      </c>
      <c r="AE300" s="12">
        <f t="shared" si="349"/>
        <v>51276.791977957044</v>
      </c>
      <c r="AF300" s="12">
        <f t="shared" si="349"/>
        <v>35032.545702276198</v>
      </c>
      <c r="AG300" s="12">
        <f t="shared" si="349"/>
        <v>18201.296497733889</v>
      </c>
      <c r="AH300" s="12">
        <f t="shared" si="349"/>
        <v>4192.4155330003487</v>
      </c>
      <c r="AI300" s="12">
        <f t="shared" si="349"/>
        <v>448.14418064433642</v>
      </c>
      <c r="AJ300" s="12">
        <f t="shared" si="349"/>
        <v>334.98901935404382</v>
      </c>
      <c r="AK300" s="12">
        <f t="shared" si="349"/>
        <v>0</v>
      </c>
      <c r="AL300" s="12">
        <f t="shared" si="349"/>
        <v>0</v>
      </c>
      <c r="AM300" s="12">
        <f t="shared" si="349"/>
        <v>0</v>
      </c>
      <c r="AN300" t="s">
        <v>312</v>
      </c>
      <c r="AO300" s="94">
        <f t="shared" si="314"/>
        <v>7.0015797929250445E-2</v>
      </c>
      <c r="AP300" s="94">
        <f t="shared" si="333"/>
        <v>5.6072234441240008E-2</v>
      </c>
      <c r="AQ300" s="94">
        <f t="shared" si="334"/>
        <v>3.0259720341241757E-2</v>
      </c>
      <c r="AR300" s="94">
        <f t="shared" si="335"/>
        <v>3.0538253088050343E-2</v>
      </c>
      <c r="AS300" s="94">
        <f t="shared" si="336"/>
        <v>2.6668673620767778E-2</v>
      </c>
      <c r="AT300" s="94">
        <f t="shared" si="337"/>
        <v>2.5854896655205978E-2</v>
      </c>
      <c r="AU300" s="94">
        <f t="shared" si="338"/>
        <v>2.5118015656095026E-2</v>
      </c>
      <c r="AV300" s="94">
        <f t="shared" si="339"/>
        <v>2.0939140466921757E-2</v>
      </c>
      <c r="AW300" s="94">
        <f t="shared" si="340"/>
        <v>1.427080623806536E-2</v>
      </c>
      <c r="AX300" s="94">
        <f t="shared" si="341"/>
        <v>4.6735689395768958E-3</v>
      </c>
      <c r="AY300" s="94">
        <f t="shared" si="342"/>
        <v>8.2027882998387549E-4</v>
      </c>
      <c r="AZ300" s="94">
        <f t="shared" si="343"/>
        <v>1.6862672800706069E-3</v>
      </c>
      <c r="BA300" s="94" t="e">
        <f t="shared" si="344"/>
        <v>#DIV/0!</v>
      </c>
      <c r="BB300" s="94" t="e">
        <f t="shared" si="345"/>
        <v>#DIV/0!</v>
      </c>
      <c r="BC300" s="94" t="e">
        <f t="shared" si="346"/>
        <v>#DIV/0!</v>
      </c>
    </row>
    <row r="301" spans="1:55" x14ac:dyDescent="0.45">
      <c r="A301" s="9" t="str">
        <v>WN333</v>
      </c>
      <c r="B301" t="s">
        <v>296</v>
      </c>
      <c r="C301" t="s">
        <v>265</v>
      </c>
      <c r="E301" s="46"/>
      <c r="F301" s="46"/>
      <c r="G301" s="46"/>
      <c r="H301" s="46"/>
      <c r="I301" s="46"/>
      <c r="J301" s="70">
        <f t="shared" ref="J301:S301" si="351">J212*(1-$B$4)</f>
        <v>5.201760806502076E-2</v>
      </c>
      <c r="K301" s="70">
        <f t="shared" si="351"/>
        <v>1.0585133842912065E-2</v>
      </c>
      <c r="L301" s="70">
        <f t="shared" si="351"/>
        <v>1.6335534724066569E-2</v>
      </c>
      <c r="M301" s="70">
        <f t="shared" si="351"/>
        <v>1.0492022288648251E-2</v>
      </c>
      <c r="N301" s="70">
        <f t="shared" si="351"/>
        <v>-1.1154888562461274E-3</v>
      </c>
      <c r="O301" s="70">
        <f t="shared" si="351"/>
        <v>-1.2037760936882691E-3</v>
      </c>
      <c r="P301" s="70">
        <f t="shared" si="351"/>
        <v>-1.2899036243790186E-3</v>
      </c>
      <c r="Q301" s="70">
        <f t="shared" si="351"/>
        <v>0</v>
      </c>
      <c r="R301" s="70">
        <f t="shared" si="351"/>
        <v>0</v>
      </c>
      <c r="S301" s="70">
        <f t="shared" si="351"/>
        <v>0</v>
      </c>
      <c r="AD301" s="26">
        <f>SUM(AD281:AD300)</f>
        <v>2313999.2426777678</v>
      </c>
      <c r="AN301" s="94"/>
      <c r="AO301" s="26"/>
    </row>
    <row r="302" spans="1:55" x14ac:dyDescent="0.45">
      <c r="A302" s="9" t="str">
        <v>WX335</v>
      </c>
      <c r="B302" t="s">
        <v>297</v>
      </c>
      <c r="C302" t="s">
        <v>265</v>
      </c>
      <c r="E302" s="46"/>
      <c r="F302" s="46"/>
      <c r="G302" s="46"/>
      <c r="H302" s="46"/>
      <c r="I302" s="46"/>
      <c r="J302" s="70">
        <f t="shared" ref="J302:S302" si="352">J213*(1-$B$4)</f>
        <v>5.201760806502076E-2</v>
      </c>
      <c r="K302" s="70">
        <f t="shared" si="352"/>
        <v>1.0585133842912065E-2</v>
      </c>
      <c r="L302" s="70">
        <f t="shared" si="352"/>
        <v>1.6335534724066569E-2</v>
      </c>
      <c r="M302" s="70">
        <f t="shared" si="352"/>
        <v>1.0492022288648251E-2</v>
      </c>
      <c r="N302" s="70">
        <f t="shared" si="352"/>
        <v>-1.1154888562459498E-3</v>
      </c>
      <c r="O302" s="70">
        <f t="shared" si="352"/>
        <v>-1.2037760936882691E-3</v>
      </c>
      <c r="P302" s="70">
        <f t="shared" si="352"/>
        <v>-1.2899036243790186E-3</v>
      </c>
      <c r="Q302" s="70">
        <f t="shared" si="352"/>
        <v>0</v>
      </c>
      <c r="R302" s="70">
        <f t="shared" si="352"/>
        <v>0</v>
      </c>
      <c r="S302" s="70">
        <f t="shared" si="352"/>
        <v>0</v>
      </c>
      <c r="W302" s="5" t="s">
        <v>384</v>
      </c>
    </row>
    <row r="303" spans="1:55" x14ac:dyDescent="0.45">
      <c r="A303" s="9" t="str">
        <v>WN348</v>
      </c>
      <c r="B303" t="s">
        <v>298</v>
      </c>
      <c r="C303" t="s">
        <v>265</v>
      </c>
      <c r="E303" s="46"/>
      <c r="F303" s="46"/>
      <c r="G303" s="46"/>
      <c r="H303" s="46"/>
      <c r="I303" s="46"/>
      <c r="J303" s="70">
        <f t="shared" ref="J303:S303" si="353">J214*(1-$B$4)</f>
        <v>5.0519664964077116E-2</v>
      </c>
      <c r="K303" s="70">
        <f t="shared" si="353"/>
        <v>0.22891599114238251</v>
      </c>
      <c r="L303" s="70">
        <f t="shared" si="353"/>
        <v>-7.7825492470498955E-2</v>
      </c>
      <c r="M303" s="70">
        <f t="shared" si="353"/>
        <v>-0.234923447635771</v>
      </c>
      <c r="N303" s="70">
        <f t="shared" si="353"/>
        <v>-0.35279403601095227</v>
      </c>
      <c r="O303" s="70">
        <f t="shared" si="353"/>
        <v>0</v>
      </c>
      <c r="P303" s="70">
        <f t="shared" si="353"/>
        <v>0</v>
      </c>
      <c r="Q303" s="70">
        <f t="shared" si="353"/>
        <v>0</v>
      </c>
      <c r="R303" s="70">
        <f t="shared" si="353"/>
        <v>0</v>
      </c>
      <c r="S303" s="70">
        <f t="shared" si="353"/>
        <v>0</v>
      </c>
      <c r="W303" s="5" t="s">
        <v>385</v>
      </c>
      <c r="Y303" s="112">
        <f>SUMPRODUCT(Y281:Y300,Y304:Y323)/SUM(Y281:Y300)</f>
        <v>121.58049350035395</v>
      </c>
      <c r="Z303" s="112">
        <f t="shared" ref="Z303:AM303" si="354">SUMPRODUCT(Z281:Z300,Z304:Z323)/SUM(Z281:Z300)</f>
        <v>140.57349736949919</v>
      </c>
      <c r="AA303" s="112">
        <f t="shared" si="354"/>
        <v>154.4595888955356</v>
      </c>
      <c r="AB303" s="112">
        <f t="shared" si="354"/>
        <v>160.09971554256802</v>
      </c>
      <c r="AC303" s="112">
        <f t="shared" si="354"/>
        <v>172.3658609816091</v>
      </c>
      <c r="AD303" s="112">
        <f>SUMPRODUCT(AD281:AD300,AD304:AD323)/SUM(AD281:AD300)</f>
        <v>177.39136467689784</v>
      </c>
      <c r="AE303" s="112">
        <f t="shared" si="354"/>
        <v>184.8933439916901</v>
      </c>
      <c r="AF303" s="112">
        <f t="shared" si="354"/>
        <v>187.91975085499971</v>
      </c>
      <c r="AG303" s="112">
        <f t="shared" si="354"/>
        <v>190.52774667755168</v>
      </c>
      <c r="AH303" s="112">
        <f t="shared" si="354"/>
        <v>193.58992248472586</v>
      </c>
      <c r="AI303" s="112">
        <f t="shared" si="354"/>
        <v>192.26888631418689</v>
      </c>
      <c r="AJ303" s="112">
        <f t="shared" si="354"/>
        <v>180.58176897671274</v>
      </c>
      <c r="AK303" s="112" t="e">
        <f t="shared" si="354"/>
        <v>#DIV/0!</v>
      </c>
      <c r="AL303" s="112" t="e">
        <f t="shared" si="354"/>
        <v>#DIV/0!</v>
      </c>
      <c r="AM303" s="112" t="e">
        <f t="shared" si="354"/>
        <v>#DIV/0!</v>
      </c>
      <c r="AN303" s="5" t="s">
        <v>386</v>
      </c>
    </row>
    <row r="304" spans="1:55" x14ac:dyDescent="0.45">
      <c r="A304" s="9" t="str">
        <v>WN350</v>
      </c>
      <c r="B304" t="s">
        <v>300</v>
      </c>
      <c r="C304" t="s">
        <v>265</v>
      </c>
      <c r="E304" s="46"/>
      <c r="F304" s="46"/>
      <c r="G304" s="46"/>
      <c r="H304" s="46"/>
      <c r="I304" s="46"/>
      <c r="J304" s="70">
        <f t="shared" ref="J304:S304" si="355">J215*(1-$B$4)</f>
        <v>4.1576705127302382E-2</v>
      </c>
      <c r="K304" s="70">
        <f t="shared" si="355"/>
        <v>-3.3528415397585665E-2</v>
      </c>
      <c r="L304" s="70">
        <f t="shared" si="355"/>
        <v>-0.14047505612106123</v>
      </c>
      <c r="M304" s="70">
        <f t="shared" si="355"/>
        <v>-0.10346625072754607</v>
      </c>
      <c r="N304" s="70">
        <f t="shared" si="355"/>
        <v>-0.10870517283178156</v>
      </c>
      <c r="O304" s="70">
        <f t="shared" si="355"/>
        <v>-0.15556451734550356</v>
      </c>
      <c r="P304" s="70">
        <f t="shared" si="355"/>
        <v>-0.51468624231788618</v>
      </c>
      <c r="Q304" s="70">
        <f t="shared" si="355"/>
        <v>0</v>
      </c>
      <c r="R304" s="70">
        <f t="shared" si="355"/>
        <v>0</v>
      </c>
      <c r="S304" s="70">
        <f t="shared" si="355"/>
        <v>0</v>
      </c>
      <c r="W304" t="s">
        <v>361</v>
      </c>
      <c r="X304" t="s">
        <v>274</v>
      </c>
      <c r="Y304" s="92">
        <f>INDEX(Y$191:Y$230,MATCH($X304,$X$191:$X$230,0))</f>
        <v>107.20334375699289</v>
      </c>
      <c r="Z304" s="92">
        <f>INDEX(Z$191:Z$230,MATCH($X304,$X$191:$X$230,0))</f>
        <v>117.96271073563834</v>
      </c>
      <c r="AA304" s="92">
        <f t="shared" ref="AA304:AM304" si="356">INDEX(AA$191:AA$230,MATCH($X304,$X$191:$X$230,0))</f>
        <v>124.65165879872328</v>
      </c>
      <c r="AB304" s="92">
        <f t="shared" si="356"/>
        <v>127.58659815323459</v>
      </c>
      <c r="AC304" s="92">
        <f t="shared" si="356"/>
        <v>132.10600091612193</v>
      </c>
      <c r="AD304" s="92">
        <f>INDEX(AD$191:AD$230,MATCH($X304,$X$191:$X$230,0))</f>
        <v>132.10600091612193</v>
      </c>
      <c r="AE304" s="92">
        <f t="shared" si="356"/>
        <v>132.10600091612193</v>
      </c>
      <c r="AF304" s="92">
        <f t="shared" si="356"/>
        <v>132.10600091612193</v>
      </c>
      <c r="AG304" s="92">
        <f t="shared" si="356"/>
        <v>132.10600091612193</v>
      </c>
      <c r="AH304" s="92">
        <f t="shared" si="356"/>
        <v>132.10600091612193</v>
      </c>
      <c r="AI304" s="92">
        <f t="shared" si="356"/>
        <v>132.10600091612193</v>
      </c>
      <c r="AJ304" s="92">
        <f>INDEX(AJ$191:AJ$230,MATCH($X304,$X$191:$X$230,0))</f>
        <v>132.10600091612193</v>
      </c>
      <c r="AK304" s="92">
        <f t="shared" si="356"/>
        <v>132.10600091612193</v>
      </c>
      <c r="AL304" s="92">
        <f t="shared" si="356"/>
        <v>132.10600091612193</v>
      </c>
      <c r="AM304" s="92">
        <f t="shared" si="356"/>
        <v>132.10600091612193</v>
      </c>
      <c r="AN304" s="94" t="s">
        <v>274</v>
      </c>
      <c r="AO304" s="175">
        <v>0</v>
      </c>
      <c r="AP304" s="175">
        <v>0</v>
      </c>
      <c r="AQ304" s="175">
        <v>0</v>
      </c>
      <c r="AR304" s="175">
        <v>0</v>
      </c>
      <c r="AS304" s="175">
        <v>0</v>
      </c>
      <c r="AT304" s="175">
        <v>0</v>
      </c>
      <c r="AU304" s="175">
        <v>0</v>
      </c>
      <c r="AV304" s="175">
        <v>0</v>
      </c>
      <c r="AW304" s="175">
        <v>0</v>
      </c>
      <c r="AX304" s="175">
        <v>0</v>
      </c>
      <c r="AY304" s="175">
        <v>0</v>
      </c>
      <c r="AZ304" s="175">
        <v>1E-4</v>
      </c>
      <c r="BA304" s="175">
        <v>1E-4</v>
      </c>
      <c r="BB304" s="176" t="e">
        <v>#DIV/0!</v>
      </c>
      <c r="BC304" s="176" t="e">
        <v>#DIV/0!</v>
      </c>
    </row>
    <row r="305" spans="1:55" x14ac:dyDescent="0.45">
      <c r="A305" s="9" t="str">
        <v>WX349</v>
      </c>
      <c r="B305" t="s">
        <v>301</v>
      </c>
      <c r="C305" t="s">
        <v>265</v>
      </c>
      <c r="E305" s="46"/>
      <c r="F305" s="46"/>
      <c r="G305" s="46"/>
      <c r="H305" s="46"/>
      <c r="I305" s="46"/>
      <c r="J305" s="70">
        <f t="shared" ref="J305:S305" si="357">J216*(1-$B$4)</f>
        <v>5.0519664964077116E-2</v>
      </c>
      <c r="K305" s="70">
        <f t="shared" si="357"/>
        <v>0.22891599114238234</v>
      </c>
      <c r="L305" s="70">
        <f t="shared" si="357"/>
        <v>-7.7825492470498858E-2</v>
      </c>
      <c r="M305" s="70">
        <f t="shared" si="357"/>
        <v>-0.23492344763577108</v>
      </c>
      <c r="N305" s="70">
        <f t="shared" si="357"/>
        <v>-0.35279403601095227</v>
      </c>
      <c r="O305" s="70">
        <f t="shared" si="357"/>
        <v>0</v>
      </c>
      <c r="P305" s="70">
        <f t="shared" si="357"/>
        <v>0</v>
      </c>
      <c r="Q305" s="70">
        <f t="shared" si="357"/>
        <v>0</v>
      </c>
      <c r="R305" s="70">
        <f t="shared" si="357"/>
        <v>0</v>
      </c>
      <c r="S305" s="70">
        <f t="shared" si="357"/>
        <v>0</v>
      </c>
      <c r="W305" t="s">
        <v>362</v>
      </c>
      <c r="X305" t="s">
        <v>276</v>
      </c>
      <c r="Y305" s="92">
        <f t="shared" ref="Y305:AM323" si="358">INDEX(Y$191:Y$230,MATCH($X305,$X$191:$X$230,0))</f>
        <v>74.101768905776652</v>
      </c>
      <c r="Z305" s="92">
        <f t="shared" si="358"/>
        <v>81.538926157432073</v>
      </c>
      <c r="AA305" s="92">
        <f t="shared" si="358"/>
        <v>86.162502868966598</v>
      </c>
      <c r="AB305" s="92">
        <f t="shared" si="358"/>
        <v>88.191210091881743</v>
      </c>
      <c r="AC305" s="92">
        <f t="shared" si="358"/>
        <v>91.315140068233447</v>
      </c>
      <c r="AD305" s="92">
        <f t="shared" si="358"/>
        <v>91.315140068233447</v>
      </c>
      <c r="AE305" s="92">
        <f t="shared" si="358"/>
        <v>91.315140068233447</v>
      </c>
      <c r="AF305" s="92">
        <f t="shared" si="358"/>
        <v>91.315140068233447</v>
      </c>
      <c r="AG305" s="92">
        <f t="shared" si="358"/>
        <v>91.315140068233447</v>
      </c>
      <c r="AH305" s="92">
        <f t="shared" si="358"/>
        <v>91.315140068233447</v>
      </c>
      <c r="AI305" s="92">
        <f t="shared" si="358"/>
        <v>91.315140068233447</v>
      </c>
      <c r="AJ305" s="92">
        <f t="shared" si="358"/>
        <v>91.315140068233447</v>
      </c>
      <c r="AK305" s="92">
        <f t="shared" si="358"/>
        <v>91.315140068233447</v>
      </c>
      <c r="AL305" s="92">
        <f t="shared" si="358"/>
        <v>91.315140068233447</v>
      </c>
      <c r="AM305" s="92">
        <f t="shared" si="358"/>
        <v>91.315140068233447</v>
      </c>
      <c r="AN305" s="94" t="s">
        <v>276</v>
      </c>
      <c r="AO305" s="175">
        <v>5.9999999999999995E-4</v>
      </c>
      <c r="AP305" s="175">
        <v>5.9999999999999995E-4</v>
      </c>
      <c r="AQ305" s="175">
        <v>5.9999999999999995E-4</v>
      </c>
      <c r="AR305" s="175">
        <v>4.0000000000000002E-4</v>
      </c>
      <c r="AS305" s="175">
        <v>4.0000000000000002E-4</v>
      </c>
      <c r="AT305" s="175">
        <v>4.0000000000000002E-4</v>
      </c>
      <c r="AU305" s="175">
        <v>4.0000000000000002E-4</v>
      </c>
      <c r="AV305" s="175">
        <v>4.0000000000000002E-4</v>
      </c>
      <c r="AW305" s="175">
        <v>2.9999999999999997E-4</v>
      </c>
      <c r="AX305" s="175">
        <v>4.0000000000000002E-4</v>
      </c>
      <c r="AY305" s="175">
        <v>5.0000000000000001E-4</v>
      </c>
      <c r="AZ305" s="175">
        <v>6.9999999999999999E-4</v>
      </c>
      <c r="BA305" s="175">
        <v>2E-3</v>
      </c>
      <c r="BB305" s="176" t="e">
        <v>#DIV/0!</v>
      </c>
      <c r="BC305" s="176" t="e">
        <v>#DIV/0!</v>
      </c>
    </row>
    <row r="306" spans="1:55" x14ac:dyDescent="0.45">
      <c r="A306" s="9" t="str">
        <v>WX351</v>
      </c>
      <c r="B306" t="s">
        <v>302</v>
      </c>
      <c r="C306" t="s">
        <v>265</v>
      </c>
      <c r="E306" s="46"/>
      <c r="F306" s="46"/>
      <c r="G306" s="46"/>
      <c r="H306" s="46"/>
      <c r="I306" s="46"/>
      <c r="J306" s="70">
        <f t="shared" ref="J306:S306" si="359">J217*(1-$B$4)</f>
        <v>4.1576705127302382E-2</v>
      </c>
      <c r="K306" s="70">
        <f t="shared" si="359"/>
        <v>-3.3528415397585755E-2</v>
      </c>
      <c r="L306" s="70">
        <f t="shared" si="359"/>
        <v>-0.14047505612106123</v>
      </c>
      <c r="M306" s="70">
        <f t="shared" si="359"/>
        <v>-0.10346625072754607</v>
      </c>
      <c r="N306" s="70">
        <f t="shared" si="359"/>
        <v>-0.10870517283178156</v>
      </c>
      <c r="O306" s="70">
        <f t="shared" si="359"/>
        <v>-0.15556451734550347</v>
      </c>
      <c r="P306" s="70">
        <f t="shared" si="359"/>
        <v>-0.51468624231788618</v>
      </c>
      <c r="Q306" s="70">
        <f t="shared" si="359"/>
        <v>0</v>
      </c>
      <c r="R306" s="70">
        <f t="shared" si="359"/>
        <v>0</v>
      </c>
      <c r="S306" s="70">
        <f t="shared" si="359"/>
        <v>0</v>
      </c>
      <c r="W306" t="s">
        <v>363</v>
      </c>
      <c r="X306" t="s">
        <v>277</v>
      </c>
      <c r="Y306" s="92">
        <f t="shared" si="358"/>
        <v>104.63067699790152</v>
      </c>
      <c r="Z306" s="92">
        <f t="shared" si="358"/>
        <v>115.13184059589895</v>
      </c>
      <c r="AA306" s="92">
        <f t="shared" si="358"/>
        <v>121.66026722623646</v>
      </c>
      <c r="AB306" s="92">
        <f t="shared" si="358"/>
        <v>124.52477388105125</v>
      </c>
      <c r="AC306" s="92">
        <f t="shared" si="358"/>
        <v>128.93571997783513</v>
      </c>
      <c r="AD306" s="92">
        <f t="shared" si="358"/>
        <v>128.93571997783513</v>
      </c>
      <c r="AE306" s="92">
        <f t="shared" si="358"/>
        <v>128.93571997783513</v>
      </c>
      <c r="AF306" s="92">
        <f t="shared" si="358"/>
        <v>128.93571997783513</v>
      </c>
      <c r="AG306" s="92">
        <f t="shared" si="358"/>
        <v>128.93571997783513</v>
      </c>
      <c r="AH306" s="92">
        <f t="shared" si="358"/>
        <v>128.93571997783513</v>
      </c>
      <c r="AI306" s="92">
        <f t="shared" si="358"/>
        <v>128.93571997783513</v>
      </c>
      <c r="AJ306" s="92">
        <f t="shared" si="358"/>
        <v>128.93571997783513</v>
      </c>
      <c r="AK306" s="92">
        <f t="shared" si="358"/>
        <v>128.93571997783513</v>
      </c>
      <c r="AL306" s="92">
        <f t="shared" si="358"/>
        <v>128.93571997783513</v>
      </c>
      <c r="AM306" s="92">
        <f t="shared" si="358"/>
        <v>128.93571997783513</v>
      </c>
      <c r="AN306" s="94" t="s">
        <v>277</v>
      </c>
      <c r="AO306" s="175">
        <v>6.1999999999999998E-3</v>
      </c>
      <c r="AP306" s="175">
        <v>5.8999999999999999E-3</v>
      </c>
      <c r="AQ306" s="175">
        <v>5.1999999999999998E-3</v>
      </c>
      <c r="AR306" s="175">
        <v>4.1000000000000003E-3</v>
      </c>
      <c r="AS306" s="175">
        <v>4.1000000000000003E-3</v>
      </c>
      <c r="AT306" s="175">
        <v>3.8999999999999998E-3</v>
      </c>
      <c r="AU306" s="175">
        <v>3.5999999999999999E-3</v>
      </c>
      <c r="AV306" s="175">
        <v>3.3E-3</v>
      </c>
      <c r="AW306" s="175">
        <v>3.2000000000000002E-3</v>
      </c>
      <c r="AX306" s="175">
        <v>3.5999999999999999E-3</v>
      </c>
      <c r="AY306" s="175">
        <v>4.4999999999999997E-3</v>
      </c>
      <c r="AZ306" s="175">
        <v>7.0000000000000001E-3</v>
      </c>
      <c r="BA306" s="175">
        <v>1.8800000000000001E-2</v>
      </c>
      <c r="BB306" s="176" t="e">
        <v>#DIV/0!</v>
      </c>
      <c r="BC306" s="176" t="e">
        <v>#DIV/0!</v>
      </c>
    </row>
    <row r="307" spans="1:55" x14ac:dyDescent="0.45">
      <c r="A307" s="9" t="str">
        <v>WX355</v>
      </c>
      <c r="B307" t="s">
        <v>303</v>
      </c>
      <c r="C307" t="s">
        <v>265</v>
      </c>
      <c r="E307" s="46"/>
      <c r="F307" s="46"/>
      <c r="G307" s="46"/>
      <c r="H307" s="46"/>
      <c r="I307" s="46"/>
      <c r="J307" s="70">
        <f t="shared" ref="J307:S307" si="360">J218*(1-$B$4)</f>
        <v>-3.2090093796490575E-2</v>
      </c>
      <c r="K307" s="70">
        <f t="shared" si="360"/>
        <v>-0.22616408060601492</v>
      </c>
      <c r="L307" s="70">
        <f t="shared" si="360"/>
        <v>-4.4957279574475088E-2</v>
      </c>
      <c r="M307" s="70">
        <f t="shared" si="360"/>
        <v>-0.15402605268499042</v>
      </c>
      <c r="N307" s="70">
        <f t="shared" si="360"/>
        <v>0</v>
      </c>
      <c r="O307" s="70">
        <f t="shared" si="360"/>
        <v>0</v>
      </c>
      <c r="P307" s="70">
        <f t="shared" si="360"/>
        <v>0</v>
      </c>
      <c r="Q307" s="70">
        <f t="shared" si="360"/>
        <v>0</v>
      </c>
      <c r="R307" s="70">
        <f t="shared" si="360"/>
        <v>0</v>
      </c>
      <c r="S307" s="70">
        <f t="shared" si="360"/>
        <v>0</v>
      </c>
      <c r="W307" t="s">
        <v>364</v>
      </c>
      <c r="X307" t="s">
        <v>278</v>
      </c>
      <c r="Y307" s="92">
        <f t="shared" si="358"/>
        <v>85.633380729481715</v>
      </c>
      <c r="Z307" s="92">
        <f t="shared" si="358"/>
        <v>94.227897808903109</v>
      </c>
      <c r="AA307" s="92">
        <f t="shared" si="358"/>
        <v>99.570988948525496</v>
      </c>
      <c r="AB307" s="92">
        <f t="shared" si="358"/>
        <v>101.91540070243977</v>
      </c>
      <c r="AC307" s="92">
        <f t="shared" si="358"/>
        <v>105.52547221608096</v>
      </c>
      <c r="AD307" s="92">
        <f t="shared" si="358"/>
        <v>105.52547221608096</v>
      </c>
      <c r="AE307" s="92">
        <f t="shared" si="358"/>
        <v>105.52547221608096</v>
      </c>
      <c r="AF307" s="92">
        <f t="shared" si="358"/>
        <v>105.52547221608096</v>
      </c>
      <c r="AG307" s="92">
        <f t="shared" si="358"/>
        <v>105.52547221608096</v>
      </c>
      <c r="AH307" s="92">
        <f t="shared" si="358"/>
        <v>105.52547221608096</v>
      </c>
      <c r="AI307" s="92">
        <f t="shared" si="358"/>
        <v>105.52547221608096</v>
      </c>
      <c r="AJ307" s="92">
        <f t="shared" si="358"/>
        <v>105.52547221608096</v>
      </c>
      <c r="AK307" s="92">
        <f t="shared" si="358"/>
        <v>105.52547221608096</v>
      </c>
      <c r="AL307" s="92">
        <f t="shared" si="358"/>
        <v>105.52547221608096</v>
      </c>
      <c r="AM307" s="92">
        <f t="shared" si="358"/>
        <v>105.52547221608096</v>
      </c>
      <c r="AN307" s="94" t="s">
        <v>278</v>
      </c>
      <c r="AO307" s="175">
        <v>8.72E-2</v>
      </c>
      <c r="AP307" s="175">
        <v>7.9500000000000001E-2</v>
      </c>
      <c r="AQ307" s="175">
        <v>7.6100000000000001E-2</v>
      </c>
      <c r="AR307" s="175">
        <v>6.0499999999999998E-2</v>
      </c>
      <c r="AS307" s="175">
        <v>6.0199999999999997E-2</v>
      </c>
      <c r="AT307" s="175">
        <v>5.7299999999999997E-2</v>
      </c>
      <c r="AU307" s="175">
        <v>5.3199999999999997E-2</v>
      </c>
      <c r="AV307" s="175">
        <v>4.8899999999999999E-2</v>
      </c>
      <c r="AW307" s="175">
        <v>4.7199999999999999E-2</v>
      </c>
      <c r="AX307" s="175">
        <v>5.3100000000000001E-2</v>
      </c>
      <c r="AY307" s="175">
        <v>6.6799999999999998E-2</v>
      </c>
      <c r="AZ307" s="175">
        <v>0.10249999999999999</v>
      </c>
      <c r="BA307" s="175">
        <v>0.27629999999999999</v>
      </c>
      <c r="BB307" s="176" t="e">
        <v>#DIV/0!</v>
      </c>
      <c r="BC307" s="176" t="e">
        <v>#DIV/0!</v>
      </c>
    </row>
    <row r="308" spans="1:55" x14ac:dyDescent="0.45">
      <c r="A308" s="9" t="str">
        <v>WN354</v>
      </c>
      <c r="B308" t="s">
        <v>304</v>
      </c>
      <c r="C308" t="s">
        <v>265</v>
      </c>
      <c r="E308" s="46"/>
      <c r="F308" s="46"/>
      <c r="G308" s="46"/>
      <c r="H308" s="46"/>
      <c r="I308" s="46"/>
      <c r="J308" s="70">
        <f t="shared" ref="J308:S308" si="361">J219*(1-$B$4)</f>
        <v>-3.2155410051203863E-2</v>
      </c>
      <c r="K308" s="70">
        <f t="shared" si="361"/>
        <v>-0.22702344168576483</v>
      </c>
      <c r="L308" s="70">
        <f t="shared" si="361"/>
        <v>-4.5379345217859517E-2</v>
      </c>
      <c r="M308" s="70">
        <f t="shared" si="361"/>
        <v>-0.15325074007493616</v>
      </c>
      <c r="N308" s="70">
        <f t="shared" si="361"/>
        <v>0</v>
      </c>
      <c r="O308" s="70">
        <f t="shared" si="361"/>
        <v>0</v>
      </c>
      <c r="P308" s="70">
        <f t="shared" si="361"/>
        <v>0</v>
      </c>
      <c r="Q308" s="70">
        <f t="shared" si="361"/>
        <v>0</v>
      </c>
      <c r="R308" s="70">
        <f t="shared" si="361"/>
        <v>0</v>
      </c>
      <c r="S308" s="70">
        <f t="shared" si="361"/>
        <v>0</v>
      </c>
      <c r="W308" t="s">
        <v>365</v>
      </c>
      <c r="X308" t="s">
        <v>281</v>
      </c>
      <c r="Y308" s="92">
        <f>INDEX(Y$191:Y$230,MATCH($X308,$X$191:$X$230,0))</f>
        <v>170.72223044411353</v>
      </c>
      <c r="Z308" s="92">
        <f t="shared" si="358"/>
        <v>187.85661323841211</v>
      </c>
      <c r="AA308" s="92">
        <f t="shared" si="358"/>
        <v>198.50881952820149</v>
      </c>
      <c r="AB308" s="92">
        <f t="shared" si="358"/>
        <v>203.18273524072043</v>
      </c>
      <c r="AC308" s="92">
        <f t="shared" si="358"/>
        <v>210.37992231451531</v>
      </c>
      <c r="AD308" s="92">
        <f t="shared" si="358"/>
        <v>210.37992231451531</v>
      </c>
      <c r="AE308" s="92">
        <f t="shared" si="358"/>
        <v>210.37992231451531</v>
      </c>
      <c r="AF308" s="92">
        <f t="shared" si="358"/>
        <v>210.37992231451531</v>
      </c>
      <c r="AG308" s="92">
        <f t="shared" si="358"/>
        <v>210.37992231451531</v>
      </c>
      <c r="AH308" s="92">
        <f t="shared" si="358"/>
        <v>210.37992231451531</v>
      </c>
      <c r="AI308" s="92">
        <f t="shared" si="358"/>
        <v>210.37992231451531</v>
      </c>
      <c r="AJ308" s="92">
        <f t="shared" si="358"/>
        <v>210.37992231451531</v>
      </c>
      <c r="AK308" s="92">
        <f t="shared" si="358"/>
        <v>210.37992231451531</v>
      </c>
      <c r="AL308" s="92">
        <f t="shared" si="358"/>
        <v>210.37992231451531</v>
      </c>
      <c r="AM308" s="92">
        <f t="shared" si="358"/>
        <v>210.37992231451531</v>
      </c>
      <c r="AN308" s="94" t="s">
        <v>281</v>
      </c>
      <c r="AO308" s="175">
        <v>0.15160000000000001</v>
      </c>
      <c r="AP308" s="175">
        <v>0.14899999999999999</v>
      </c>
      <c r="AQ308" s="175">
        <v>0.13569999999999999</v>
      </c>
      <c r="AR308" s="175">
        <v>0.1241</v>
      </c>
      <c r="AS308" s="175">
        <v>0.10829999999999999</v>
      </c>
      <c r="AT308" s="175">
        <v>8.2900000000000001E-2</v>
      </c>
      <c r="AU308" s="175">
        <v>5.5899999999999998E-2</v>
      </c>
      <c r="AV308" s="175">
        <v>2.9000000000000001E-2</v>
      </c>
      <c r="AW308" s="175">
        <v>8.8999999999999999E-3</v>
      </c>
      <c r="AX308" s="175">
        <v>0</v>
      </c>
      <c r="AY308" s="175">
        <v>0</v>
      </c>
      <c r="AZ308" s="175">
        <v>0</v>
      </c>
      <c r="BA308" s="175">
        <v>0</v>
      </c>
      <c r="BB308" s="176" t="e">
        <v>#DIV/0!</v>
      </c>
      <c r="BC308" s="176" t="e">
        <v>#DIV/0!</v>
      </c>
    </row>
    <row r="309" spans="1:55" x14ac:dyDescent="0.45">
      <c r="A309" s="9" t="str">
        <v>WN158</v>
      </c>
      <c r="B309" t="s">
        <v>305</v>
      </c>
      <c r="C309" t="s">
        <v>261</v>
      </c>
      <c r="E309" s="46"/>
      <c r="F309" s="46"/>
      <c r="G309" s="46"/>
      <c r="H309" s="46"/>
      <c r="I309" s="46"/>
      <c r="J309" s="70">
        <f t="shared" ref="J309:S309" si="362">J220*(1-$B$4)</f>
        <v>-1.5342172973283131E-2</v>
      </c>
      <c r="K309" s="70">
        <f t="shared" si="362"/>
        <v>-1.6781174727125325E-2</v>
      </c>
      <c r="L309" s="70">
        <f t="shared" si="362"/>
        <v>-0.17898585799798081</v>
      </c>
      <c r="M309" s="70">
        <f t="shared" si="362"/>
        <v>-0.21799787660103487</v>
      </c>
      <c r="N309" s="70">
        <f t="shared" si="362"/>
        <v>-0.24689233497311172</v>
      </c>
      <c r="O309" s="70">
        <f t="shared" si="362"/>
        <v>0</v>
      </c>
      <c r="P309" s="70">
        <f t="shared" si="362"/>
        <v>0</v>
      </c>
      <c r="Q309" s="70">
        <f t="shared" si="362"/>
        <v>0</v>
      </c>
      <c r="R309" s="70">
        <f t="shared" si="362"/>
        <v>0</v>
      </c>
      <c r="S309" s="70">
        <f t="shared" si="362"/>
        <v>0</v>
      </c>
      <c r="W309" t="s">
        <v>366</v>
      </c>
      <c r="X309" t="s">
        <v>282</v>
      </c>
      <c r="Y309" s="92">
        <f t="shared" si="358"/>
        <v>129.56186429237911</v>
      </c>
      <c r="Z309" s="92">
        <f t="shared" si="358"/>
        <v>142.56522403383528</v>
      </c>
      <c r="AA309" s="92">
        <f t="shared" si="358"/>
        <v>150.64923103246636</v>
      </c>
      <c r="AB309" s="92">
        <f t="shared" si="358"/>
        <v>154.19628657224055</v>
      </c>
      <c r="AC309" s="92">
        <f t="shared" si="358"/>
        <v>159.658264034204</v>
      </c>
      <c r="AD309" s="92">
        <f t="shared" si="358"/>
        <v>159.658264034204</v>
      </c>
      <c r="AE309" s="92">
        <f t="shared" si="358"/>
        <v>159.658264034204</v>
      </c>
      <c r="AF309" s="92">
        <f t="shared" si="358"/>
        <v>159.658264034204</v>
      </c>
      <c r="AG309" s="92">
        <f t="shared" si="358"/>
        <v>159.658264034204</v>
      </c>
      <c r="AH309" s="92">
        <f t="shared" si="358"/>
        <v>159.658264034204</v>
      </c>
      <c r="AI309" s="92">
        <f t="shared" si="358"/>
        <v>159.658264034204</v>
      </c>
      <c r="AJ309" s="92">
        <f t="shared" si="358"/>
        <v>159.658264034204</v>
      </c>
      <c r="AK309" s="92">
        <f t="shared" si="358"/>
        <v>159.658264034204</v>
      </c>
      <c r="AL309" s="92">
        <f t="shared" si="358"/>
        <v>159.658264034204</v>
      </c>
      <c r="AM309" s="92">
        <f t="shared" si="358"/>
        <v>159.658264034204</v>
      </c>
      <c r="AN309" s="94" t="s">
        <v>282</v>
      </c>
      <c r="AO309" s="175">
        <v>6.9500000000000006E-2</v>
      </c>
      <c r="AP309" s="175">
        <v>6.5299999999999997E-2</v>
      </c>
      <c r="AQ309" s="175">
        <v>5.8599999999999999E-2</v>
      </c>
      <c r="AR309" s="175">
        <v>5.33E-2</v>
      </c>
      <c r="AS309" s="175">
        <v>4.6100000000000002E-2</v>
      </c>
      <c r="AT309" s="175">
        <v>3.5000000000000003E-2</v>
      </c>
      <c r="AU309" s="175">
        <v>2.35E-2</v>
      </c>
      <c r="AV309" s="175">
        <v>1.21E-2</v>
      </c>
      <c r="AW309" s="175">
        <v>3.7000000000000002E-3</v>
      </c>
      <c r="AX309" s="175">
        <v>0</v>
      </c>
      <c r="AY309" s="175">
        <v>0</v>
      </c>
      <c r="AZ309" s="175">
        <v>0</v>
      </c>
      <c r="BA309" s="175">
        <v>0</v>
      </c>
      <c r="BB309" s="176" t="e">
        <v>#DIV/0!</v>
      </c>
      <c r="BC309" s="176" t="e">
        <v>#DIV/0!</v>
      </c>
    </row>
    <row r="310" spans="1:55" x14ac:dyDescent="0.45">
      <c r="A310" s="9" t="str">
        <v>WX135</v>
      </c>
      <c r="B310" t="s">
        <v>306</v>
      </c>
      <c r="C310" t="s">
        <v>261</v>
      </c>
      <c r="E310" s="46"/>
      <c r="F310" s="46"/>
      <c r="G310" s="46"/>
      <c r="H310" s="46"/>
      <c r="I310" s="46"/>
      <c r="J310" s="70">
        <f t="shared" ref="J310:S310" si="363">J221*(1-$B$4)</f>
        <v>-1.5342172973283131E-2</v>
      </c>
      <c r="K310" s="70">
        <f t="shared" si="363"/>
        <v>-1.6781174727125325E-2</v>
      </c>
      <c r="L310" s="70">
        <f t="shared" si="363"/>
        <v>-0.17898585799798072</v>
      </c>
      <c r="M310" s="70">
        <f t="shared" si="363"/>
        <v>-0.21799787660103478</v>
      </c>
      <c r="N310" s="70">
        <f t="shared" si="363"/>
        <v>-0.2468923349731118</v>
      </c>
      <c r="O310" s="70">
        <f t="shared" si="363"/>
        <v>0</v>
      </c>
      <c r="P310" s="70">
        <f t="shared" si="363"/>
        <v>0</v>
      </c>
      <c r="Q310" s="70">
        <f t="shared" si="363"/>
        <v>0</v>
      </c>
      <c r="R310" s="70">
        <f t="shared" si="363"/>
        <v>0</v>
      </c>
      <c r="S310" s="70">
        <f t="shared" si="363"/>
        <v>0</v>
      </c>
      <c r="W310" t="s">
        <v>367</v>
      </c>
      <c r="X310" t="s">
        <v>283</v>
      </c>
      <c r="Y310" s="92">
        <f t="shared" si="358"/>
        <v>142.9815621885285</v>
      </c>
      <c r="Z310" s="92">
        <f t="shared" si="358"/>
        <v>157.33177781476491</v>
      </c>
      <c r="AA310" s="92">
        <f t="shared" si="358"/>
        <v>166.25310629147512</v>
      </c>
      <c r="AB310" s="92">
        <f t="shared" si="358"/>
        <v>170.16755708312076</v>
      </c>
      <c r="AC310" s="92">
        <f t="shared" si="358"/>
        <v>176.19527267995477</v>
      </c>
      <c r="AD310" s="92">
        <f t="shared" si="358"/>
        <v>176.19527267995477</v>
      </c>
      <c r="AE310" s="92">
        <f t="shared" si="358"/>
        <v>176.19527267995477</v>
      </c>
      <c r="AF310" s="92">
        <f t="shared" si="358"/>
        <v>176.19527267995477</v>
      </c>
      <c r="AG310" s="92">
        <f t="shared" si="358"/>
        <v>176.19527267995477</v>
      </c>
      <c r="AH310" s="92">
        <f t="shared" si="358"/>
        <v>176.19527267995477</v>
      </c>
      <c r="AI310" s="92">
        <f t="shared" si="358"/>
        <v>176.19527267995477</v>
      </c>
      <c r="AJ310" s="92">
        <f t="shared" si="358"/>
        <v>176.19527267995477</v>
      </c>
      <c r="AK310" s="92">
        <f t="shared" si="358"/>
        <v>176.19527267995477</v>
      </c>
      <c r="AL310" s="92">
        <f t="shared" si="358"/>
        <v>176.19527267995477</v>
      </c>
      <c r="AM310" s="92">
        <f t="shared" si="358"/>
        <v>176.19527267995477</v>
      </c>
      <c r="AN310" s="94" t="s">
        <v>283</v>
      </c>
      <c r="AO310" s="175">
        <v>0.19819999999999999</v>
      </c>
      <c r="AP310" s="175">
        <v>0.19489999999999999</v>
      </c>
      <c r="AQ310" s="175">
        <v>0.17749999999999999</v>
      </c>
      <c r="AR310" s="175">
        <v>0.1623</v>
      </c>
      <c r="AS310" s="175">
        <v>0.14169999999999999</v>
      </c>
      <c r="AT310" s="175">
        <v>0.1084</v>
      </c>
      <c r="AU310" s="175">
        <v>7.2999999999999995E-2</v>
      </c>
      <c r="AV310" s="175">
        <v>3.7900000000000003E-2</v>
      </c>
      <c r="AW310" s="175">
        <v>1.17E-2</v>
      </c>
      <c r="AX310" s="175">
        <v>0</v>
      </c>
      <c r="AY310" s="175">
        <v>0</v>
      </c>
      <c r="AZ310" s="175">
        <v>0</v>
      </c>
      <c r="BA310" s="175">
        <v>0</v>
      </c>
      <c r="BB310" s="176" t="e">
        <v>#DIV/0!</v>
      </c>
      <c r="BC310" s="176" t="e">
        <v>#DIV/0!</v>
      </c>
    </row>
    <row r="311" spans="1:55" x14ac:dyDescent="0.45">
      <c r="A311" s="9" t="str">
        <v>WN138</v>
      </c>
      <c r="B311" t="s">
        <v>307</v>
      </c>
      <c r="C311" t="s">
        <v>261</v>
      </c>
      <c r="E311" s="46"/>
      <c r="F311" s="46"/>
      <c r="G311" s="46"/>
      <c r="H311" s="46"/>
      <c r="I311" s="46"/>
      <c r="J311" s="70">
        <f t="shared" ref="J311:S311" si="364">J222*(1-$B$4)</f>
        <v>-0.14506615172455009</v>
      </c>
      <c r="K311" s="70">
        <f t="shared" si="364"/>
        <v>-0.17326633954004944</v>
      </c>
      <c r="L311" s="70">
        <f t="shared" si="364"/>
        <v>-0.19737619798093764</v>
      </c>
      <c r="M311" s="70">
        <f t="shared" si="364"/>
        <v>-0.21799787660103498</v>
      </c>
      <c r="N311" s="70">
        <f t="shared" si="364"/>
        <v>-0.24689233497311172</v>
      </c>
      <c r="O311" s="70">
        <f t="shared" si="364"/>
        <v>0</v>
      </c>
      <c r="P311" s="70">
        <f t="shared" si="364"/>
        <v>0</v>
      </c>
      <c r="Q311" s="70">
        <f t="shared" si="364"/>
        <v>0</v>
      </c>
      <c r="R311" s="70">
        <f t="shared" si="364"/>
        <v>0</v>
      </c>
      <c r="S311" s="70">
        <f t="shared" si="364"/>
        <v>0</v>
      </c>
      <c r="W311" t="s">
        <v>368</v>
      </c>
      <c r="X311" t="s">
        <v>284</v>
      </c>
      <c r="Y311" s="92">
        <f t="shared" si="358"/>
        <v>129.85321364093784</v>
      </c>
      <c r="Z311" s="92">
        <f t="shared" si="358"/>
        <v>142.88581439718209</v>
      </c>
      <c r="AA311" s="92">
        <f t="shared" si="358"/>
        <v>150.98800012599474</v>
      </c>
      <c r="AB311" s="92">
        <f t="shared" si="358"/>
        <v>154.54303202769037</v>
      </c>
      <c r="AC311" s="92">
        <f t="shared" si="358"/>
        <v>160.01729198947794</v>
      </c>
      <c r="AD311" s="92">
        <f t="shared" si="358"/>
        <v>160.01729198947794</v>
      </c>
      <c r="AE311" s="92">
        <f t="shared" si="358"/>
        <v>160.01729198947794</v>
      </c>
      <c r="AF311" s="92">
        <f t="shared" si="358"/>
        <v>160.01729198947794</v>
      </c>
      <c r="AG311" s="92">
        <f t="shared" si="358"/>
        <v>160.01729198947794</v>
      </c>
      <c r="AH311" s="92">
        <f t="shared" si="358"/>
        <v>160.01729198947794</v>
      </c>
      <c r="AI311" s="92">
        <f t="shared" si="358"/>
        <v>160.01729198947794</v>
      </c>
      <c r="AJ311" s="92">
        <f t="shared" si="358"/>
        <v>160.01729198947794</v>
      </c>
      <c r="AK311" s="92">
        <f t="shared" si="358"/>
        <v>160.01729198947794</v>
      </c>
      <c r="AL311" s="92">
        <f t="shared" si="358"/>
        <v>160.01729198947794</v>
      </c>
      <c r="AM311" s="92">
        <f t="shared" si="358"/>
        <v>160.01729198947794</v>
      </c>
      <c r="AN311" s="94" t="s">
        <v>284</v>
      </c>
      <c r="AO311" s="175">
        <v>0.1341</v>
      </c>
      <c r="AP311" s="175">
        <v>0.12590000000000001</v>
      </c>
      <c r="AQ311" s="175">
        <v>0.113</v>
      </c>
      <c r="AR311" s="175">
        <v>0.1028</v>
      </c>
      <c r="AS311" s="175">
        <v>8.8900000000000007E-2</v>
      </c>
      <c r="AT311" s="175">
        <v>6.7599999999999993E-2</v>
      </c>
      <c r="AU311" s="175">
        <v>4.53E-2</v>
      </c>
      <c r="AV311" s="175">
        <v>2.3400000000000001E-2</v>
      </c>
      <c r="AW311" s="175">
        <v>7.1999999999999998E-3</v>
      </c>
      <c r="AX311" s="175">
        <v>0</v>
      </c>
      <c r="AY311" s="175">
        <v>0</v>
      </c>
      <c r="AZ311" s="175">
        <v>0</v>
      </c>
      <c r="BA311" s="175">
        <v>0</v>
      </c>
      <c r="BB311" s="176" t="e">
        <v>#DIV/0!</v>
      </c>
      <c r="BC311" s="176" t="e">
        <v>#DIV/0!</v>
      </c>
    </row>
    <row r="312" spans="1:55" x14ac:dyDescent="0.45">
      <c r="A312" s="9" t="str">
        <v>WX134</v>
      </c>
      <c r="B312" t="s">
        <v>308</v>
      </c>
      <c r="C312" t="s">
        <v>261</v>
      </c>
      <c r="E312" s="46"/>
      <c r="F312" s="46"/>
      <c r="G312" s="46"/>
      <c r="H312" s="46"/>
      <c r="I312" s="46"/>
      <c r="J312" s="70">
        <f t="shared" ref="J312:S312" si="365">J223*(1-$B$4)</f>
        <v>-0.14506615172455017</v>
      </c>
      <c r="K312" s="70">
        <f t="shared" si="365"/>
        <v>-0.17326633954004933</v>
      </c>
      <c r="L312" s="70">
        <f t="shared" si="365"/>
        <v>-0.19737619798093775</v>
      </c>
      <c r="M312" s="70">
        <f t="shared" si="365"/>
        <v>-0.21799787660103487</v>
      </c>
      <c r="N312" s="70">
        <f t="shared" si="365"/>
        <v>-0.24689233497311172</v>
      </c>
      <c r="O312" s="70">
        <f t="shared" si="365"/>
        <v>0</v>
      </c>
      <c r="P312" s="70">
        <f t="shared" si="365"/>
        <v>0</v>
      </c>
      <c r="Q312" s="70">
        <f t="shared" si="365"/>
        <v>0</v>
      </c>
      <c r="R312" s="70">
        <f t="shared" si="365"/>
        <v>0</v>
      </c>
      <c r="S312" s="70">
        <f t="shared" si="365"/>
        <v>0</v>
      </c>
      <c r="W312" t="s">
        <v>369</v>
      </c>
      <c r="X312" t="s">
        <v>293</v>
      </c>
      <c r="Y312" s="92">
        <f t="shared" si="358"/>
        <v>150.12578730354468</v>
      </c>
      <c r="Z312" s="92">
        <f t="shared" si="358"/>
        <v>165.19302664468273</v>
      </c>
      <c r="AA312" s="92">
        <f t="shared" si="358"/>
        <v>174.56011874284914</v>
      </c>
      <c r="AB312" s="92">
        <f t="shared" si="358"/>
        <v>178.67015921213653</v>
      </c>
      <c r="AC312" s="92">
        <f t="shared" si="358"/>
        <v>184.99905599970543</v>
      </c>
      <c r="AD312" s="92">
        <f t="shared" si="358"/>
        <v>184.99905599970543</v>
      </c>
      <c r="AE312" s="92">
        <f t="shared" si="358"/>
        <v>184.99905599970543</v>
      </c>
      <c r="AF312" s="92">
        <f t="shared" si="358"/>
        <v>184.99905599970543</v>
      </c>
      <c r="AG312" s="92">
        <f t="shared" si="358"/>
        <v>184.99905599970543</v>
      </c>
      <c r="AH312" s="92">
        <f t="shared" si="358"/>
        <v>184.99905599970543</v>
      </c>
      <c r="AI312" s="92">
        <f t="shared" si="358"/>
        <v>184.99905599970543</v>
      </c>
      <c r="AJ312" s="92">
        <f t="shared" si="358"/>
        <v>184.99905599970543</v>
      </c>
      <c r="AK312" s="92">
        <f t="shared" si="358"/>
        <v>184.99905599970543</v>
      </c>
      <c r="AL312" s="92">
        <f t="shared" si="358"/>
        <v>184.99905599970543</v>
      </c>
      <c r="AM312" s="92">
        <f t="shared" si="358"/>
        <v>184.99905599970543</v>
      </c>
      <c r="AN312" s="94" t="s">
        <v>293</v>
      </c>
      <c r="AO312" s="175">
        <v>1.8E-3</v>
      </c>
      <c r="AP312" s="175">
        <v>2.3999999999999998E-3</v>
      </c>
      <c r="AQ312" s="175">
        <v>2.8E-3</v>
      </c>
      <c r="AR312" s="175">
        <v>3.0999999999999999E-3</v>
      </c>
      <c r="AS312" s="175">
        <v>4.0000000000000001E-3</v>
      </c>
      <c r="AT312" s="175">
        <v>4.7999999999999996E-3</v>
      </c>
      <c r="AU312" s="175">
        <v>5.8999999999999999E-3</v>
      </c>
      <c r="AV312" s="175">
        <v>7.4000000000000003E-3</v>
      </c>
      <c r="AW312" s="175">
        <v>9.7000000000000003E-3</v>
      </c>
      <c r="AX312" s="175">
        <v>1.29E-2</v>
      </c>
      <c r="AY312" s="175">
        <v>2.06E-2</v>
      </c>
      <c r="AZ312" s="175">
        <v>4.8500000000000001E-2</v>
      </c>
      <c r="BA312" s="175">
        <v>0</v>
      </c>
      <c r="BB312" s="176" t="e">
        <v>#DIV/0!</v>
      </c>
      <c r="BC312" s="176" t="e">
        <v>#DIV/0!</v>
      </c>
    </row>
    <row r="313" spans="1:55" x14ac:dyDescent="0.45">
      <c r="A313" s="9" t="str">
        <v>SL121</v>
      </c>
      <c r="B313" t="s">
        <v>309</v>
      </c>
      <c r="C313" t="s">
        <v>261</v>
      </c>
      <c r="E313" s="46"/>
      <c r="F313" s="46"/>
      <c r="G313" s="46"/>
      <c r="H313" s="46"/>
      <c r="I313" s="46"/>
      <c r="J313" s="70">
        <f t="shared" ref="J313:S313" si="366">J224*(1-$B$4)</f>
        <v>-7.0492031570674477E-2</v>
      </c>
      <c r="K313" s="70">
        <f t="shared" si="366"/>
        <v>-6.8547655430698295E-2</v>
      </c>
      <c r="L313" s="70">
        <f t="shared" si="366"/>
        <v>-0.17954719344500367</v>
      </c>
      <c r="M313" s="70">
        <f t="shared" si="366"/>
        <v>-0.27253725550221297</v>
      </c>
      <c r="N313" s="70">
        <f t="shared" si="366"/>
        <v>-0.42658117405909002</v>
      </c>
      <c r="O313" s="70">
        <f t="shared" si="366"/>
        <v>-0.49232919427237704</v>
      </c>
      <c r="P313" s="70">
        <f t="shared" si="366"/>
        <v>-0.1511265695227457</v>
      </c>
      <c r="Q313" s="70">
        <f t="shared" si="366"/>
        <v>0</v>
      </c>
      <c r="R313" s="70">
        <f t="shared" si="366"/>
        <v>0</v>
      </c>
      <c r="S313" s="70">
        <f t="shared" si="366"/>
        <v>0</v>
      </c>
      <c r="W313" t="s">
        <v>370</v>
      </c>
      <c r="X313" t="s">
        <v>295</v>
      </c>
      <c r="Y313" s="92">
        <f t="shared" si="358"/>
        <v>152.24203979394323</v>
      </c>
      <c r="Z313" s="92">
        <f t="shared" si="358"/>
        <v>167.52167490899745</v>
      </c>
      <c r="AA313" s="92">
        <f t="shared" si="358"/>
        <v>177.02081049107551</v>
      </c>
      <c r="AB313" s="92">
        <f t="shared" si="358"/>
        <v>181.18878826437304</v>
      </c>
      <c r="AC313" s="92">
        <f t="shared" si="358"/>
        <v>187.60690052803525</v>
      </c>
      <c r="AD313" s="92">
        <f t="shared" si="358"/>
        <v>187.60690052803525</v>
      </c>
      <c r="AE313" s="92">
        <f t="shared" si="358"/>
        <v>187.60690052803525</v>
      </c>
      <c r="AF313" s="92">
        <f t="shared" si="358"/>
        <v>187.60690052803525</v>
      </c>
      <c r="AG313" s="92">
        <f t="shared" si="358"/>
        <v>187.60690052803525</v>
      </c>
      <c r="AH313" s="92">
        <f t="shared" si="358"/>
        <v>187.60690052803525</v>
      </c>
      <c r="AI313" s="92">
        <f t="shared" si="358"/>
        <v>187.60690052803525</v>
      </c>
      <c r="AJ313" s="92">
        <f t="shared" si="358"/>
        <v>187.60690052803525</v>
      </c>
      <c r="AK313" s="92">
        <f t="shared" si="358"/>
        <v>187.60690052803525</v>
      </c>
      <c r="AL313" s="92">
        <f t="shared" si="358"/>
        <v>187.60690052803525</v>
      </c>
      <c r="AM313" s="92">
        <f t="shared" si="358"/>
        <v>187.60690052803525</v>
      </c>
      <c r="AN313" s="94" t="s">
        <v>295</v>
      </c>
      <c r="AO313" s="175">
        <v>2E-3</v>
      </c>
      <c r="AP313" s="175">
        <v>2.7000000000000001E-3</v>
      </c>
      <c r="AQ313" s="175">
        <v>3.2000000000000002E-3</v>
      </c>
      <c r="AR313" s="175">
        <v>3.5999999999999999E-3</v>
      </c>
      <c r="AS313" s="175">
        <v>4.4999999999999997E-3</v>
      </c>
      <c r="AT313" s="175">
        <v>5.4999999999999997E-3</v>
      </c>
      <c r="AU313" s="175">
        <v>6.7000000000000002E-3</v>
      </c>
      <c r="AV313" s="175">
        <v>8.3999999999999995E-3</v>
      </c>
      <c r="AW313" s="175">
        <v>1.0999999999999999E-2</v>
      </c>
      <c r="AX313" s="175">
        <v>1.47E-2</v>
      </c>
      <c r="AY313" s="175">
        <v>2.35E-2</v>
      </c>
      <c r="AZ313" s="175">
        <v>5.5100000000000003E-2</v>
      </c>
      <c r="BA313" s="175">
        <v>0</v>
      </c>
      <c r="BB313" s="176" t="e">
        <v>#DIV/0!</v>
      </c>
      <c r="BC313" s="176" t="e">
        <v>#DIV/0!</v>
      </c>
    </row>
    <row r="314" spans="1:55" x14ac:dyDescent="0.45">
      <c r="A314" s="9" t="str">
        <v>SL122</v>
      </c>
      <c r="B314" t="s">
        <v>310</v>
      </c>
      <c r="C314" t="s">
        <v>261</v>
      </c>
      <c r="E314" s="46"/>
      <c r="F314" s="46"/>
      <c r="G314" s="46"/>
      <c r="H314" s="46"/>
      <c r="I314" s="46"/>
      <c r="J314" s="70">
        <f t="shared" ref="J314:S314" si="367">J225*(1-$B$4)</f>
        <v>-7.0492031570674477E-2</v>
      </c>
      <c r="K314" s="70">
        <f t="shared" si="367"/>
        <v>-6.8547655430698393E-2</v>
      </c>
      <c r="L314" s="70">
        <f t="shared" si="367"/>
        <v>-0.17954719344500347</v>
      </c>
      <c r="M314" s="70">
        <f t="shared" si="367"/>
        <v>-0.27253725550221297</v>
      </c>
      <c r="N314" s="70">
        <f t="shared" si="367"/>
        <v>-0.42658117405909002</v>
      </c>
      <c r="O314" s="70">
        <f t="shared" si="367"/>
        <v>-0.49232919427237704</v>
      </c>
      <c r="P314" s="70">
        <f t="shared" si="367"/>
        <v>-0.1511265695227457</v>
      </c>
      <c r="Q314" s="70">
        <f t="shared" si="367"/>
        <v>0</v>
      </c>
      <c r="R314" s="70">
        <f t="shared" si="367"/>
        <v>0</v>
      </c>
      <c r="S314" s="70">
        <f t="shared" si="367"/>
        <v>0</v>
      </c>
      <c r="W314" t="s">
        <v>371</v>
      </c>
      <c r="X314" t="s">
        <v>298</v>
      </c>
      <c r="Y314" s="92">
        <f t="shared" si="358"/>
        <v>180.84404768748192</v>
      </c>
      <c r="Z314" s="92">
        <f t="shared" si="358"/>
        <v>198.99429754707506</v>
      </c>
      <c r="AA314" s="92">
        <f t="shared" si="358"/>
        <v>210.27805419221903</v>
      </c>
      <c r="AB314" s="92">
        <f t="shared" si="358"/>
        <v>215.22907805011516</v>
      </c>
      <c r="AC314" s="92">
        <f t="shared" si="358"/>
        <v>222.85297353814394</v>
      </c>
      <c r="AD314" s="92">
        <f t="shared" si="358"/>
        <v>222.85297353814394</v>
      </c>
      <c r="AE314" s="92">
        <f t="shared" si="358"/>
        <v>222.85297353814394</v>
      </c>
      <c r="AF314" s="92">
        <f t="shared" si="358"/>
        <v>222.85297353814394</v>
      </c>
      <c r="AG314" s="92">
        <f t="shared" si="358"/>
        <v>222.85297353814394</v>
      </c>
      <c r="AH314" s="92">
        <f t="shared" si="358"/>
        <v>222.85297353814394</v>
      </c>
      <c r="AI314" s="92">
        <f t="shared" si="358"/>
        <v>222.85297353814394</v>
      </c>
      <c r="AJ314" s="92">
        <f t="shared" si="358"/>
        <v>222.85297353814394</v>
      </c>
      <c r="AK314" s="92">
        <f t="shared" si="358"/>
        <v>222.85297353814394</v>
      </c>
      <c r="AL314" s="92">
        <f t="shared" si="358"/>
        <v>222.85297353814394</v>
      </c>
      <c r="AM314" s="92">
        <f t="shared" si="358"/>
        <v>222.85297353814394</v>
      </c>
      <c r="AN314" s="94" t="s">
        <v>298</v>
      </c>
      <c r="AO314" s="175">
        <v>7.6E-3</v>
      </c>
      <c r="AP314" s="175">
        <v>1.9E-2</v>
      </c>
      <c r="AQ314" s="175">
        <v>3.4200000000000001E-2</v>
      </c>
      <c r="AR314" s="175">
        <v>4.1200000000000001E-2</v>
      </c>
      <c r="AS314" s="175">
        <v>5.16E-2</v>
      </c>
      <c r="AT314" s="175">
        <v>7.7200000000000005E-2</v>
      </c>
      <c r="AU314" s="175">
        <v>0.1084</v>
      </c>
      <c r="AV314" s="175">
        <v>0.12859999999999999</v>
      </c>
      <c r="AW314" s="175">
        <v>9.7799999999999998E-2</v>
      </c>
      <c r="AX314" s="175">
        <v>4.3099999999999999E-2</v>
      </c>
      <c r="AY314" s="175">
        <v>0</v>
      </c>
      <c r="AZ314" s="175">
        <v>0</v>
      </c>
      <c r="BA314" s="175">
        <v>0</v>
      </c>
      <c r="BB314" s="176" t="e">
        <v>#DIV/0!</v>
      </c>
      <c r="BC314" s="176" t="e">
        <v>#DIV/0!</v>
      </c>
    </row>
    <row r="315" spans="1:55" x14ac:dyDescent="0.45">
      <c r="A315" s="9" t="str">
        <v>SL150</v>
      </c>
      <c r="B315" t="s">
        <v>311</v>
      </c>
      <c r="C315" t="s">
        <v>261</v>
      </c>
      <c r="E315" s="46"/>
      <c r="F315" s="46"/>
      <c r="G315" s="46"/>
      <c r="H315" s="46"/>
      <c r="I315" s="46"/>
      <c r="J315" s="70">
        <f t="shared" ref="J315:S315" si="368">J226*(1-$B$4)</f>
        <v>-7.049203157067456E-2</v>
      </c>
      <c r="K315" s="70">
        <f t="shared" si="368"/>
        <v>-6.8547655430698295E-2</v>
      </c>
      <c r="L315" s="70">
        <f t="shared" si="368"/>
        <v>-0.17954719344500347</v>
      </c>
      <c r="M315" s="70">
        <f t="shared" si="368"/>
        <v>-0.27253725550221297</v>
      </c>
      <c r="N315" s="70">
        <f t="shared" si="368"/>
        <v>-0.42658117405909002</v>
      </c>
      <c r="O315" s="70">
        <f t="shared" si="368"/>
        <v>-0.49232919427237704</v>
      </c>
      <c r="P315" s="70">
        <f t="shared" si="368"/>
        <v>-0.1511265695227457</v>
      </c>
      <c r="Q315" s="70">
        <f t="shared" si="368"/>
        <v>0</v>
      </c>
      <c r="R315" s="70">
        <f t="shared" si="368"/>
        <v>0</v>
      </c>
      <c r="S315" s="70">
        <f t="shared" si="368"/>
        <v>0</v>
      </c>
      <c r="W315" t="s">
        <v>372</v>
      </c>
      <c r="X315" t="s">
        <v>300</v>
      </c>
      <c r="Y315" s="92">
        <f t="shared" si="358"/>
        <v>171.98654001928384</v>
      </c>
      <c r="Z315" s="92">
        <f t="shared" si="358"/>
        <v>189.24781410462933</v>
      </c>
      <c r="AA315" s="92">
        <f t="shared" si="358"/>
        <v>199.97890693645741</v>
      </c>
      <c r="AB315" s="92">
        <f t="shared" si="358"/>
        <v>204.68743604626798</v>
      </c>
      <c r="AC315" s="92">
        <f t="shared" si="358"/>
        <v>211.93792298914269</v>
      </c>
      <c r="AD315" s="92">
        <f t="shared" si="358"/>
        <v>211.93792298914269</v>
      </c>
      <c r="AE315" s="92">
        <f t="shared" si="358"/>
        <v>211.93792298914269</v>
      </c>
      <c r="AF315" s="92">
        <f t="shared" si="358"/>
        <v>211.93792298914269</v>
      </c>
      <c r="AG315" s="92">
        <f t="shared" si="358"/>
        <v>211.93792298914269</v>
      </c>
      <c r="AH315" s="92">
        <f t="shared" si="358"/>
        <v>211.93792298914269</v>
      </c>
      <c r="AI315" s="92">
        <f t="shared" si="358"/>
        <v>211.93792298914269</v>
      </c>
      <c r="AJ315" s="92">
        <f t="shared" si="358"/>
        <v>211.93792298914269</v>
      </c>
      <c r="AK315" s="92">
        <f t="shared" si="358"/>
        <v>211.93792298914269</v>
      </c>
      <c r="AL315" s="92">
        <f t="shared" si="358"/>
        <v>211.93792298914269</v>
      </c>
      <c r="AM315" s="92">
        <f t="shared" si="358"/>
        <v>211.93792298914269</v>
      </c>
      <c r="AN315" s="94" t="s">
        <v>300</v>
      </c>
      <c r="AO315" s="175">
        <v>2.06E-2</v>
      </c>
      <c r="AP315" s="175">
        <v>4.8800000000000003E-2</v>
      </c>
      <c r="AQ315" s="175">
        <v>8.5999999999999993E-2</v>
      </c>
      <c r="AR315" s="175">
        <v>9.7699999999999995E-2</v>
      </c>
      <c r="AS315" s="175">
        <v>0.1215</v>
      </c>
      <c r="AT315" s="175">
        <v>0.1537</v>
      </c>
      <c r="AU315" s="175">
        <v>0.183</v>
      </c>
      <c r="AV315" s="175">
        <v>0.21840000000000001</v>
      </c>
      <c r="AW315" s="175">
        <v>0.2823</v>
      </c>
      <c r="AX315" s="175">
        <v>0.3367</v>
      </c>
      <c r="AY315" s="175">
        <v>0.3422</v>
      </c>
      <c r="AZ315" s="175">
        <v>0.2374</v>
      </c>
      <c r="BA315" s="175">
        <v>0</v>
      </c>
      <c r="BB315" s="176" t="e">
        <v>#DIV/0!</v>
      </c>
      <c r="BC315" s="176" t="e">
        <v>#DIV/0!</v>
      </c>
    </row>
    <row r="316" spans="1:55" x14ac:dyDescent="0.45">
      <c r="A316" s="9" t="str">
        <v>SL151</v>
      </c>
      <c r="B316" t="s">
        <v>312</v>
      </c>
      <c r="C316" t="s">
        <v>261</v>
      </c>
      <c r="E316" s="46"/>
      <c r="F316" s="46"/>
      <c r="G316" s="46"/>
      <c r="H316" s="46"/>
      <c r="I316" s="46"/>
      <c r="J316" s="70">
        <f t="shared" ref="J316:S316" si="369">J227*(1-$B$4)</f>
        <v>-7.049203157067456E-2</v>
      </c>
      <c r="K316" s="70">
        <f t="shared" si="369"/>
        <v>-6.8547655430698393E-2</v>
      </c>
      <c r="L316" s="70">
        <f t="shared" si="369"/>
        <v>-0.17954719344500367</v>
      </c>
      <c r="M316" s="70">
        <f t="shared" si="369"/>
        <v>-0.27253725550221292</v>
      </c>
      <c r="N316" s="70">
        <f t="shared" si="369"/>
        <v>-0.42658117405909002</v>
      </c>
      <c r="O316" s="70">
        <f t="shared" si="369"/>
        <v>-0.49232919427237704</v>
      </c>
      <c r="P316" s="70">
        <f t="shared" si="369"/>
        <v>-0.1511265695227457</v>
      </c>
      <c r="Q316" s="70">
        <f t="shared" si="369"/>
        <v>0</v>
      </c>
      <c r="R316" s="70">
        <f t="shared" si="369"/>
        <v>0</v>
      </c>
      <c r="S316" s="70">
        <f t="shared" si="369"/>
        <v>0</v>
      </c>
      <c r="W316" t="s">
        <v>373</v>
      </c>
      <c r="X316" t="s">
        <v>301</v>
      </c>
      <c r="Y316" s="92">
        <f t="shared" si="358"/>
        <v>151.26159943391241</v>
      </c>
      <c r="Z316" s="92">
        <f t="shared" si="358"/>
        <v>166.44283353585871</v>
      </c>
      <c r="AA316" s="92">
        <f t="shared" si="358"/>
        <v>175.88079458347389</v>
      </c>
      <c r="AB316" s="92">
        <f t="shared" si="358"/>
        <v>180.02193053545727</v>
      </c>
      <c r="AC316" s="92">
        <f t="shared" si="358"/>
        <v>186.39871008768827</v>
      </c>
      <c r="AD316" s="92">
        <f t="shared" si="358"/>
        <v>186.39871008768827</v>
      </c>
      <c r="AE316" s="92">
        <f t="shared" si="358"/>
        <v>186.39871008768827</v>
      </c>
      <c r="AF316" s="92">
        <f t="shared" si="358"/>
        <v>186.39871008768827</v>
      </c>
      <c r="AG316" s="92">
        <f t="shared" si="358"/>
        <v>186.39871008768827</v>
      </c>
      <c r="AH316" s="92">
        <f t="shared" si="358"/>
        <v>186.39871008768827</v>
      </c>
      <c r="AI316" s="92">
        <f t="shared" si="358"/>
        <v>186.39871008768827</v>
      </c>
      <c r="AJ316" s="92">
        <f t="shared" si="358"/>
        <v>186.39871008768827</v>
      </c>
      <c r="AK316" s="92">
        <f t="shared" si="358"/>
        <v>186.39871008768827</v>
      </c>
      <c r="AL316" s="92">
        <f t="shared" si="358"/>
        <v>186.39871008768827</v>
      </c>
      <c r="AM316" s="92">
        <f t="shared" si="358"/>
        <v>186.39871008768827</v>
      </c>
      <c r="AN316" s="94" t="s">
        <v>301</v>
      </c>
      <c r="AO316" s="175">
        <v>5.1000000000000004E-3</v>
      </c>
      <c r="AP316" s="175">
        <v>1.29E-2</v>
      </c>
      <c r="AQ316" s="175">
        <v>2.3199999999999998E-2</v>
      </c>
      <c r="AR316" s="175">
        <v>2.7900000000000001E-2</v>
      </c>
      <c r="AS316" s="175">
        <v>3.5000000000000003E-2</v>
      </c>
      <c r="AT316" s="175">
        <v>5.2299999999999999E-2</v>
      </c>
      <c r="AU316" s="175">
        <v>7.3499999999999996E-2</v>
      </c>
      <c r="AV316" s="175">
        <v>8.72E-2</v>
      </c>
      <c r="AW316" s="175">
        <v>6.6299999999999998E-2</v>
      </c>
      <c r="AX316" s="175">
        <v>2.92E-2</v>
      </c>
      <c r="AY316" s="175">
        <v>0</v>
      </c>
      <c r="AZ316" s="175">
        <v>0</v>
      </c>
      <c r="BA316" s="175">
        <v>0</v>
      </c>
      <c r="BB316" s="176" t="e">
        <v>#DIV/0!</v>
      </c>
      <c r="BC316" s="176" t="e">
        <v>#DIV/0!</v>
      </c>
    </row>
    <row r="317" spans="1:55" x14ac:dyDescent="0.45">
      <c r="A317" s="9" t="str">
        <v>SL111</v>
      </c>
      <c r="B317" t="s">
        <v>313</v>
      </c>
      <c r="C317" t="s">
        <v>261</v>
      </c>
      <c r="E317" s="46"/>
      <c r="F317" s="46"/>
      <c r="G317" s="46"/>
      <c r="H317" s="46"/>
      <c r="I317" s="46"/>
      <c r="J317" s="70">
        <f t="shared" ref="J317:S317" si="370">J228*(1-$B$4)</f>
        <v>-0.22595189023751924</v>
      </c>
      <c r="K317" s="70">
        <f t="shared" si="370"/>
        <v>-0.22688413037030195</v>
      </c>
      <c r="L317" s="70">
        <f t="shared" si="370"/>
        <v>-0.19793753342796069</v>
      </c>
      <c r="M317" s="70">
        <f t="shared" si="370"/>
        <v>-0.27253725550221292</v>
      </c>
      <c r="N317" s="70">
        <f t="shared" si="370"/>
        <v>-0.42658117405909002</v>
      </c>
      <c r="O317" s="70">
        <f t="shared" si="370"/>
        <v>0</v>
      </c>
      <c r="P317" s="70">
        <f t="shared" si="370"/>
        <v>0</v>
      </c>
      <c r="Q317" s="70">
        <f t="shared" si="370"/>
        <v>0</v>
      </c>
      <c r="R317" s="70">
        <f t="shared" si="370"/>
        <v>0</v>
      </c>
      <c r="S317" s="70">
        <f t="shared" si="370"/>
        <v>0</v>
      </c>
      <c r="W317" t="s">
        <v>374</v>
      </c>
      <c r="X317" t="s">
        <v>302</v>
      </c>
      <c r="Y317" s="92">
        <f t="shared" si="358"/>
        <v>144.09369317975103</v>
      </c>
      <c r="Z317" s="92">
        <f t="shared" si="358"/>
        <v>158.55552683060813</v>
      </c>
      <c r="AA317" s="92">
        <f t="shared" si="358"/>
        <v>167.5462466730998</v>
      </c>
      <c r="AB317" s="92">
        <f t="shared" si="358"/>
        <v>171.49114462151425</v>
      </c>
      <c r="AC317" s="92">
        <f t="shared" si="358"/>
        <v>177.56574465029115</v>
      </c>
      <c r="AD317" s="92">
        <f t="shared" si="358"/>
        <v>177.56574465029115</v>
      </c>
      <c r="AE317" s="92">
        <f t="shared" si="358"/>
        <v>177.56574465029115</v>
      </c>
      <c r="AF317" s="92">
        <f t="shared" si="358"/>
        <v>177.56574465029115</v>
      </c>
      <c r="AG317" s="92">
        <f t="shared" si="358"/>
        <v>177.56574465029115</v>
      </c>
      <c r="AH317" s="92">
        <f t="shared" si="358"/>
        <v>177.56574465029115</v>
      </c>
      <c r="AI317" s="92">
        <f t="shared" si="358"/>
        <v>177.56574465029115</v>
      </c>
      <c r="AJ317" s="92">
        <f t="shared" si="358"/>
        <v>177.56574465029115</v>
      </c>
      <c r="AK317" s="92">
        <f t="shared" si="358"/>
        <v>177.56574465029115</v>
      </c>
      <c r="AL317" s="92">
        <f t="shared" si="358"/>
        <v>177.56574465029115</v>
      </c>
      <c r="AM317" s="92">
        <f t="shared" si="358"/>
        <v>177.56574465029115</v>
      </c>
      <c r="AN317" s="94" t="s">
        <v>302</v>
      </c>
      <c r="AO317" s="175">
        <v>1.44E-2</v>
      </c>
      <c r="AP317" s="175">
        <v>3.4000000000000002E-2</v>
      </c>
      <c r="AQ317" s="175">
        <v>5.9900000000000002E-2</v>
      </c>
      <c r="AR317" s="175">
        <v>6.8000000000000005E-2</v>
      </c>
      <c r="AS317" s="175">
        <v>8.4599999999999995E-2</v>
      </c>
      <c r="AT317" s="175">
        <v>0.107</v>
      </c>
      <c r="AU317" s="175">
        <v>0.12740000000000001</v>
      </c>
      <c r="AV317" s="175">
        <v>0.152</v>
      </c>
      <c r="AW317" s="175">
        <v>0.19639999999999999</v>
      </c>
      <c r="AX317" s="175">
        <v>0.23430000000000001</v>
      </c>
      <c r="AY317" s="175">
        <v>0.23810000000000001</v>
      </c>
      <c r="AZ317" s="175">
        <v>0.16520000000000001</v>
      </c>
      <c r="BA317" s="175">
        <v>0</v>
      </c>
      <c r="BB317" s="176" t="e">
        <v>#DIV/0!</v>
      </c>
      <c r="BC317" s="176" t="e">
        <v>#DIV/0!</v>
      </c>
    </row>
    <row r="318" spans="1:55" x14ac:dyDescent="0.45">
      <c r="A318" s="9" t="str">
        <v>SL112</v>
      </c>
      <c r="B318" t="s">
        <v>314</v>
      </c>
      <c r="C318" t="s">
        <v>261</v>
      </c>
      <c r="E318" s="46"/>
      <c r="F318" s="46"/>
      <c r="G318" s="46"/>
      <c r="H318" s="46"/>
      <c r="I318" s="46"/>
      <c r="J318" s="70">
        <f t="shared" ref="J318:S318" si="371">J229*(1-$B$4)</f>
        <v>-0.22595189023751924</v>
      </c>
      <c r="K318" s="70">
        <f t="shared" si="371"/>
        <v>-0.22688413037030203</v>
      </c>
      <c r="L318" s="70">
        <f t="shared" si="371"/>
        <v>-0.19793753342796061</v>
      </c>
      <c r="M318" s="70">
        <f t="shared" si="371"/>
        <v>-0.27253725550221297</v>
      </c>
      <c r="N318" s="70">
        <f t="shared" si="371"/>
        <v>-0.42658117405909002</v>
      </c>
      <c r="O318" s="70">
        <f t="shared" si="371"/>
        <v>0</v>
      </c>
      <c r="P318" s="70">
        <f t="shared" si="371"/>
        <v>0</v>
      </c>
      <c r="Q318" s="70">
        <f t="shared" si="371"/>
        <v>0</v>
      </c>
      <c r="R318" s="70">
        <f t="shared" si="371"/>
        <v>0</v>
      </c>
      <c r="S318" s="70">
        <f t="shared" si="371"/>
        <v>0</v>
      </c>
      <c r="W318" t="s">
        <v>375</v>
      </c>
      <c r="X318" s="96" t="s">
        <v>305</v>
      </c>
      <c r="Y318" s="92"/>
      <c r="Z318" s="92"/>
      <c r="AA318" s="92"/>
      <c r="AB318" s="92"/>
      <c r="AC318" s="92"/>
      <c r="AD318" s="92"/>
      <c r="AE318" s="92"/>
      <c r="AF318" s="92"/>
      <c r="AG318" s="92"/>
      <c r="AH318" s="92"/>
      <c r="AI318" s="92"/>
      <c r="AJ318" s="92"/>
      <c r="AK318" s="92"/>
      <c r="AL318" s="92"/>
      <c r="AM318" s="92"/>
      <c r="AN318" s="94" t="s">
        <v>305</v>
      </c>
      <c r="AO318" s="175">
        <v>0</v>
      </c>
      <c r="AP318" s="175">
        <v>0</v>
      </c>
      <c r="AQ318" s="175">
        <v>0</v>
      </c>
      <c r="AR318" s="175">
        <v>0</v>
      </c>
      <c r="AS318" s="175">
        <v>0</v>
      </c>
      <c r="AT318" s="175">
        <v>0</v>
      </c>
      <c r="AU318" s="175">
        <v>0</v>
      </c>
      <c r="AV318" s="175">
        <v>0</v>
      </c>
      <c r="AW318" s="175">
        <v>0</v>
      </c>
      <c r="AX318" s="175">
        <v>0</v>
      </c>
      <c r="AY318" s="175">
        <v>0</v>
      </c>
      <c r="AZ318" s="175">
        <v>0</v>
      </c>
      <c r="BA318" s="175">
        <v>0</v>
      </c>
      <c r="BB318" s="176" t="e">
        <v>#DIV/0!</v>
      </c>
      <c r="BC318" s="176" t="e">
        <v>#DIV/0!</v>
      </c>
    </row>
    <row r="319" spans="1:55" x14ac:dyDescent="0.45">
      <c r="A319" s="9" t="str">
        <v>SL140</v>
      </c>
      <c r="B319" t="s">
        <v>315</v>
      </c>
      <c r="C319" t="s">
        <v>261</v>
      </c>
      <c r="E319" s="46"/>
      <c r="F319" s="46"/>
      <c r="G319" s="46"/>
      <c r="H319" s="46"/>
      <c r="I319" s="46"/>
      <c r="J319" s="70">
        <f t="shared" ref="J319:S319" si="372">J230*(1-$B$4)</f>
        <v>-0.22595189023751924</v>
      </c>
      <c r="K319" s="70">
        <f t="shared" si="372"/>
        <v>-0.22688413037030195</v>
      </c>
      <c r="L319" s="70">
        <f t="shared" si="372"/>
        <v>-0.19793753342796069</v>
      </c>
      <c r="M319" s="70">
        <f t="shared" si="372"/>
        <v>-0.27253725550221292</v>
      </c>
      <c r="N319" s="70">
        <f t="shared" si="372"/>
        <v>-0.42658117405909002</v>
      </c>
      <c r="O319" s="70">
        <f t="shared" si="372"/>
        <v>0</v>
      </c>
      <c r="P319" s="70">
        <f t="shared" si="372"/>
        <v>0</v>
      </c>
      <c r="Q319" s="70">
        <f t="shared" si="372"/>
        <v>0</v>
      </c>
      <c r="R319" s="70">
        <f t="shared" si="372"/>
        <v>0</v>
      </c>
      <c r="S319" s="70">
        <f t="shared" si="372"/>
        <v>0</v>
      </c>
      <c r="W319" t="s">
        <v>376</v>
      </c>
      <c r="X319" s="96" t="s">
        <v>306</v>
      </c>
      <c r="Y319" s="92"/>
      <c r="Z319" s="92"/>
      <c r="AA319" s="92"/>
      <c r="AB319" s="92"/>
      <c r="AC319" s="92"/>
      <c r="AD319" s="92"/>
      <c r="AE319" s="92"/>
      <c r="AF319" s="92"/>
      <c r="AG319" s="92"/>
      <c r="AH319" s="92"/>
      <c r="AI319" s="92"/>
      <c r="AJ319" s="92"/>
      <c r="AK319" s="92"/>
      <c r="AL319" s="92"/>
      <c r="AM319" s="92"/>
      <c r="AN319" s="94" t="s">
        <v>306</v>
      </c>
      <c r="AO319" s="175">
        <v>0</v>
      </c>
      <c r="AP319" s="175">
        <v>0</v>
      </c>
      <c r="AQ319" s="175">
        <v>0</v>
      </c>
      <c r="AR319" s="175">
        <v>0</v>
      </c>
      <c r="AS319" s="175">
        <v>0</v>
      </c>
      <c r="AT319" s="175">
        <v>0</v>
      </c>
      <c r="AU319" s="175">
        <v>0</v>
      </c>
      <c r="AV319" s="175">
        <v>0</v>
      </c>
      <c r="AW319" s="175">
        <v>0</v>
      </c>
      <c r="AX319" s="175">
        <v>0</v>
      </c>
      <c r="AY319" s="175">
        <v>0</v>
      </c>
      <c r="AZ319" s="175">
        <v>0</v>
      </c>
      <c r="BA319" s="175">
        <v>0</v>
      </c>
      <c r="BB319" s="176" t="e">
        <v>#DIV/0!</v>
      </c>
      <c r="BC319" s="176" t="e">
        <v>#DIV/0!</v>
      </c>
    </row>
    <row r="320" spans="1:55" x14ac:dyDescent="0.45">
      <c r="A320" s="9" t="str">
        <v>SL144</v>
      </c>
      <c r="B320" t="s">
        <v>316</v>
      </c>
      <c r="C320" t="s">
        <v>261</v>
      </c>
      <c r="E320" s="46"/>
      <c r="F320" s="46"/>
      <c r="G320" s="46"/>
      <c r="H320" s="46"/>
      <c r="I320" s="46"/>
      <c r="J320" s="70">
        <f t="shared" ref="J320:S320" si="373">J231*(1-$B$4)</f>
        <v>-0.22595189023751924</v>
      </c>
      <c r="K320" s="70">
        <f t="shared" si="373"/>
        <v>-0.22688413037030195</v>
      </c>
      <c r="L320" s="70">
        <f t="shared" si="373"/>
        <v>-0.19793753342796061</v>
      </c>
      <c r="M320" s="70">
        <f t="shared" si="373"/>
        <v>-0.27253725550221297</v>
      </c>
      <c r="N320" s="70">
        <f t="shared" si="373"/>
        <v>-0.42658117405909002</v>
      </c>
      <c r="O320" s="70">
        <f t="shared" si="373"/>
        <v>0</v>
      </c>
      <c r="P320" s="70">
        <f t="shared" si="373"/>
        <v>0</v>
      </c>
      <c r="Q320" s="70">
        <f t="shared" si="373"/>
        <v>0</v>
      </c>
      <c r="R320" s="70">
        <f t="shared" si="373"/>
        <v>0</v>
      </c>
      <c r="S320" s="70">
        <f t="shared" si="373"/>
        <v>0</v>
      </c>
      <c r="W320" t="s">
        <v>377</v>
      </c>
      <c r="X320" t="s">
        <v>309</v>
      </c>
      <c r="Y320" s="92">
        <f t="shared" si="358"/>
        <v>145.35393573098497</v>
      </c>
      <c r="Z320" s="92">
        <f t="shared" si="358"/>
        <v>159.94225248969707</v>
      </c>
      <c r="AA320" s="92">
        <f t="shared" si="358"/>
        <v>169.01160511244231</v>
      </c>
      <c r="AB320" s="92">
        <f t="shared" si="358"/>
        <v>172.99100511396651</v>
      </c>
      <c r="AC320" s="92">
        <f t="shared" si="358"/>
        <v>179.11873355710392</v>
      </c>
      <c r="AD320" s="92">
        <f t="shared" si="358"/>
        <v>179.11873355710392</v>
      </c>
      <c r="AE320" s="92">
        <f t="shared" si="358"/>
        <v>179.11873355710392</v>
      </c>
      <c r="AF320" s="92">
        <f t="shared" si="358"/>
        <v>179.11873355710392</v>
      </c>
      <c r="AG320" s="92">
        <f t="shared" si="358"/>
        <v>179.11873355710392</v>
      </c>
      <c r="AH320" s="92">
        <f t="shared" si="358"/>
        <v>179.11873355710392</v>
      </c>
      <c r="AI320" s="92">
        <f t="shared" si="358"/>
        <v>179.11873355710392</v>
      </c>
      <c r="AJ320" s="92">
        <f t="shared" si="358"/>
        <v>179.11873355710392</v>
      </c>
      <c r="AK320" s="92">
        <f t="shared" si="358"/>
        <v>179.11873355710392</v>
      </c>
      <c r="AL320" s="92">
        <f t="shared" si="358"/>
        <v>179.11873355710392</v>
      </c>
      <c r="AM320" s="92">
        <f t="shared" si="358"/>
        <v>179.11873355710392</v>
      </c>
      <c r="AN320" s="94" t="s">
        <v>309</v>
      </c>
      <c r="AO320" s="175">
        <v>1.2200000000000001E-2</v>
      </c>
      <c r="AP320" s="175">
        <v>1.11E-2</v>
      </c>
      <c r="AQ320" s="175">
        <v>1.06E-2</v>
      </c>
      <c r="AR320" s="175">
        <v>1.1900000000000001E-2</v>
      </c>
      <c r="AS320" s="175">
        <v>1.18E-2</v>
      </c>
      <c r="AT320" s="175">
        <v>1.1599999999999999E-2</v>
      </c>
      <c r="AU320" s="175">
        <v>1.14E-2</v>
      </c>
      <c r="AV320" s="175">
        <v>1.15E-2</v>
      </c>
      <c r="AW320" s="175">
        <v>1.21E-2</v>
      </c>
      <c r="AX320" s="175">
        <v>1.29E-2</v>
      </c>
      <c r="AY320" s="175">
        <v>1.44E-2</v>
      </c>
      <c r="AZ320" s="175">
        <v>1.8200000000000001E-2</v>
      </c>
      <c r="BA320" s="175">
        <v>3.3399999999999999E-2</v>
      </c>
      <c r="BB320" s="176" t="e">
        <v>#DIV/0!</v>
      </c>
      <c r="BC320" s="176" t="e">
        <v>#DIV/0!</v>
      </c>
    </row>
    <row r="321" spans="1:55" x14ac:dyDescent="0.45">
      <c r="J321" s="51"/>
      <c r="K321" s="51"/>
      <c r="L321" s="51"/>
      <c r="M321" s="51"/>
      <c r="N321" s="51"/>
      <c r="O321" s="51"/>
      <c r="P321" s="51"/>
      <c r="Q321" s="51"/>
      <c r="R321" s="51"/>
      <c r="S321" s="51"/>
      <c r="W321" t="s">
        <v>378</v>
      </c>
      <c r="X321" t="s">
        <v>310</v>
      </c>
      <c r="Y321" s="92">
        <f t="shared" si="358"/>
        <v>80.230698183121405</v>
      </c>
      <c r="Z321" s="92">
        <f t="shared" si="358"/>
        <v>88.282979897970776</v>
      </c>
      <c r="AA321" s="92">
        <f t="shared" si="358"/>
        <v>93.288970890457293</v>
      </c>
      <c r="AB321" s="92">
        <f t="shared" si="358"/>
        <v>95.485471720425139</v>
      </c>
      <c r="AC321" s="92">
        <f t="shared" si="358"/>
        <v>98.867780763500377</v>
      </c>
      <c r="AD321" s="92">
        <f t="shared" si="358"/>
        <v>98.867780763500377</v>
      </c>
      <c r="AE321" s="92">
        <f t="shared" si="358"/>
        <v>98.867780763500377</v>
      </c>
      <c r="AF321" s="92">
        <f t="shared" si="358"/>
        <v>98.867780763500377</v>
      </c>
      <c r="AG321" s="92">
        <f t="shared" si="358"/>
        <v>98.867780763500377</v>
      </c>
      <c r="AH321" s="92">
        <f t="shared" si="358"/>
        <v>98.867780763500377</v>
      </c>
      <c r="AI321" s="92">
        <f t="shared" si="358"/>
        <v>98.867780763500377</v>
      </c>
      <c r="AJ321" s="92">
        <f t="shared" si="358"/>
        <v>98.867780763500377</v>
      </c>
      <c r="AK321" s="92">
        <f t="shared" si="358"/>
        <v>98.867780763500377</v>
      </c>
      <c r="AL321" s="92">
        <f t="shared" ref="Z321:AM323" si="374">INDEX(AL$191:AL$230,MATCH($X321,$X$191:$X$230,0))</f>
        <v>98.867780763500377</v>
      </c>
      <c r="AM321" s="92">
        <f t="shared" si="374"/>
        <v>98.867780763500377</v>
      </c>
      <c r="AN321" s="94" t="s">
        <v>310</v>
      </c>
      <c r="AO321" s="175">
        <v>0.2026</v>
      </c>
      <c r="AP321" s="175">
        <v>0.17330000000000001</v>
      </c>
      <c r="AQ321" s="175">
        <v>0.14760000000000001</v>
      </c>
      <c r="AR321" s="175">
        <v>0.1653</v>
      </c>
      <c r="AS321" s="175">
        <v>0.16400000000000001</v>
      </c>
      <c r="AT321" s="175">
        <v>0.16070000000000001</v>
      </c>
      <c r="AU321" s="175">
        <v>0.1583</v>
      </c>
      <c r="AV321" s="175">
        <v>0.16020000000000001</v>
      </c>
      <c r="AW321" s="175">
        <v>0.1676</v>
      </c>
      <c r="AX321" s="175">
        <v>0.1792</v>
      </c>
      <c r="AY321" s="175">
        <v>0.2001</v>
      </c>
      <c r="AZ321" s="175">
        <v>0.25269999999999998</v>
      </c>
      <c r="BA321" s="175">
        <v>0.46289999999999998</v>
      </c>
      <c r="BB321" s="176" t="e">
        <v>#DIV/0!</v>
      </c>
      <c r="BC321" s="176" t="e">
        <v>#DIV/0!</v>
      </c>
    </row>
    <row r="322" spans="1:55" x14ac:dyDescent="0.45">
      <c r="N322" s="51"/>
      <c r="O322" s="51"/>
      <c r="P322" s="51"/>
      <c r="Q322" s="51"/>
      <c r="R322" s="51"/>
      <c r="S322" s="51"/>
      <c r="W322" t="s">
        <v>379</v>
      </c>
      <c r="X322" t="s">
        <v>311</v>
      </c>
      <c r="Y322" s="92">
        <f t="shared" si="358"/>
        <v>121.54789420467344</v>
      </c>
      <c r="Z322" s="92">
        <f t="shared" si="374"/>
        <v>133.74693906090579</v>
      </c>
      <c r="AA322" s="92">
        <f t="shared" si="374"/>
        <v>141.33091473759143</v>
      </c>
      <c r="AB322" s="92">
        <f t="shared" si="374"/>
        <v>144.65856932052978</v>
      </c>
      <c r="AC322" s="92">
        <f t="shared" si="374"/>
        <v>149.78269949819421</v>
      </c>
      <c r="AD322" s="92">
        <f t="shared" si="374"/>
        <v>149.78269949819421</v>
      </c>
      <c r="AE322" s="92">
        <f t="shared" si="374"/>
        <v>149.78269949819421</v>
      </c>
      <c r="AF322" s="92">
        <f t="shared" si="374"/>
        <v>149.78269949819421</v>
      </c>
      <c r="AG322" s="92">
        <f t="shared" si="374"/>
        <v>149.78269949819421</v>
      </c>
      <c r="AH322" s="92">
        <f t="shared" si="374"/>
        <v>149.78269949819421</v>
      </c>
      <c r="AI322" s="92">
        <f t="shared" si="374"/>
        <v>149.78269949819421</v>
      </c>
      <c r="AJ322" s="92">
        <f t="shared" si="374"/>
        <v>149.78269949819421</v>
      </c>
      <c r="AK322" s="92">
        <f t="shared" si="374"/>
        <v>149.78269949819421</v>
      </c>
      <c r="AL322" s="92">
        <f t="shared" si="374"/>
        <v>149.78269949819421</v>
      </c>
      <c r="AM322" s="92">
        <f t="shared" si="374"/>
        <v>149.78269949819421</v>
      </c>
      <c r="AN322" s="94" t="s">
        <v>311</v>
      </c>
      <c r="AO322" s="175">
        <v>2.1499999999999998E-2</v>
      </c>
      <c r="AP322" s="175">
        <v>1.9400000000000001E-2</v>
      </c>
      <c r="AQ322" s="175">
        <v>1.8700000000000001E-2</v>
      </c>
      <c r="AR322" s="175">
        <v>2.0899999999999998E-2</v>
      </c>
      <c r="AS322" s="175">
        <v>2.0799999999999999E-2</v>
      </c>
      <c r="AT322" s="175">
        <v>2.0400000000000001E-2</v>
      </c>
      <c r="AU322" s="175">
        <v>2.01E-2</v>
      </c>
      <c r="AV322" s="175">
        <v>2.0299999999999999E-2</v>
      </c>
      <c r="AW322" s="175">
        <v>2.12E-2</v>
      </c>
      <c r="AX322" s="175">
        <v>2.2700000000000001E-2</v>
      </c>
      <c r="AY322" s="175">
        <v>2.5399999999999999E-2</v>
      </c>
      <c r="AZ322" s="175">
        <v>3.2000000000000001E-2</v>
      </c>
      <c r="BA322" s="175">
        <v>5.8700000000000002E-2</v>
      </c>
      <c r="BB322" s="176" t="e">
        <v>#DIV/0!</v>
      </c>
      <c r="BC322" s="176" t="e">
        <v>#DIV/0!</v>
      </c>
    </row>
    <row r="323" spans="1:55" x14ac:dyDescent="0.45">
      <c r="A323" s="23" t="s">
        <v>387</v>
      </c>
      <c r="I323" s="27" t="s">
        <v>360</v>
      </c>
      <c r="W323" t="s">
        <v>380</v>
      </c>
      <c r="X323" t="s">
        <v>312</v>
      </c>
      <c r="Y323" s="92">
        <f t="shared" si="358"/>
        <v>80.687641183543434</v>
      </c>
      <c r="Z323" s="92">
        <f t="shared" si="374"/>
        <v>88.785783570808107</v>
      </c>
      <c r="AA323" s="92">
        <f t="shared" si="374"/>
        <v>93.820285502324111</v>
      </c>
      <c r="AB323" s="92">
        <f t="shared" si="374"/>
        <v>96.029296203231681</v>
      </c>
      <c r="AC323" s="92">
        <f t="shared" si="374"/>
        <v>99.430868726215436</v>
      </c>
      <c r="AD323" s="92">
        <f t="shared" si="374"/>
        <v>99.430868726215436</v>
      </c>
      <c r="AE323" s="92">
        <f t="shared" si="374"/>
        <v>99.430868726215436</v>
      </c>
      <c r="AF323" s="92">
        <f t="shared" si="374"/>
        <v>99.430868726215436</v>
      </c>
      <c r="AG323" s="92">
        <f t="shared" si="374"/>
        <v>99.430868726215436</v>
      </c>
      <c r="AH323" s="92">
        <f t="shared" si="374"/>
        <v>99.430868726215436</v>
      </c>
      <c r="AI323" s="92">
        <f t="shared" si="374"/>
        <v>99.430868726215436</v>
      </c>
      <c r="AJ323" s="92">
        <f t="shared" si="374"/>
        <v>99.430868726215436</v>
      </c>
      <c r="AK323" s="92">
        <f t="shared" si="374"/>
        <v>99.430868726215436</v>
      </c>
      <c r="AL323" s="92">
        <f t="shared" si="374"/>
        <v>99.430868726215436</v>
      </c>
      <c r="AM323" s="92">
        <f t="shared" si="374"/>
        <v>99.430868726215436</v>
      </c>
      <c r="AN323" s="94" t="s">
        <v>312</v>
      </c>
      <c r="AO323" s="175">
        <v>6.4600000000000005E-2</v>
      </c>
      <c r="AP323" s="175">
        <v>5.5300000000000002E-2</v>
      </c>
      <c r="AQ323" s="175">
        <v>4.7100000000000003E-2</v>
      </c>
      <c r="AR323" s="175">
        <v>5.2699999999999997E-2</v>
      </c>
      <c r="AS323" s="175">
        <v>5.2299999999999999E-2</v>
      </c>
      <c r="AT323" s="175">
        <v>5.1299999999999998E-2</v>
      </c>
      <c r="AU323" s="175">
        <v>5.0500000000000003E-2</v>
      </c>
      <c r="AV323" s="175">
        <v>5.11E-2</v>
      </c>
      <c r="AW323" s="175">
        <v>5.3499999999999999E-2</v>
      </c>
      <c r="AX323" s="175">
        <v>5.7200000000000001E-2</v>
      </c>
      <c r="AY323" s="175">
        <v>6.3799999999999996E-2</v>
      </c>
      <c r="AZ323" s="175">
        <v>8.0600000000000005E-2</v>
      </c>
      <c r="BA323" s="175">
        <v>0.1477</v>
      </c>
      <c r="BB323" s="176" t="e">
        <v>#DIV/0!</v>
      </c>
      <c r="BC323" s="176" t="e">
        <v>#DIV/0!</v>
      </c>
    </row>
    <row r="324" spans="1:55" x14ac:dyDescent="0.45">
      <c r="A324" s="9" t="str" cm="1">
        <f t="array" ref="A324:A363">TD_service_codes</f>
        <v>WN127</v>
      </c>
      <c r="B324" t="s">
        <v>274</v>
      </c>
      <c r="C324" s="9" t="s">
        <v>275</v>
      </c>
      <c r="E324" s="173">
        <f>F324</f>
        <v>282491.67687755439</v>
      </c>
      <c r="F324" s="172">
        <f>IF($B$3="Prices",(F106*F19),IF($B$3="Costs",'Re-scaled copper costs'!V95,"Error"))</f>
        <v>282491.67687755439</v>
      </c>
      <c r="G324" s="172">
        <f>IF($B$3="Prices",(G106*G19),IF($B$3="Costs",'Re-scaled copper costs'!W95,"Error"))</f>
        <v>330464.60495639592</v>
      </c>
      <c r="H324" s="172">
        <f>IF($B$3="Prices",(H106*H19),IF($B$3="Costs",'Re-scaled copper costs'!X95,"Error"))</f>
        <v>218462.1264708855</v>
      </c>
      <c r="I324" s="24">
        <f>IF($B$3="Prices",(I106*I19),IF($B$3="Costs",'Top Down inputs'!G231,"Error"))</f>
        <v>210313.85651619869</v>
      </c>
      <c r="J324" s="24">
        <f>IF($B$3="Prices",(J106*J19),IF($B$3="Costs",'Top Down inputs'!H231,"Error"))</f>
        <v>157913.40507878119</v>
      </c>
      <c r="K324" s="24">
        <f>IF($B$3="Prices",(K106*K19),IF($B$3="Costs",'Top Down inputs'!I231,"Error"))</f>
        <v>58957.992888760396</v>
      </c>
      <c r="L324" s="24">
        <f>IF($B$3="Prices",(L106*L19),IF($B$3="Costs",'Top Down inputs'!J231,"Error"))</f>
        <v>46225.382761786837</v>
      </c>
      <c r="M324" s="24">
        <f>IF($B$3="Prices",(M106*M19),IF($B$3="Costs",'Top Down inputs'!K231,"Error"))</f>
        <v>43492.892312567601</v>
      </c>
      <c r="N324" s="24">
        <f>IF($B$3="Prices",(N106*N19),IF($B$3="Costs",'Top Down inputs'!L231,"Error"))</f>
        <v>44345.080832737323</v>
      </c>
      <c r="O324" s="69">
        <f>IF(O19=0,0,N324*(1+O281))</f>
        <v>36602.799949989254</v>
      </c>
      <c r="P324" s="69">
        <f t="shared" ref="P324:S324" si="375">IF(P19=0,0,O324*(1+P281))</f>
        <v>36667.555635046927</v>
      </c>
      <c r="Q324" s="69">
        <f t="shared" si="375"/>
        <v>0</v>
      </c>
      <c r="R324" s="69">
        <f t="shared" si="375"/>
        <v>0</v>
      </c>
      <c r="S324" s="69">
        <f t="shared" si="375"/>
        <v>0</v>
      </c>
    </row>
    <row r="325" spans="1:55" x14ac:dyDescent="0.45">
      <c r="A325" s="9" t="str">
        <v>WN346</v>
      </c>
      <c r="B325" t="s">
        <v>276</v>
      </c>
      <c r="C325" s="9" t="s">
        <v>275</v>
      </c>
      <c r="E325" s="173">
        <f t="shared" ref="E325:E363" si="376">F325</f>
        <v>870.57888461377115</v>
      </c>
      <c r="F325" s="172">
        <f>IF($B$3="Prices",(F107*F20),IF($B$3="Costs",'Re-scaled copper costs'!V96,"Error"))</f>
        <v>870.57888461377115</v>
      </c>
      <c r="G325" s="172">
        <f>IF($B$3="Prices",(G107*G20),IF($B$3="Costs",'Re-scaled copper costs'!W96,"Error"))</f>
        <v>743.58084610647563</v>
      </c>
      <c r="H325" s="172">
        <f>IF($B$3="Prices",(H107*H20),IF($B$3="Costs",'Re-scaled copper costs'!X96,"Error"))</f>
        <v>752.02403795607574</v>
      </c>
      <c r="I325" s="24">
        <f>IF($B$3="Prices",(I107*I20),IF($B$3="Costs",'Top Down inputs'!G232,"Error"))</f>
        <v>705.1483241624212</v>
      </c>
      <c r="J325" s="24">
        <f>IF($B$3="Prices",(J107*J20),IF($B$3="Costs",'Top Down inputs'!H232,"Error"))</f>
        <v>521.58823674921609</v>
      </c>
      <c r="K325" s="24">
        <f>IF($B$3="Prices",(K107*K20),IF($B$3="Costs",'Top Down inputs'!I232,"Error"))</f>
        <v>194.81107265909719</v>
      </c>
      <c r="L325" s="24">
        <f>IF($B$3="Prices",(L107*L20),IF($B$3="Costs",'Top Down inputs'!J232,"Error"))</f>
        <v>150.50296067889715</v>
      </c>
      <c r="M325" s="24">
        <f>IF($B$3="Prices",(M107*M20),IF($B$3="Costs",'Top Down inputs'!K232,"Error"))</f>
        <v>139.40066929806065</v>
      </c>
      <c r="N325" s="24">
        <f>IF($B$3="Prices",(N107*N20),IF($B$3="Costs",'Top Down inputs'!L232,"Error"))</f>
        <v>140.84672159248052</v>
      </c>
      <c r="O325" s="69">
        <f t="shared" ref="O325:S363" si="377">IF(O20=0,0,N325*(1+O282))</f>
        <v>116.25605991128295</v>
      </c>
      <c r="P325" s="69">
        <f t="shared" si="377"/>
        <v>116.46173381633793</v>
      </c>
      <c r="Q325" s="69">
        <f t="shared" si="377"/>
        <v>0</v>
      </c>
      <c r="R325" s="69">
        <f t="shared" si="377"/>
        <v>0</v>
      </c>
      <c r="S325" s="69">
        <f t="shared" si="377"/>
        <v>0</v>
      </c>
      <c r="W325" s="5" t="s">
        <v>388</v>
      </c>
      <c r="AD325" s="112">
        <f>SUMPRODUCT(AD281:AD300,AD326:AD345)/SUM(AD281:AD300)</f>
        <v>181.26262378991291</v>
      </c>
      <c r="AE325" s="112">
        <f>SUMPRODUCT(AE281:AE300,AE326:AE345)/SUM(AE281:AE300)</f>
        <v>192.69475442824307</v>
      </c>
      <c r="AF325" s="112">
        <f t="shared" ref="AF325:AM325" si="378">SUMPRODUCT(AF281:AF300,AF326:AF345)/SUM(AF281:AF300)</f>
        <v>199.95334065934495</v>
      </c>
      <c r="AG325" s="112">
        <f t="shared" si="378"/>
        <v>206.80213516201803</v>
      </c>
      <c r="AH325" s="112">
        <f t="shared" si="378"/>
        <v>214.32815340223215</v>
      </c>
      <c r="AI325" s="112">
        <f t="shared" si="378"/>
        <v>212.86560184285796</v>
      </c>
      <c r="AJ325" s="112">
        <f t="shared" si="378"/>
        <v>199.926507465496</v>
      </c>
      <c r="AK325" s="112" t="e">
        <f t="shared" si="378"/>
        <v>#DIV/0!</v>
      </c>
      <c r="AL325" s="112" t="e">
        <f t="shared" si="378"/>
        <v>#DIV/0!</v>
      </c>
      <c r="AM325" s="112" t="e">
        <f t="shared" si="378"/>
        <v>#DIV/0!</v>
      </c>
      <c r="AN325" t="s">
        <v>274</v>
      </c>
      <c r="AO325" s="95">
        <f t="shared" ref="AO325:BB325" si="379">AO281-AO304</f>
        <v>8.9370322903667507E-4</v>
      </c>
      <c r="AP325" s="95">
        <f t="shared" si="379"/>
        <v>7.9643817004038597E-4</v>
      </c>
      <c r="AQ325" s="95">
        <f t="shared" si="379"/>
        <v>5.0136580103995424E-4</v>
      </c>
      <c r="AR325" s="95">
        <f t="shared" si="379"/>
        <v>2.9279800793716409E-4</v>
      </c>
      <c r="AS325" s="95">
        <f t="shared" si="379"/>
        <v>2.922043312363707E-4</v>
      </c>
      <c r="AT325" s="95">
        <f t="shared" si="379"/>
        <v>2.5001905993721495E-4</v>
      </c>
      <c r="AU325" s="95">
        <f t="shared" si="379"/>
        <v>1.3121989144902949E-4</v>
      </c>
      <c r="AV325" s="95">
        <f t="shared" si="379"/>
        <v>1.1519087735799702E-4</v>
      </c>
      <c r="AW325" s="95">
        <f t="shared" si="379"/>
        <v>1.2222826337575477E-4</v>
      </c>
      <c r="AX325" s="95">
        <f t="shared" si="379"/>
        <v>1.4365768846005657E-4</v>
      </c>
      <c r="AY325" s="95">
        <f t="shared" si="379"/>
        <v>1.6592800215448327E-4</v>
      </c>
      <c r="AZ325" s="95">
        <f t="shared" si="379"/>
        <v>3.7209511071022085E-4</v>
      </c>
      <c r="BA325" s="95" t="e">
        <f t="shared" si="379"/>
        <v>#DIV/0!</v>
      </c>
      <c r="BB325" s="95" t="e">
        <f t="shared" si="379"/>
        <v>#DIV/0!</v>
      </c>
    </row>
    <row r="326" spans="1:55" x14ac:dyDescent="0.45">
      <c r="A326" s="9" t="str">
        <v>WX130</v>
      </c>
      <c r="B326" t="s">
        <v>277</v>
      </c>
      <c r="C326" s="9" t="s">
        <v>275</v>
      </c>
      <c r="E326" s="173">
        <f t="shared" si="376"/>
        <v>4535147.8315133741</v>
      </c>
      <c r="F326" s="172">
        <f>IF($B$3="Prices",(F108*F21),IF($B$3="Costs",'Re-scaled copper costs'!V97,"Error"))</f>
        <v>4535147.8315133741</v>
      </c>
      <c r="G326" s="172">
        <f>IF($B$3="Prices",(G108*G21),IF($B$3="Costs",'Re-scaled copper costs'!W97,"Error"))</f>
        <v>4715718.3579675537</v>
      </c>
      <c r="H326" s="172">
        <f>IF($B$3="Prices",(H108*H21),IF($B$3="Costs",'Re-scaled copper costs'!X97,"Error"))</f>
        <v>5570070.9801021582</v>
      </c>
      <c r="I326" s="24">
        <f>IF($B$3="Prices",(I108*I21),IF($B$3="Costs",'Top Down inputs'!G233,"Error"))</f>
        <v>3930454.25365149</v>
      </c>
      <c r="J326" s="24">
        <f>IF($B$3="Prices",(J108*J21),IF($B$3="Costs",'Top Down inputs'!H233,"Error"))</f>
        <v>3123209.147718301</v>
      </c>
      <c r="K326" s="24">
        <f>IF($B$3="Prices",(K108*K21),IF($B$3="Costs",'Top Down inputs'!I233,"Error"))</f>
        <v>1226427.6257561769</v>
      </c>
      <c r="L326" s="24">
        <f>IF($B$3="Prices",(L108*L21),IF($B$3="Costs",'Top Down inputs'!J233,"Error"))</f>
        <v>974992.20302613848</v>
      </c>
      <c r="M326" s="24">
        <f>IF($B$3="Prices",(M108*M21),IF($B$3="Costs",'Top Down inputs'!K233,"Error"))</f>
        <v>930469.77423750679</v>
      </c>
      <c r="N326" s="24">
        <f>IF($B$3="Prices",(N108*N21),IF($B$3="Costs",'Top Down inputs'!L233,"Error"))</f>
        <v>964102.49814949406</v>
      </c>
      <c r="O326" s="69">
        <f t="shared" si="377"/>
        <v>795778.25112451182</v>
      </c>
      <c r="P326" s="69">
        <f t="shared" si="377"/>
        <v>797186.09877212252</v>
      </c>
      <c r="Q326" s="69">
        <f t="shared" si="377"/>
        <v>0</v>
      </c>
      <c r="R326" s="69">
        <f t="shared" si="377"/>
        <v>0</v>
      </c>
      <c r="S326" s="69">
        <f t="shared" si="377"/>
        <v>0</v>
      </c>
      <c r="W326" t="s">
        <v>361</v>
      </c>
      <c r="X326" t="s">
        <v>274</v>
      </c>
      <c r="AD326" s="92">
        <f>INDEX(AD$235:AD$274,MATCH($X326,$X$235:$X$274,0))</f>
        <v>134.98898544505894</v>
      </c>
      <c r="AE326" s="92">
        <f>INDEX(AE$235:AE$274,MATCH($X326,$X$235:$X$274,0))</f>
        <v>137.68009629472371</v>
      </c>
      <c r="AF326" s="92">
        <f t="shared" ref="AF326:AM327" si="380">INDEX(AF$235:AF$274,MATCH($X326,$X$235:$X$274,0))</f>
        <v>140.56551312005038</v>
      </c>
      <c r="AG326" s="92">
        <f t="shared" si="380"/>
        <v>143.3901546287924</v>
      </c>
      <c r="AH326" s="92">
        <f t="shared" si="380"/>
        <v>146.25779516978713</v>
      </c>
      <c r="AI326" s="92">
        <f t="shared" si="380"/>
        <v>146.25779516978713</v>
      </c>
      <c r="AJ326" s="92">
        <f t="shared" si="380"/>
        <v>146.25779516978713</v>
      </c>
      <c r="AK326" s="92">
        <f t="shared" si="380"/>
        <v>146.25779516978713</v>
      </c>
      <c r="AL326" s="92">
        <f t="shared" si="380"/>
        <v>146.25779516978713</v>
      </c>
      <c r="AM326" s="92">
        <f t="shared" si="380"/>
        <v>146.25779516978713</v>
      </c>
      <c r="AN326" t="s">
        <v>276</v>
      </c>
      <c r="AO326" s="95">
        <f t="shared" ref="AO326:BB326" si="381">AO282-AO305</f>
        <v>-5.9640615739691111E-4</v>
      </c>
      <c r="AP326" s="95">
        <f t="shared" si="381"/>
        <v>-5.9694537682029912E-4</v>
      </c>
      <c r="AQ326" s="95">
        <f t="shared" si="381"/>
        <v>-5.9884941638240451E-4</v>
      </c>
      <c r="AR326" s="95">
        <f t="shared" si="381"/>
        <v>-3.9903632463124037E-4</v>
      </c>
      <c r="AS326" s="95">
        <f t="shared" si="381"/>
        <v>-3.9903827857764332E-4</v>
      </c>
      <c r="AT326" s="95">
        <f t="shared" si="381"/>
        <v>-3.9917712141732559E-4</v>
      </c>
      <c r="AU326" s="95">
        <f t="shared" si="381"/>
        <v>-3.9956812077318675E-4</v>
      </c>
      <c r="AV326" s="95">
        <f t="shared" si="381"/>
        <v>-3.9962087648069244E-4</v>
      </c>
      <c r="AW326" s="95">
        <f t="shared" si="381"/>
        <v>-2.9959771458962106E-4</v>
      </c>
      <c r="AX326" s="95">
        <f t="shared" si="381"/>
        <v>-3.9952718470703802E-4</v>
      </c>
      <c r="AY326" s="95">
        <f t="shared" si="381"/>
        <v>-4.9945388723854432E-4</v>
      </c>
      <c r="AZ326" s="95">
        <f t="shared" si="381"/>
        <v>-6.9844621063815571E-4</v>
      </c>
      <c r="BA326" s="95" t="e">
        <f t="shared" si="381"/>
        <v>#DIV/0!</v>
      </c>
      <c r="BB326" s="95" t="e">
        <f t="shared" si="381"/>
        <v>#DIV/0!</v>
      </c>
    </row>
    <row r="327" spans="1:55" x14ac:dyDescent="0.45">
      <c r="A327" s="9" t="str">
        <v>WX347</v>
      </c>
      <c r="B327" t="s">
        <v>278</v>
      </c>
      <c r="C327" s="9" t="s">
        <v>275</v>
      </c>
      <c r="E327" s="173">
        <f t="shared" si="376"/>
        <v>49459514.272883467</v>
      </c>
      <c r="F327" s="172">
        <f>IF($B$3="Prices",(F109*F22),IF($B$3="Costs",'Re-scaled copper costs'!V98,"Error"))</f>
        <v>49459514.272883467</v>
      </c>
      <c r="G327" s="172">
        <f>IF($B$3="Prices",(G109*G22),IF($B$3="Costs",'Re-scaled copper costs'!W98,"Error"))</f>
        <v>63320788.826320671</v>
      </c>
      <c r="H327" s="172">
        <f>IF($B$3="Prices",(H109*H22),IF($B$3="Costs",'Re-scaled copper costs'!X98,"Error"))</f>
        <v>67429934.441056743</v>
      </c>
      <c r="I327" s="24">
        <f>IF($B$3="Prices",(I109*I22),IF($B$3="Costs",'Top Down inputs'!G234,"Error"))</f>
        <v>47575659.443152122</v>
      </c>
      <c r="J327" s="24">
        <f>IF($B$3="Prices",(J109*J22),IF($B$3="Costs",'Top Down inputs'!H234,"Error"))</f>
        <v>38893046.077549361</v>
      </c>
      <c r="K327" s="24">
        <f>IF($B$3="Prices",(K109*K22),IF($B$3="Costs",'Top Down inputs'!I234,"Error"))</f>
        <v>14627091.798038939</v>
      </c>
      <c r="L327" s="24">
        <f>IF($B$3="Prices",(L109*L22),IF($B$3="Costs",'Top Down inputs'!J234,"Error"))</f>
        <v>11495093.809495326</v>
      </c>
      <c r="M327" s="24">
        <f>IF($B$3="Prices",(M109*M22),IF($B$3="Costs",'Top Down inputs'!K234,"Error"))</f>
        <v>10768039.230782218</v>
      </c>
      <c r="N327" s="24">
        <f>IF($B$3="Prices",(N109*N22),IF($B$3="Costs",'Top Down inputs'!L234,"Error"))</f>
        <v>11150549.845696528</v>
      </c>
      <c r="O327" s="69">
        <f t="shared" si="377"/>
        <v>9203756.9369612504</v>
      </c>
      <c r="P327" s="69">
        <f t="shared" si="377"/>
        <v>9220039.7236980963</v>
      </c>
      <c r="Q327" s="69">
        <f t="shared" si="377"/>
        <v>0</v>
      </c>
      <c r="R327" s="69">
        <f t="shared" si="377"/>
        <v>0</v>
      </c>
      <c r="S327" s="69">
        <f t="shared" si="377"/>
        <v>0</v>
      </c>
      <c r="W327" t="s">
        <v>362</v>
      </c>
      <c r="X327" t="s">
        <v>276</v>
      </c>
      <c r="AD327" s="92">
        <f>INDEX(AD$235:AD$274,MATCH($X327,$X$235:$X$274,0))</f>
        <v>93.307934750146387</v>
      </c>
      <c r="AE327" s="92">
        <f>INDEX(AE$235:AE$274,MATCH($X327,$X$235:$X$274,0))</f>
        <v>95.168101301795375</v>
      </c>
      <c r="AF327" s="92">
        <f t="shared" si="380"/>
        <v>97.162577250902615</v>
      </c>
      <c r="AG327" s="92">
        <f t="shared" si="380"/>
        <v>99.1150437037861</v>
      </c>
      <c r="AH327" s="92">
        <f t="shared" si="380"/>
        <v>101.09723221793649</v>
      </c>
      <c r="AI327" s="92">
        <f t="shared" si="380"/>
        <v>101.09723221793649</v>
      </c>
      <c r="AJ327" s="92">
        <f t="shared" si="380"/>
        <v>101.09723221793649</v>
      </c>
      <c r="AK327" s="92">
        <f t="shared" si="380"/>
        <v>101.09723221793649</v>
      </c>
      <c r="AL327" s="92">
        <f t="shared" si="380"/>
        <v>101.09723221793649</v>
      </c>
      <c r="AM327" s="92">
        <f t="shared" si="380"/>
        <v>101.09723221793649</v>
      </c>
      <c r="AN327" t="s">
        <v>277</v>
      </c>
      <c r="AO327" s="95">
        <f t="shared" ref="AO327:BB327" si="382">AO283-AO306</f>
        <v>1.5626795900888345E-3</v>
      </c>
      <c r="AP327" s="95">
        <f t="shared" si="382"/>
        <v>1.0178381888631335E-3</v>
      </c>
      <c r="AQ327" s="95">
        <f t="shared" si="382"/>
        <v>3.1291444994282352E-4</v>
      </c>
      <c r="AR327" s="95">
        <f t="shared" si="382"/>
        <v>2.7224669040062585E-3</v>
      </c>
      <c r="AS327" s="95">
        <f t="shared" si="382"/>
        <v>2.7086336826965133E-3</v>
      </c>
      <c r="AT327" s="95">
        <f t="shared" si="382"/>
        <v>1.9256774826093212E-3</v>
      </c>
      <c r="AU327" s="95">
        <f t="shared" si="382"/>
        <v>-5.4245403899599301E-4</v>
      </c>
      <c r="AV327" s="95">
        <f t="shared" si="382"/>
        <v>-6.1594502997086055E-4</v>
      </c>
      <c r="AW327" s="95">
        <f t="shared" si="382"/>
        <v>-3.5196736654641552E-4</v>
      </c>
      <c r="AX327" s="95">
        <f t="shared" si="382"/>
        <v>-2.5264175828986499E-4</v>
      </c>
      <c r="AY327" s="95">
        <f t="shared" si="382"/>
        <v>-6.3372266047049056E-4</v>
      </c>
      <c r="AZ327" s="95">
        <f t="shared" si="382"/>
        <v>4.0002567676445918E-3</v>
      </c>
      <c r="BA327" s="95" t="e">
        <f t="shared" si="382"/>
        <v>#DIV/0!</v>
      </c>
      <c r="BB327" s="95" t="e">
        <f t="shared" si="382"/>
        <v>#DIV/0!</v>
      </c>
    </row>
    <row r="328" spans="1:55" x14ac:dyDescent="0.45">
      <c r="A328" s="9" t="str">
        <v>WX129</v>
      </c>
      <c r="B328" t="s">
        <v>279</v>
      </c>
      <c r="C328" s="9" t="s">
        <v>3</v>
      </c>
      <c r="E328" s="173">
        <f t="shared" si="376"/>
        <v>2034886.9082533417</v>
      </c>
      <c r="F328" s="172">
        <f>IF($B$3="Prices",(F110*F23),IF($B$3="Costs",'Re-scaled copper costs'!V99,"Error"))</f>
        <v>2034886.9082533417</v>
      </c>
      <c r="G328" s="172">
        <f>IF($B$3="Prices",(G110*G23),IF($B$3="Costs",'Re-scaled copper costs'!W99,"Error"))</f>
        <v>1293985.5391215903</v>
      </c>
      <c r="H328" s="172">
        <f>IF($B$3="Prices",(H110*H23),IF($B$3="Costs",'Re-scaled copper costs'!X99,"Error"))</f>
        <v>846978.16875911527</v>
      </c>
      <c r="I328" s="24">
        <f>IF($B$3="Prices",(I110*I23),IF($B$3="Costs",'Top Down inputs'!G235,"Error"))</f>
        <v>720180.37287177402</v>
      </c>
      <c r="J328" s="24">
        <f>IF($B$3="Prices",(J110*J23),IF($B$3="Costs",'Top Down inputs'!H235,"Error"))</f>
        <v>394442.88345970906</v>
      </c>
      <c r="K328" s="24">
        <f>IF($B$3="Prices",(K110*K23),IF($B$3="Costs",'Top Down inputs'!I235,"Error"))</f>
        <v>137582.63554501679</v>
      </c>
      <c r="L328" s="24">
        <f>IF($B$3="Prices",(L110*L23),IF($B$3="Costs",'Top Down inputs'!J235,"Error"))</f>
        <v>100264.71317398267</v>
      </c>
      <c r="M328" s="24">
        <f>IF($B$3="Prices",(M110*M23),IF($B$3="Costs",'Top Down inputs'!K235,"Error"))</f>
        <v>85473.662038881826</v>
      </c>
      <c r="N328" s="24">
        <f>IF($B$3="Prices",(N110*N23),IF($B$3="Costs",'Top Down inputs'!L235,"Error"))</f>
        <v>172834.29000317334</v>
      </c>
      <c r="O328" s="69">
        <f t="shared" si="377"/>
        <v>0</v>
      </c>
      <c r="P328" s="69">
        <f t="shared" si="377"/>
        <v>0</v>
      </c>
      <c r="Q328" s="69">
        <f t="shared" si="377"/>
        <v>0</v>
      </c>
      <c r="R328" s="69">
        <f t="shared" si="377"/>
        <v>0</v>
      </c>
      <c r="S328" s="69">
        <f t="shared" si="377"/>
        <v>0</v>
      </c>
      <c r="W328" t="s">
        <v>363</v>
      </c>
      <c r="X328" t="s">
        <v>277</v>
      </c>
      <c r="AD328" s="92">
        <f t="shared" ref="AD328:AM345" si="383">INDEX(AD$235:AD$274,MATCH($X328,$X$235:$X$274,0))</f>
        <v>131.7495186194235</v>
      </c>
      <c r="AE328" s="92">
        <f t="shared" si="383"/>
        <v>134.37604816793356</v>
      </c>
      <c r="AF328" s="92">
        <f t="shared" si="383"/>
        <v>137.19222073564205</v>
      </c>
      <c r="AG328" s="92">
        <f t="shared" si="383"/>
        <v>139.94907647333235</v>
      </c>
      <c r="AH328" s="92">
        <f t="shared" si="383"/>
        <v>142.74789935213212</v>
      </c>
      <c r="AI328" s="92">
        <f t="shared" si="383"/>
        <v>142.74789935213212</v>
      </c>
      <c r="AJ328" s="92">
        <f t="shared" si="383"/>
        <v>142.74789935213212</v>
      </c>
      <c r="AK328" s="92">
        <f t="shared" si="383"/>
        <v>142.74789935213212</v>
      </c>
      <c r="AL328" s="92">
        <f t="shared" si="383"/>
        <v>142.74789935213212</v>
      </c>
      <c r="AM328" s="92">
        <f t="shared" si="383"/>
        <v>142.74789935213212</v>
      </c>
      <c r="AN328" t="s">
        <v>278</v>
      </c>
      <c r="AO328" s="95">
        <f t="shared" ref="AO328:BB328" si="384">AO284-AO307</f>
        <v>3.414891603031002E-2</v>
      </c>
      <c r="AP328" s="95">
        <f t="shared" si="384"/>
        <v>2.3641749006805851E-2</v>
      </c>
      <c r="AQ328" s="95">
        <f t="shared" si="384"/>
        <v>1.2099265945301529E-2</v>
      </c>
      <c r="AR328" s="95">
        <f t="shared" si="384"/>
        <v>3.0596672615838108E-2</v>
      </c>
      <c r="AS328" s="95">
        <f t="shared" si="384"/>
        <v>3.0711965170480492E-2</v>
      </c>
      <c r="AT328" s="95">
        <f t="shared" si="384"/>
        <v>2.048708814066743E-2</v>
      </c>
      <c r="AU328" s="95">
        <f t="shared" si="384"/>
        <v>-1.2374259496385133E-2</v>
      </c>
      <c r="AV328" s="95">
        <f t="shared" si="384"/>
        <v>-1.3061280614776079E-2</v>
      </c>
      <c r="AW328" s="95">
        <f t="shared" si="384"/>
        <v>-9.1717764762488455E-3</v>
      </c>
      <c r="AX328" s="95">
        <f t="shared" si="384"/>
        <v>-8.4045544722343504E-3</v>
      </c>
      <c r="AY328" s="95">
        <f t="shared" si="384"/>
        <v>-1.5175711308422324E-2</v>
      </c>
      <c r="AZ328" s="95">
        <f t="shared" si="384"/>
        <v>4.4380417824208998E-2</v>
      </c>
      <c r="BA328" s="95" t="e">
        <f t="shared" si="384"/>
        <v>#DIV/0!</v>
      </c>
      <c r="BB328" s="95" t="e">
        <f t="shared" si="384"/>
        <v>#DIV/0!</v>
      </c>
    </row>
    <row r="329" spans="1:55" x14ac:dyDescent="0.45">
      <c r="A329" s="9" t="str">
        <v>WN123</v>
      </c>
      <c r="B329" t="s">
        <v>280</v>
      </c>
      <c r="C329" s="9" t="s">
        <v>3</v>
      </c>
      <c r="E329" s="173">
        <f t="shared" si="376"/>
        <v>28.715109126406677</v>
      </c>
      <c r="F329" s="172">
        <f>IF($B$3="Prices",(F111*F24),IF($B$3="Costs",'Re-scaled copper costs'!V100,"Error"))</f>
        <v>28.715109126406677</v>
      </c>
      <c r="G329" s="172">
        <f>IF($B$3="Prices",(G111*G24),IF($B$3="Costs",'Re-scaled copper costs'!W100,"Error"))</f>
        <v>655.40990567259837</v>
      </c>
      <c r="H329" s="172">
        <f>IF($B$3="Prices",(H111*H24),IF($B$3="Costs",'Re-scaled copper costs'!X100,"Error"))</f>
        <v>923.26005465585649</v>
      </c>
      <c r="I329" s="24">
        <f>IF($B$3="Prices",(I111*I24),IF($B$3="Costs",'Top Down inputs'!G236,"Error"))</f>
        <v>0</v>
      </c>
      <c r="J329" s="24">
        <f>IF($B$3="Prices",(J111*J24),IF($B$3="Costs",'Top Down inputs'!H236,"Error"))</f>
        <v>0</v>
      </c>
      <c r="K329" s="24">
        <f>IF($B$3="Prices",(K111*K24),IF($B$3="Costs",'Top Down inputs'!I236,"Error"))</f>
        <v>0</v>
      </c>
      <c r="L329" s="24">
        <f>IF($B$3="Prices",(L111*L24),IF($B$3="Costs",'Top Down inputs'!J236,"Error"))</f>
        <v>0</v>
      </c>
      <c r="M329" s="24">
        <f>IF($B$3="Prices",(M111*M24),IF($B$3="Costs",'Top Down inputs'!K236,"Error"))</f>
        <v>0</v>
      </c>
      <c r="N329" s="24">
        <f>IF($B$3="Prices",(N111*N24),IF($B$3="Costs",'Top Down inputs'!L236,"Error"))</f>
        <v>0</v>
      </c>
      <c r="O329" s="69">
        <f t="shared" si="377"/>
        <v>0</v>
      </c>
      <c r="P329" s="69">
        <f t="shared" si="377"/>
        <v>0</v>
      </c>
      <c r="Q329" s="69">
        <f t="shared" si="377"/>
        <v>0</v>
      </c>
      <c r="R329" s="69">
        <f t="shared" si="377"/>
        <v>0</v>
      </c>
      <c r="S329" s="69">
        <f t="shared" si="377"/>
        <v>0</v>
      </c>
      <c r="W329" t="s">
        <v>364</v>
      </c>
      <c r="X329" t="s">
        <v>278</v>
      </c>
      <c r="AD329" s="92">
        <f t="shared" si="383"/>
        <v>107.82838277046901</v>
      </c>
      <c r="AE329" s="92">
        <f t="shared" si="383"/>
        <v>109.97802579370307</v>
      </c>
      <c r="AF329" s="92">
        <f t="shared" si="383"/>
        <v>112.2828792516936</v>
      </c>
      <c r="AG329" s="92">
        <f t="shared" si="383"/>
        <v>114.5391857554413</v>
      </c>
      <c r="AH329" s="92">
        <f t="shared" si="383"/>
        <v>116.82983962533312</v>
      </c>
      <c r="AI329" s="92">
        <f t="shared" si="383"/>
        <v>116.82983962533312</v>
      </c>
      <c r="AJ329" s="92">
        <f t="shared" si="383"/>
        <v>116.82983962533312</v>
      </c>
      <c r="AK329" s="92">
        <f t="shared" si="383"/>
        <v>116.82983962533312</v>
      </c>
      <c r="AL329" s="92">
        <f t="shared" si="383"/>
        <v>116.82983962533312</v>
      </c>
      <c r="AM329" s="92">
        <f t="shared" si="383"/>
        <v>116.82983962533312</v>
      </c>
      <c r="AN329" t="s">
        <v>281</v>
      </c>
      <c r="AO329" s="95">
        <f t="shared" ref="AO329:BB329" si="385">AO285-AO308</f>
        <v>-3.3663928512917551E-3</v>
      </c>
      <c r="AP329" s="95">
        <f t="shared" si="385"/>
        <v>-6.4844226533185001E-3</v>
      </c>
      <c r="AQ329" s="95">
        <f t="shared" si="385"/>
        <v>-2.8014078794704828E-2</v>
      </c>
      <c r="AR329" s="95">
        <f t="shared" si="385"/>
        <v>-4.7250250593703816E-2</v>
      </c>
      <c r="AS329" s="95">
        <f t="shared" si="385"/>
        <v>-5.09880484926033E-2</v>
      </c>
      <c r="AT329" s="95">
        <f t="shared" si="385"/>
        <v>-5.5630710236140392E-2</v>
      </c>
      <c r="AU329" s="95">
        <f t="shared" si="385"/>
        <v>-5.4112735135814723E-2</v>
      </c>
      <c r="AV329" s="95">
        <f t="shared" si="385"/>
        <v>-2.9000000000000001E-2</v>
      </c>
      <c r="AW329" s="95">
        <f t="shared" si="385"/>
        <v>-8.8999999999999999E-3</v>
      </c>
      <c r="AX329" s="95">
        <f t="shared" si="385"/>
        <v>0</v>
      </c>
      <c r="AY329" s="95">
        <f t="shared" si="385"/>
        <v>0</v>
      </c>
      <c r="AZ329" s="95">
        <f t="shared" si="385"/>
        <v>0</v>
      </c>
      <c r="BA329" s="95" t="e">
        <f t="shared" si="385"/>
        <v>#DIV/0!</v>
      </c>
      <c r="BB329" s="95" t="e">
        <f t="shared" si="385"/>
        <v>#DIV/0!</v>
      </c>
    </row>
    <row r="330" spans="1:55" x14ac:dyDescent="0.45">
      <c r="A330" s="9" t="str">
        <v>WN300</v>
      </c>
      <c r="B330" t="s">
        <v>281</v>
      </c>
      <c r="C330" s="9" t="s">
        <v>275</v>
      </c>
      <c r="E330" s="173">
        <f t="shared" si="376"/>
        <v>21641408.642586604</v>
      </c>
      <c r="F330" s="172">
        <f>IF($B$3="Prices",(F112*F25),IF($B$3="Costs",'Re-scaled copper costs'!V101,"Error"))</f>
        <v>21641408.642586604</v>
      </c>
      <c r="G330" s="172">
        <f>IF($B$3="Prices",(G112*G25),IF($B$3="Costs",'Re-scaled copper costs'!W101,"Error"))</f>
        <v>20610370.470767848</v>
      </c>
      <c r="H330" s="172">
        <f>IF($B$3="Prices",(H112*H25),IF($B$3="Costs",'Re-scaled copper costs'!X101,"Error"))</f>
        <v>17404031.47074268</v>
      </c>
      <c r="I330" s="24">
        <f>IF($B$3="Prices",(I112*I25),IF($B$3="Costs",'Top Down inputs'!G237,"Error"))</f>
        <v>10661409.962464102</v>
      </c>
      <c r="J330" s="24">
        <f>IF($B$3="Prices",(J112*J25),IF($B$3="Costs",'Top Down inputs'!H237,"Error"))</f>
        <v>5101026.7303269831</v>
      </c>
      <c r="K330" s="24">
        <f>IF($B$3="Prices",(K112*K25),IF($B$3="Costs",'Top Down inputs'!I237,"Error"))</f>
        <v>321622.07467463659</v>
      </c>
      <c r="L330" s="24">
        <f>IF($B$3="Prices",(L112*L25),IF($B$3="Costs",'Top Down inputs'!J237,"Error"))</f>
        <v>0</v>
      </c>
      <c r="M330" s="24">
        <f>IF($B$3="Prices",(M112*M25),IF($B$3="Costs",'Top Down inputs'!K237,"Error"))</f>
        <v>0</v>
      </c>
      <c r="N330" s="24">
        <f>IF($B$3="Prices",(N112*N25),IF($B$3="Costs",'Top Down inputs'!L237,"Error"))</f>
        <v>0</v>
      </c>
      <c r="O330" s="69">
        <f t="shared" si="377"/>
        <v>0</v>
      </c>
      <c r="P330" s="69">
        <f t="shared" si="377"/>
        <v>0</v>
      </c>
      <c r="Q330" s="69">
        <f t="shared" si="377"/>
        <v>0</v>
      </c>
      <c r="R330" s="69">
        <f t="shared" si="377"/>
        <v>0</v>
      </c>
      <c r="S330" s="69">
        <f t="shared" si="377"/>
        <v>0</v>
      </c>
      <c r="W330" t="s">
        <v>365</v>
      </c>
      <c r="X330" t="s">
        <v>281</v>
      </c>
      <c r="AD330" s="92">
        <f t="shared" si="383"/>
        <v>214.97109952846202</v>
      </c>
      <c r="AE330" s="92">
        <f t="shared" si="383"/>
        <v>219.25671628747429</v>
      </c>
      <c r="AF330" s="92">
        <f t="shared" si="383"/>
        <v>223.85176695396632</v>
      </c>
      <c r="AG330" s="92">
        <f t="shared" si="383"/>
        <v>228.35003241544831</v>
      </c>
      <c r="AH330" s="92">
        <f t="shared" si="383"/>
        <v>232.91677419899133</v>
      </c>
      <c r="AI330" s="92">
        <f t="shared" si="383"/>
        <v>232.91677419899133</v>
      </c>
      <c r="AJ330" s="92">
        <f t="shared" si="383"/>
        <v>232.91677419899133</v>
      </c>
      <c r="AK330" s="92">
        <f t="shared" si="383"/>
        <v>232.91677419899133</v>
      </c>
      <c r="AL330" s="92">
        <f t="shared" si="383"/>
        <v>232.91677419899133</v>
      </c>
      <c r="AM330" s="92">
        <f t="shared" si="383"/>
        <v>232.91677419899133</v>
      </c>
      <c r="AN330" t="s">
        <v>282</v>
      </c>
      <c r="AO330" s="95">
        <f t="shared" ref="AO330:BB330" si="386">AO286-AO309</f>
        <v>-1.916400395899312E-3</v>
      </c>
      <c r="AP330" s="95">
        <f t="shared" si="386"/>
        <v>-3.3323925723894518E-3</v>
      </c>
      <c r="AQ330" s="95">
        <f t="shared" si="386"/>
        <v>-5.6229418909465659E-3</v>
      </c>
      <c r="AR330" s="95">
        <f t="shared" si="386"/>
        <v>-1.6870329193999584E-2</v>
      </c>
      <c r="AS330" s="95">
        <f t="shared" si="386"/>
        <v>-1.8991181358380526E-2</v>
      </c>
      <c r="AT330" s="95">
        <f t="shared" si="386"/>
        <v>-2.2218604293902405E-2</v>
      </c>
      <c r="AU330" s="95">
        <f t="shared" si="386"/>
        <v>-2.2665340467353252E-2</v>
      </c>
      <c r="AV330" s="95">
        <f t="shared" si="386"/>
        <v>-1.21E-2</v>
      </c>
      <c r="AW330" s="95">
        <f t="shared" si="386"/>
        <v>-3.7000000000000002E-3</v>
      </c>
      <c r="AX330" s="95">
        <f t="shared" si="386"/>
        <v>0</v>
      </c>
      <c r="AY330" s="95">
        <f t="shared" si="386"/>
        <v>0</v>
      </c>
      <c r="AZ330" s="95">
        <f t="shared" si="386"/>
        <v>0</v>
      </c>
      <c r="BA330" s="95" t="e">
        <f t="shared" si="386"/>
        <v>#DIV/0!</v>
      </c>
      <c r="BB330" s="95" t="e">
        <f t="shared" si="386"/>
        <v>#DIV/0!</v>
      </c>
    </row>
    <row r="331" spans="1:55" x14ac:dyDescent="0.45">
      <c r="A331" s="9" t="str">
        <v>WN301</v>
      </c>
      <c r="B331" t="s">
        <v>282</v>
      </c>
      <c r="C331" s="9" t="s">
        <v>275</v>
      </c>
      <c r="E331" s="173">
        <f t="shared" si="376"/>
        <v>8379168.9904742818</v>
      </c>
      <c r="F331" s="172">
        <f>IF($B$3="Prices",(F113*F26),IF($B$3="Costs",'Re-scaled copper costs'!V102,"Error"))</f>
        <v>8379168.9904742818</v>
      </c>
      <c r="G331" s="172">
        <f>IF($B$3="Prices",(G113*G26),IF($B$3="Costs",'Re-scaled copper costs'!W102,"Error"))</f>
        <v>11268068.41385176</v>
      </c>
      <c r="H331" s="172">
        <f>IF($B$3="Prices",(H113*H26),IF($B$3="Costs",'Re-scaled copper costs'!X102,"Error"))</f>
        <v>10183964.436103124</v>
      </c>
      <c r="I331" s="24">
        <f>IF($B$3="Prices",(I113*I26),IF($B$3="Costs",'Top Down inputs'!G238,"Error"))</f>
        <v>5414841.1270139199</v>
      </c>
      <c r="J331" s="24">
        <f>IF($B$3="Prices",(J113*J26),IF($B$3="Costs",'Top Down inputs'!H238,"Error"))</f>
        <v>2564901.87172881</v>
      </c>
      <c r="K331" s="24">
        <f>IF($B$3="Prices",(K113*K26),IF($B$3="Costs",'Top Down inputs'!I238,"Error"))</f>
        <v>159215.06039977394</v>
      </c>
      <c r="L331" s="24">
        <f>IF($B$3="Prices",(L113*L26),IF($B$3="Costs",'Top Down inputs'!J238,"Error"))</f>
        <v>0</v>
      </c>
      <c r="M331" s="24">
        <f>IF($B$3="Prices",(M113*M26),IF($B$3="Costs",'Top Down inputs'!K238,"Error"))</f>
        <v>0</v>
      </c>
      <c r="N331" s="24">
        <f>IF($B$3="Prices",(N113*N26),IF($B$3="Costs",'Top Down inputs'!L238,"Error"))</f>
        <v>0</v>
      </c>
      <c r="O331" s="69">
        <f t="shared" si="377"/>
        <v>0</v>
      </c>
      <c r="P331" s="69">
        <f t="shared" si="377"/>
        <v>0</v>
      </c>
      <c r="Q331" s="69">
        <f t="shared" si="377"/>
        <v>0</v>
      </c>
      <c r="R331" s="69">
        <f t="shared" si="377"/>
        <v>0</v>
      </c>
      <c r="S331" s="69">
        <f t="shared" si="377"/>
        <v>0</v>
      </c>
      <c r="W331" t="s">
        <v>366</v>
      </c>
      <c r="X331" t="s">
        <v>282</v>
      </c>
      <c r="AD331" s="92">
        <f t="shared" si="383"/>
        <v>163.14252895733799</v>
      </c>
      <c r="AE331" s="92">
        <f t="shared" si="383"/>
        <v>166.39490268450797</v>
      </c>
      <c r="AF331" s="92">
        <f t="shared" si="383"/>
        <v>169.88210718810384</v>
      </c>
      <c r="AG331" s="92">
        <f t="shared" si="383"/>
        <v>173.29586096671565</v>
      </c>
      <c r="AH331" s="92">
        <f t="shared" si="383"/>
        <v>176.76158173242123</v>
      </c>
      <c r="AI331" s="92">
        <f t="shared" si="383"/>
        <v>176.76158173242123</v>
      </c>
      <c r="AJ331" s="92">
        <f t="shared" si="383"/>
        <v>176.76158173242123</v>
      </c>
      <c r="AK331" s="92">
        <f t="shared" si="383"/>
        <v>176.76158173242123</v>
      </c>
      <c r="AL331" s="92">
        <f t="shared" si="383"/>
        <v>176.76158173242123</v>
      </c>
      <c r="AM331" s="92">
        <f t="shared" si="383"/>
        <v>176.76158173242123</v>
      </c>
      <c r="AN331" t="s">
        <v>283</v>
      </c>
      <c r="AO331" s="95">
        <f t="shared" ref="AO331:BB331" si="387">AO287-AO310</f>
        <v>-3.2116651956764219E-2</v>
      </c>
      <c r="AP331" s="95">
        <f t="shared" si="387"/>
        <v>-6.2616867839132839E-3</v>
      </c>
      <c r="AQ331" s="95">
        <f t="shared" si="387"/>
        <v>3.8480364104898024E-2</v>
      </c>
      <c r="AR331" s="95">
        <f t="shared" si="387"/>
        <v>8.2898242114724241E-3</v>
      </c>
      <c r="AS331" s="95">
        <f t="shared" si="387"/>
        <v>-2.9695297208320759E-2</v>
      </c>
      <c r="AT331" s="95">
        <f t="shared" si="387"/>
        <v>-5.5107647968555225E-2</v>
      </c>
      <c r="AU331" s="95">
        <f t="shared" si="387"/>
        <v>-6.9507149649279565E-2</v>
      </c>
      <c r="AV331" s="95">
        <f t="shared" si="387"/>
        <v>-3.7900000000000003E-2</v>
      </c>
      <c r="AW331" s="95">
        <f t="shared" si="387"/>
        <v>-1.17E-2</v>
      </c>
      <c r="AX331" s="95">
        <f t="shared" si="387"/>
        <v>0</v>
      </c>
      <c r="AY331" s="95">
        <f t="shared" si="387"/>
        <v>0</v>
      </c>
      <c r="AZ331" s="95">
        <f t="shared" si="387"/>
        <v>0</v>
      </c>
      <c r="BA331" s="95" t="e">
        <f t="shared" si="387"/>
        <v>#DIV/0!</v>
      </c>
      <c r="BB331" s="95" t="e">
        <f t="shared" si="387"/>
        <v>#DIV/0!</v>
      </c>
    </row>
    <row r="332" spans="1:55" x14ac:dyDescent="0.45">
      <c r="A332" s="9" t="str">
        <v>WX310</v>
      </c>
      <c r="B332" t="s">
        <v>283</v>
      </c>
      <c r="C332" s="9" t="s">
        <v>275</v>
      </c>
      <c r="E332" s="173">
        <f t="shared" si="376"/>
        <v>21778481.651655838</v>
      </c>
      <c r="F332" s="172">
        <f>IF($B$3="Prices",(F114*F27),IF($B$3="Costs",'Re-scaled copper costs'!V103,"Error"))</f>
        <v>21778481.651655838</v>
      </c>
      <c r="G332" s="172">
        <f>IF($B$3="Prices",(G114*G27),IF($B$3="Costs",'Re-scaled copper costs'!W103,"Error"))</f>
        <v>29699857.509854171</v>
      </c>
      <c r="H332" s="172">
        <f>IF($B$3="Prices",(H114*H27),IF($B$3="Costs",'Re-scaled copper costs'!X103,"Error"))</f>
        <v>26856983.75116045</v>
      </c>
      <c r="I332" s="24">
        <f>IF($B$3="Prices",(I114*I27),IF($B$3="Costs",'Top Down inputs'!G239,"Error"))</f>
        <v>20315334.88287957</v>
      </c>
      <c r="J332" s="24">
        <f>IF($B$3="Prices",(J114*J27),IF($B$3="Costs",'Top Down inputs'!H239,"Error"))</f>
        <v>9605602.5106104985</v>
      </c>
      <c r="K332" s="24">
        <f>IF($B$3="Prices",(K114*K27),IF($B$3="Costs",'Top Down inputs'!I239,"Error"))</f>
        <v>603566.4089487805</v>
      </c>
      <c r="L332" s="24">
        <f>IF($B$3="Prices",(L114*L27),IF($B$3="Costs",'Top Down inputs'!J239,"Error"))</f>
        <v>0</v>
      </c>
      <c r="M332" s="24">
        <f>IF($B$3="Prices",(M114*M27),IF($B$3="Costs",'Top Down inputs'!K239,"Error"))</f>
        <v>0</v>
      </c>
      <c r="N332" s="24">
        <f>IF($B$3="Prices",(N114*N27),IF($B$3="Costs",'Top Down inputs'!L239,"Error"))</f>
        <v>0</v>
      </c>
      <c r="O332" s="69">
        <f t="shared" si="377"/>
        <v>0</v>
      </c>
      <c r="P332" s="69">
        <f t="shared" si="377"/>
        <v>0</v>
      </c>
      <c r="Q332" s="69">
        <f t="shared" si="377"/>
        <v>0</v>
      </c>
      <c r="R332" s="69">
        <f t="shared" si="377"/>
        <v>0</v>
      </c>
      <c r="S332" s="69">
        <f t="shared" si="377"/>
        <v>0</v>
      </c>
      <c r="W332" t="s">
        <v>367</v>
      </c>
      <c r="X332" t="s">
        <v>283</v>
      </c>
      <c r="AD332" s="92">
        <f t="shared" si="383"/>
        <v>180.04042915797635</v>
      </c>
      <c r="AE332" s="92">
        <f t="shared" si="383"/>
        <v>183.62967572270833</v>
      </c>
      <c r="AF332" s="92">
        <f t="shared" si="383"/>
        <v>187.47807625567549</v>
      </c>
      <c r="AG332" s="92">
        <f t="shared" si="383"/>
        <v>191.24541821898202</v>
      </c>
      <c r="AH332" s="92">
        <f t="shared" si="383"/>
        <v>195.07010978155131</v>
      </c>
      <c r="AI332" s="92">
        <f t="shared" si="383"/>
        <v>195.07010978155131</v>
      </c>
      <c r="AJ332" s="92">
        <f t="shared" si="383"/>
        <v>195.07010978155131</v>
      </c>
      <c r="AK332" s="92">
        <f t="shared" si="383"/>
        <v>195.07010978155131</v>
      </c>
      <c r="AL332" s="92">
        <f t="shared" si="383"/>
        <v>195.07010978155131</v>
      </c>
      <c r="AM332" s="92">
        <f t="shared" si="383"/>
        <v>195.07010978155131</v>
      </c>
      <c r="AN332" t="s">
        <v>284</v>
      </c>
      <c r="AO332" s="95">
        <f t="shared" ref="AO332:BB332" si="388">AO288-AO311</f>
        <v>-3.781385998644915E-3</v>
      </c>
      <c r="AP332" s="95">
        <f t="shared" si="388"/>
        <v>-6.4104676245109043E-3</v>
      </c>
      <c r="AQ332" s="95">
        <f t="shared" si="388"/>
        <v>-7.9736336355481496E-3</v>
      </c>
      <c r="AR332" s="95">
        <f t="shared" si="388"/>
        <v>-1.5230318115327976E-2</v>
      </c>
      <c r="AS332" s="95">
        <f t="shared" si="388"/>
        <v>-2.3735792136287612E-2</v>
      </c>
      <c r="AT332" s="95">
        <f t="shared" si="388"/>
        <v>-3.6876067039609356E-2</v>
      </c>
      <c r="AU332" s="95">
        <f t="shared" si="388"/>
        <v>-4.3293644503662798E-2</v>
      </c>
      <c r="AV332" s="95">
        <f t="shared" si="388"/>
        <v>-2.3400000000000001E-2</v>
      </c>
      <c r="AW332" s="95">
        <f t="shared" si="388"/>
        <v>-7.1999999999999998E-3</v>
      </c>
      <c r="AX332" s="95">
        <f t="shared" si="388"/>
        <v>0</v>
      </c>
      <c r="AY332" s="95">
        <f t="shared" si="388"/>
        <v>0</v>
      </c>
      <c r="AZ332" s="95">
        <f t="shared" si="388"/>
        <v>0</v>
      </c>
      <c r="BA332" s="95" t="e">
        <f t="shared" si="388"/>
        <v>#DIV/0!</v>
      </c>
      <c r="BB332" s="95" t="e">
        <f t="shared" si="388"/>
        <v>#DIV/0!</v>
      </c>
    </row>
    <row r="333" spans="1:55" x14ac:dyDescent="0.45">
      <c r="A333" s="9" t="str">
        <v>WX311</v>
      </c>
      <c r="B333" t="s">
        <v>284</v>
      </c>
      <c r="C333" s="9" t="s">
        <v>275</v>
      </c>
      <c r="E333" s="173">
        <f t="shared" si="376"/>
        <v>14800270.69899942</v>
      </c>
      <c r="F333" s="172">
        <f>IF($B$3="Prices",(F115*F28),IF($B$3="Costs",'Re-scaled copper costs'!V104,"Error"))</f>
        <v>14800270.69899942</v>
      </c>
      <c r="G333" s="172">
        <f>IF($B$3="Prices",(G115*G28),IF($B$3="Costs",'Re-scaled copper costs'!W104,"Error"))</f>
        <v>16877791.301800109</v>
      </c>
      <c r="H333" s="172">
        <f>IF($B$3="Prices",(H115*H28),IF($B$3="Costs",'Re-scaled copper costs'!X104,"Error"))</f>
        <v>16916263.990140822</v>
      </c>
      <c r="I333" s="24">
        <f>IF($B$3="Prices",(I115*I28),IF($B$3="Costs",'Top Down inputs'!G240,"Error"))</f>
        <v>11821364.700146381</v>
      </c>
      <c r="J333" s="24">
        <f>IF($B$3="Prices",(J115*J28),IF($B$3="Costs",'Top Down inputs'!H240,"Error"))</f>
        <v>5532566.8378602797</v>
      </c>
      <c r="K333" s="24">
        <f>IF($B$3="Prices",(K115*K28),IF($B$3="Costs",'Top Down inputs'!I240,"Error"))</f>
        <v>342645.86497480143</v>
      </c>
      <c r="L333" s="24">
        <f>IF($B$3="Prices",(L115*L28),IF($B$3="Costs",'Top Down inputs'!J240,"Error"))</f>
        <v>0</v>
      </c>
      <c r="M333" s="24">
        <f>IF($B$3="Prices",(M115*M28),IF($B$3="Costs",'Top Down inputs'!K240,"Error"))</f>
        <v>0</v>
      </c>
      <c r="N333" s="24">
        <f>IF($B$3="Prices",(N115*N28),IF($B$3="Costs",'Top Down inputs'!L240,"Error"))</f>
        <v>0</v>
      </c>
      <c r="O333" s="69">
        <f t="shared" si="377"/>
        <v>0</v>
      </c>
      <c r="P333" s="69">
        <f t="shared" si="377"/>
        <v>0</v>
      </c>
      <c r="Q333" s="69">
        <f t="shared" si="377"/>
        <v>0</v>
      </c>
      <c r="R333" s="69">
        <f t="shared" si="377"/>
        <v>0</v>
      </c>
      <c r="S333" s="69">
        <f t="shared" si="377"/>
        <v>0</v>
      </c>
      <c r="W333" t="s">
        <v>368</v>
      </c>
      <c r="X333" t="s">
        <v>284</v>
      </c>
      <c r="AD333" s="92">
        <f t="shared" si="383"/>
        <v>163.50939207553665</v>
      </c>
      <c r="AE333" s="92">
        <f t="shared" si="383"/>
        <v>166.76907950548372</v>
      </c>
      <c r="AF333" s="92">
        <f t="shared" si="383"/>
        <v>170.26412578232024</v>
      </c>
      <c r="AG333" s="92">
        <f t="shared" si="383"/>
        <v>173.68555616349536</v>
      </c>
      <c r="AH333" s="92">
        <f t="shared" si="383"/>
        <v>177.15907039136584</v>
      </c>
      <c r="AI333" s="92">
        <f t="shared" si="383"/>
        <v>177.15907039136584</v>
      </c>
      <c r="AJ333" s="92">
        <f t="shared" si="383"/>
        <v>177.15907039136584</v>
      </c>
      <c r="AK333" s="92">
        <f t="shared" si="383"/>
        <v>177.15907039136584</v>
      </c>
      <c r="AL333" s="92">
        <f t="shared" si="383"/>
        <v>177.15907039136584</v>
      </c>
      <c r="AM333" s="92">
        <f t="shared" si="383"/>
        <v>177.15907039136584</v>
      </c>
      <c r="AN333" t="s">
        <v>293</v>
      </c>
      <c r="AO333" s="95">
        <f t="shared" ref="AO333:BB333" si="389">AO289-AO312</f>
        <v>1.8404772697686836E-3</v>
      </c>
      <c r="AP333" s="95">
        <f t="shared" si="389"/>
        <v>2.211693599126987E-3</v>
      </c>
      <c r="AQ333" s="95">
        <f t="shared" si="389"/>
        <v>2.2572235660031519E-3</v>
      </c>
      <c r="AR333" s="95">
        <f t="shared" si="389"/>
        <v>-4.744311528341854E-5</v>
      </c>
      <c r="AS333" s="95">
        <f t="shared" si="389"/>
        <v>8.8140925411342962E-4</v>
      </c>
      <c r="AT333" s="95">
        <f t="shared" si="389"/>
        <v>1.6944018132111485E-3</v>
      </c>
      <c r="AU333" s="95">
        <f t="shared" si="389"/>
        <v>1.7618571720738295E-3</v>
      </c>
      <c r="AV333" s="95">
        <f t="shared" si="389"/>
        <v>2.4108102150544718E-3</v>
      </c>
      <c r="AW333" s="95">
        <f t="shared" si="389"/>
        <v>3.6928462697244854E-3</v>
      </c>
      <c r="AX333" s="95">
        <f t="shared" si="389"/>
        <v>6.5849571969861052E-3</v>
      </c>
      <c r="AY333" s="95">
        <f t="shared" si="389"/>
        <v>1.2133401368651452E-2</v>
      </c>
      <c r="AZ333" s="95">
        <f t="shared" si="389"/>
        <v>4.3591747843817377E-2</v>
      </c>
      <c r="BA333" s="95" t="e">
        <f t="shared" si="389"/>
        <v>#DIV/0!</v>
      </c>
      <c r="BB333" s="95" t="e">
        <f t="shared" si="389"/>
        <v>#DIV/0!</v>
      </c>
    </row>
    <row r="334" spans="1:55" x14ac:dyDescent="0.45">
      <c r="A334" s="9" t="str">
        <v>WN302</v>
      </c>
      <c r="B334" t="s">
        <v>285</v>
      </c>
      <c r="C334" s="9" t="s">
        <v>3</v>
      </c>
      <c r="E334" s="173">
        <f t="shared" si="376"/>
        <v>323534.23396122461</v>
      </c>
      <c r="F334" s="172">
        <f>IF($B$3="Prices",(F116*F29),IF($B$3="Costs",'Re-scaled copper costs'!V105,"Error"))</f>
        <v>323534.23396122461</v>
      </c>
      <c r="G334" s="172">
        <f>IF($B$3="Prices",(G116*G29),IF($B$3="Costs",'Re-scaled copper costs'!W105,"Error"))</f>
        <v>172749.88533777982</v>
      </c>
      <c r="H334" s="172">
        <f>IF($B$3="Prices",(H116*H29),IF($B$3="Costs",'Re-scaled copper costs'!X105,"Error"))</f>
        <v>170588.94979567968</v>
      </c>
      <c r="I334" s="24">
        <f>IF($B$3="Prices",(I116*I29),IF($B$3="Costs",'Top Down inputs'!G241,"Error"))</f>
        <v>60158.179146818846</v>
      </c>
      <c r="J334" s="24">
        <f>IF($B$3="Prices",(J116*J29),IF($B$3="Costs",'Top Down inputs'!H241,"Error"))</f>
        <v>23717.936736747059</v>
      </c>
      <c r="K334" s="24">
        <f>IF($B$3="Prices",(K116*K29),IF($B$3="Costs",'Top Down inputs'!I241,"Error"))</f>
        <v>1349.5406287672542</v>
      </c>
      <c r="L334" s="24">
        <f>IF($B$3="Prices",(L116*L29),IF($B$3="Costs",'Top Down inputs'!J241,"Error"))</f>
        <v>0</v>
      </c>
      <c r="M334" s="24">
        <f>IF($B$3="Prices",(M116*M29),IF($B$3="Costs",'Top Down inputs'!K241,"Error"))</f>
        <v>0</v>
      </c>
      <c r="N334" s="24">
        <f>IF($B$3="Prices",(N116*N29),IF($B$3="Costs",'Top Down inputs'!L241,"Error"))</f>
        <v>0</v>
      </c>
      <c r="O334" s="69">
        <f t="shared" si="377"/>
        <v>0</v>
      </c>
      <c r="P334" s="69">
        <f t="shared" si="377"/>
        <v>0</v>
      </c>
      <c r="Q334" s="69">
        <f t="shared" si="377"/>
        <v>0</v>
      </c>
      <c r="R334" s="69">
        <f t="shared" si="377"/>
        <v>0</v>
      </c>
      <c r="S334" s="69">
        <f t="shared" si="377"/>
        <v>0</v>
      </c>
      <c r="W334" t="s">
        <v>369</v>
      </c>
      <c r="X334" t="s">
        <v>293</v>
      </c>
      <c r="AD334" s="92">
        <f t="shared" si="383"/>
        <v>189.03633979163359</v>
      </c>
      <c r="AE334" s="92">
        <f t="shared" si="383"/>
        <v>192.80492686054842</v>
      </c>
      <c r="AF334" s="92">
        <f t="shared" si="383"/>
        <v>196.84561680006169</v>
      </c>
      <c r="AG334" s="92">
        <f t="shared" si="383"/>
        <v>200.80119799267263</v>
      </c>
      <c r="AH334" s="92">
        <f t="shared" si="383"/>
        <v>204.81699431798376</v>
      </c>
      <c r="AI334" s="92">
        <f t="shared" si="383"/>
        <v>204.81699431798376</v>
      </c>
      <c r="AJ334" s="92">
        <f t="shared" si="383"/>
        <v>204.81699431798376</v>
      </c>
      <c r="AK334" s="92">
        <f t="shared" si="383"/>
        <v>204.81699431798376</v>
      </c>
      <c r="AL334" s="92">
        <f t="shared" si="383"/>
        <v>204.81699431798376</v>
      </c>
      <c r="AM334" s="92">
        <f t="shared" si="383"/>
        <v>204.81699431798376</v>
      </c>
      <c r="AN334" t="s">
        <v>295</v>
      </c>
      <c r="AO334" s="95">
        <f t="shared" ref="AO334:BB334" si="390">AO290-AO313</f>
        <v>1.5750043371137567E-3</v>
      </c>
      <c r="AP334" s="95">
        <f t="shared" si="390"/>
        <v>1.25560941570582E-3</v>
      </c>
      <c r="AQ334" s="95">
        <f t="shared" si="390"/>
        <v>1.09646858293137E-3</v>
      </c>
      <c r="AR334" s="95">
        <f t="shared" si="390"/>
        <v>2.247490828180685E-3</v>
      </c>
      <c r="AS334" s="95">
        <f t="shared" si="390"/>
        <v>3.0747692167948778E-3</v>
      </c>
      <c r="AT334" s="95">
        <f t="shared" si="390"/>
        <v>4.5777444330762761E-3</v>
      </c>
      <c r="AU334" s="95">
        <f t="shared" si="390"/>
        <v>5.1893534283358579E-3</v>
      </c>
      <c r="AV334" s="95">
        <f t="shared" si="390"/>
        <v>6.8240099815823577E-3</v>
      </c>
      <c r="AW334" s="95">
        <f t="shared" si="390"/>
        <v>9.7824655479742707E-3</v>
      </c>
      <c r="AX334" s="95">
        <f t="shared" si="390"/>
        <v>1.5535951603919034E-2</v>
      </c>
      <c r="AY334" s="95">
        <f t="shared" si="390"/>
        <v>2.7294339941752142E-2</v>
      </c>
      <c r="AZ334" s="95">
        <f t="shared" si="390"/>
        <v>8.7804169753920469E-2</v>
      </c>
      <c r="BA334" s="95" t="e">
        <f t="shared" si="390"/>
        <v>#DIV/0!</v>
      </c>
      <c r="BB334" s="95" t="e">
        <f t="shared" si="390"/>
        <v>#DIV/0!</v>
      </c>
    </row>
    <row r="335" spans="1:55" x14ac:dyDescent="0.45">
      <c r="A335" s="9" t="str">
        <v>WX312</v>
      </c>
      <c r="B335" t="s">
        <v>286</v>
      </c>
      <c r="C335" s="9" t="s">
        <v>3</v>
      </c>
      <c r="E335" s="173">
        <f t="shared" si="376"/>
        <v>280921.64252575435</v>
      </c>
      <c r="F335" s="172">
        <f>IF($B$3="Prices",(F117*F30),IF($B$3="Costs",'Re-scaled copper costs'!V106,"Error"))</f>
        <v>280921.64252575435</v>
      </c>
      <c r="G335" s="172">
        <f>IF($B$3="Prices",(G117*G30),IF($B$3="Costs",'Re-scaled copper costs'!W106,"Error"))</f>
        <v>315600.22351176874</v>
      </c>
      <c r="H335" s="172">
        <f>IF($B$3="Prices",(H117*H30),IF($B$3="Costs",'Re-scaled copper costs'!X106,"Error"))</f>
        <v>687919.04613142635</v>
      </c>
      <c r="I335" s="24">
        <f>IF($B$3="Prices",(I117*I30),IF($B$3="Costs",'Top Down inputs'!G242,"Error"))</f>
        <v>339769.61239668081</v>
      </c>
      <c r="J335" s="24">
        <f>IF($B$3="Prices",(J117*J30),IF($B$3="Costs",'Top Down inputs'!H242,"Error"))</f>
        <v>136005.21233061849</v>
      </c>
      <c r="K335" s="24">
        <f>IF($B$3="Prices",(K117*K30),IF($B$3="Costs",'Top Down inputs'!I242,"Error"))</f>
        <v>8155.3241360247875</v>
      </c>
      <c r="L335" s="24">
        <f>IF($B$3="Prices",(L117*L30),IF($B$3="Costs",'Top Down inputs'!J242,"Error"))</f>
        <v>0</v>
      </c>
      <c r="M335" s="24">
        <f>IF($B$3="Prices",(M117*M30),IF($B$3="Costs",'Top Down inputs'!K242,"Error"))</f>
        <v>0</v>
      </c>
      <c r="N335" s="24">
        <f>IF($B$3="Prices",(N117*N30),IF($B$3="Costs",'Top Down inputs'!L242,"Error"))</f>
        <v>0</v>
      </c>
      <c r="O335" s="69">
        <f t="shared" si="377"/>
        <v>0</v>
      </c>
      <c r="P335" s="69">
        <f t="shared" si="377"/>
        <v>0</v>
      </c>
      <c r="Q335" s="69">
        <f t="shared" si="377"/>
        <v>0</v>
      </c>
      <c r="R335" s="69">
        <f t="shared" si="377"/>
        <v>0</v>
      </c>
      <c r="S335" s="69">
        <f t="shared" si="377"/>
        <v>0</v>
      </c>
      <c r="W335" t="s">
        <v>370</v>
      </c>
      <c r="X335" t="s">
        <v>295</v>
      </c>
      <c r="AD335" s="92">
        <f t="shared" si="383"/>
        <v>191.70109600737283</v>
      </c>
      <c r="AE335" s="92">
        <f t="shared" si="383"/>
        <v>195.52280707259183</v>
      </c>
      <c r="AF335" s="92">
        <f t="shared" si="383"/>
        <v>199.62045671437218</v>
      </c>
      <c r="AG335" s="92">
        <f t="shared" si="383"/>
        <v>203.63179787134496</v>
      </c>
      <c r="AH335" s="92">
        <f t="shared" si="383"/>
        <v>207.70420298537263</v>
      </c>
      <c r="AI335" s="92">
        <f t="shared" si="383"/>
        <v>207.70420298537263</v>
      </c>
      <c r="AJ335" s="92">
        <f t="shared" si="383"/>
        <v>207.70420298537263</v>
      </c>
      <c r="AK335" s="92">
        <f t="shared" si="383"/>
        <v>207.70420298537263</v>
      </c>
      <c r="AL335" s="92">
        <f t="shared" si="383"/>
        <v>207.70420298537263</v>
      </c>
      <c r="AM335" s="92">
        <f t="shared" si="383"/>
        <v>207.70420298537263</v>
      </c>
      <c r="AN335" t="s">
        <v>298</v>
      </c>
      <c r="AO335" s="95">
        <f t="shared" ref="AO335:BB335" si="391">AO291-AO314</f>
        <v>1.1077780784103019E-3</v>
      </c>
      <c r="AP335" s="95">
        <f t="shared" si="391"/>
        <v>2.2755553494399686E-3</v>
      </c>
      <c r="AQ335" s="95">
        <f t="shared" si="391"/>
        <v>8.3661509547736795E-4</v>
      </c>
      <c r="AR335" s="95">
        <f t="shared" si="391"/>
        <v>1.2485334529892186E-2</v>
      </c>
      <c r="AS335" s="95">
        <f t="shared" si="391"/>
        <v>4.2073133546808882E-2</v>
      </c>
      <c r="AT335" s="95">
        <f t="shared" si="391"/>
        <v>4.7172437007354379E-2</v>
      </c>
      <c r="AU335" s="95">
        <f t="shared" si="391"/>
        <v>8.4455551453288785E-2</v>
      </c>
      <c r="AV335" s="95">
        <f t="shared" si="391"/>
        <v>8.5141801488944679E-2</v>
      </c>
      <c r="AW335" s="95">
        <f t="shared" si="391"/>
        <v>9.0865646266941408E-2</v>
      </c>
      <c r="AX335" s="95">
        <f t="shared" si="391"/>
        <v>9.0017508494641602E-2</v>
      </c>
      <c r="AY335" s="95">
        <f t="shared" si="391"/>
        <v>0</v>
      </c>
      <c r="AZ335" s="95">
        <f t="shared" si="391"/>
        <v>0</v>
      </c>
      <c r="BA335" s="95" t="e">
        <f t="shared" si="391"/>
        <v>#DIV/0!</v>
      </c>
      <c r="BB335" s="95" t="e">
        <f t="shared" si="391"/>
        <v>#DIV/0!</v>
      </c>
    </row>
    <row r="336" spans="1:55" x14ac:dyDescent="0.45">
      <c r="A336" s="9" t="str">
        <v>WX338</v>
      </c>
      <c r="B336" t="s">
        <v>287</v>
      </c>
      <c r="C336" s="9" t="s">
        <v>3</v>
      </c>
      <c r="E336" s="173">
        <f t="shared" si="376"/>
        <v>276742.95399790118</v>
      </c>
      <c r="F336" s="172">
        <f>IF($B$3="Prices",(F118*F31),IF($B$3="Costs",'Re-scaled copper costs'!V107,"Error"))</f>
        <v>276742.95399790118</v>
      </c>
      <c r="G336" s="172">
        <f>IF($B$3="Prices",(G118*G31),IF($B$3="Costs",'Re-scaled copper costs'!W107,"Error"))</f>
        <v>292675.9491497557</v>
      </c>
      <c r="H336" s="172">
        <f>IF($B$3="Prices",(H118*H31),IF($B$3="Costs",'Re-scaled copper costs'!X107,"Error"))</f>
        <v>161072.04215195123</v>
      </c>
      <c r="I336" s="24">
        <f>IF($B$3="Prices",(I118*I31),IF($B$3="Costs",'Top Down inputs'!G243,"Error"))</f>
        <v>113018.89604154948</v>
      </c>
      <c r="J336" s="24">
        <f>IF($B$3="Prices",(J118*J31),IF($B$3="Costs",'Top Down inputs'!H243,"Error"))</f>
        <v>44824.551205701711</v>
      </c>
      <c r="K336" s="24">
        <f>IF($B$3="Prices",(K118*K31),IF($B$3="Costs",'Top Down inputs'!I243,"Error"))</f>
        <v>2676.4236371905545</v>
      </c>
      <c r="L336" s="24">
        <f>IF($B$3="Prices",(L118*L31),IF($B$3="Costs",'Top Down inputs'!J243,"Error"))</f>
        <v>0</v>
      </c>
      <c r="M336" s="24">
        <f>IF($B$3="Prices",(M118*M31),IF($B$3="Costs",'Top Down inputs'!K243,"Error"))</f>
        <v>0</v>
      </c>
      <c r="N336" s="24">
        <f>IF($B$3="Prices",(N118*N31),IF($B$3="Costs",'Top Down inputs'!L243,"Error"))</f>
        <v>0</v>
      </c>
      <c r="O336" s="69">
        <f t="shared" si="377"/>
        <v>0</v>
      </c>
      <c r="P336" s="69">
        <f t="shared" si="377"/>
        <v>0</v>
      </c>
      <c r="Q336" s="69">
        <f t="shared" si="377"/>
        <v>0</v>
      </c>
      <c r="R336" s="69">
        <f t="shared" si="377"/>
        <v>0</v>
      </c>
      <c r="S336" s="69">
        <f t="shared" si="377"/>
        <v>0</v>
      </c>
      <c r="W336" t="s">
        <v>371</v>
      </c>
      <c r="X336" t="s">
        <v>298</v>
      </c>
      <c r="AD336" s="92">
        <f t="shared" si="383"/>
        <v>227.71635347912036</v>
      </c>
      <c r="AE336" s="92">
        <f t="shared" si="383"/>
        <v>232.25605682953315</v>
      </c>
      <c r="AF336" s="92">
        <f t="shared" si="383"/>
        <v>237.12353987316354</v>
      </c>
      <c r="AG336" s="92">
        <f t="shared" si="383"/>
        <v>241.88849948920779</v>
      </c>
      <c r="AH336" s="92">
        <f t="shared" si="383"/>
        <v>246.72599526659468</v>
      </c>
      <c r="AI336" s="92">
        <f t="shared" si="383"/>
        <v>246.72599526659468</v>
      </c>
      <c r="AJ336" s="92">
        <f t="shared" si="383"/>
        <v>246.72599526659468</v>
      </c>
      <c r="AK336" s="92">
        <f t="shared" si="383"/>
        <v>246.72599526659468</v>
      </c>
      <c r="AL336" s="92">
        <f t="shared" si="383"/>
        <v>246.72599526659468</v>
      </c>
      <c r="AM336" s="92">
        <f t="shared" si="383"/>
        <v>246.72599526659468</v>
      </c>
      <c r="AN336" t="s">
        <v>300</v>
      </c>
      <c r="AO336" s="95">
        <f t="shared" ref="AO336:BB336" si="392">AO292-AO315</f>
        <v>4.3387803605726347E-3</v>
      </c>
      <c r="AP336" s="95">
        <f t="shared" si="392"/>
        <v>8.7685045258266078E-3</v>
      </c>
      <c r="AQ336" s="95">
        <f t="shared" si="392"/>
        <v>1.2161596301174082E-2</v>
      </c>
      <c r="AR336" s="95">
        <f t="shared" si="392"/>
        <v>5.5766991659014095E-2</v>
      </c>
      <c r="AS336" s="95">
        <f t="shared" si="392"/>
        <v>8.0492452732441488E-2</v>
      </c>
      <c r="AT336" s="95">
        <f t="shared" si="392"/>
        <v>0.11122550036171613</v>
      </c>
      <c r="AU336" s="95">
        <f t="shared" si="392"/>
        <v>0.10969769415690378</v>
      </c>
      <c r="AV336" s="95">
        <f t="shared" si="392"/>
        <v>7.2466791495871069E-2</v>
      </c>
      <c r="AW336" s="95">
        <f t="shared" si="392"/>
        <v>4.9606669445825924E-2</v>
      </c>
      <c r="AX336" s="95">
        <f t="shared" si="392"/>
        <v>7.0098717824199297E-2</v>
      </c>
      <c r="AY336" s="95">
        <f t="shared" si="392"/>
        <v>0.18668647008048828</v>
      </c>
      <c r="AZ336" s="95">
        <f t="shared" si="392"/>
        <v>0.13153314661278431</v>
      </c>
      <c r="BA336" s="95" t="e">
        <f t="shared" si="392"/>
        <v>#DIV/0!</v>
      </c>
      <c r="BB336" s="95" t="e">
        <f t="shared" si="392"/>
        <v>#DIV/0!</v>
      </c>
    </row>
    <row r="337" spans="1:54" x14ac:dyDescent="0.45">
      <c r="A337" s="9" t="str">
        <v>WN336</v>
      </c>
      <c r="B337" t="s">
        <v>288</v>
      </c>
      <c r="C337" s="9" t="s">
        <v>3</v>
      </c>
      <c r="E337" s="173">
        <f t="shared" si="376"/>
        <v>150877.73150494581</v>
      </c>
      <c r="F337" s="172">
        <f>IF($B$3="Prices",(F119*F32),IF($B$3="Costs",'Re-scaled copper costs'!V108,"Error"))</f>
        <v>150877.73150494581</v>
      </c>
      <c r="G337" s="172">
        <f>IF($B$3="Prices",(G119*G32),IF($B$3="Costs",'Re-scaled copper costs'!W108,"Error"))</f>
        <v>135502.95806001034</v>
      </c>
      <c r="H337" s="172">
        <f>IF($B$3="Prices",(H119*H32),IF($B$3="Costs",'Re-scaled copper costs'!X108,"Error"))</f>
        <v>81277.565907489232</v>
      </c>
      <c r="I337" s="24">
        <f>IF($B$3="Prices",(I119*I32),IF($B$3="Costs",'Top Down inputs'!G244,"Error"))</f>
        <v>31787.297719862545</v>
      </c>
      <c r="J337" s="24">
        <f>IF($B$3="Prices",(J119*J32),IF($B$3="Costs",'Top Down inputs'!H244,"Error"))</f>
        <v>12413.200138834589</v>
      </c>
      <c r="K337" s="24">
        <f>IF($B$3="Prices",(K119*K32),IF($B$3="Costs",'Top Down inputs'!I244,"Error"))</f>
        <v>702.7925646673383</v>
      </c>
      <c r="L337" s="24">
        <f>IF($B$3="Prices",(L119*L32),IF($B$3="Costs",'Top Down inputs'!J244,"Error"))</f>
        <v>0</v>
      </c>
      <c r="M337" s="24">
        <f>IF($B$3="Prices",(M119*M32),IF($B$3="Costs",'Top Down inputs'!K244,"Error"))</f>
        <v>0</v>
      </c>
      <c r="N337" s="24">
        <f>IF($B$3="Prices",(N119*N32),IF($B$3="Costs",'Top Down inputs'!L244,"Error"))</f>
        <v>0</v>
      </c>
      <c r="O337" s="69">
        <f t="shared" si="377"/>
        <v>0</v>
      </c>
      <c r="P337" s="69">
        <f t="shared" si="377"/>
        <v>0</v>
      </c>
      <c r="Q337" s="69">
        <f t="shared" si="377"/>
        <v>0</v>
      </c>
      <c r="R337" s="69">
        <f t="shared" si="377"/>
        <v>0</v>
      </c>
      <c r="S337" s="69">
        <f t="shared" si="377"/>
        <v>0</v>
      </c>
      <c r="W337" t="s">
        <v>372</v>
      </c>
      <c r="X337" t="s">
        <v>300</v>
      </c>
      <c r="AD337" s="92">
        <f t="shared" si="383"/>
        <v>216.56310086778194</v>
      </c>
      <c r="AE337" s="92">
        <f t="shared" si="383"/>
        <v>220.88045541682797</v>
      </c>
      <c r="AF337" s="92">
        <f t="shared" si="383"/>
        <v>225.5095354334575</v>
      </c>
      <c r="AG337" s="92">
        <f t="shared" si="383"/>
        <v>230.04111348744613</v>
      </c>
      <c r="AH337" s="92">
        <f t="shared" si="383"/>
        <v>234.64167497536653</v>
      </c>
      <c r="AI337" s="92">
        <f t="shared" si="383"/>
        <v>234.64167497536653</v>
      </c>
      <c r="AJ337" s="92">
        <f t="shared" si="383"/>
        <v>234.64167497536653</v>
      </c>
      <c r="AK337" s="92">
        <f t="shared" si="383"/>
        <v>234.64167497536653</v>
      </c>
      <c r="AL337" s="92">
        <f t="shared" si="383"/>
        <v>234.64167497536653</v>
      </c>
      <c r="AM337" s="92">
        <f t="shared" si="383"/>
        <v>234.64167497536653</v>
      </c>
      <c r="AN337" t="s">
        <v>301</v>
      </c>
      <c r="AO337" s="95">
        <f t="shared" ref="AO337:BB337" si="393">AO293-AO316</f>
        <v>8.0300293922829467E-4</v>
      </c>
      <c r="AP337" s="95">
        <f t="shared" si="393"/>
        <v>1.5226994108680954E-3</v>
      </c>
      <c r="AQ337" s="95">
        <f t="shared" si="393"/>
        <v>4.5042740591946899E-3</v>
      </c>
      <c r="AR337" s="95">
        <f t="shared" si="393"/>
        <v>6.1637334854835399E-3</v>
      </c>
      <c r="AS337" s="95">
        <f t="shared" si="393"/>
        <v>2.4436281700012719E-2</v>
      </c>
      <c r="AT337" s="95">
        <f t="shared" si="393"/>
        <v>2.661521209752496E-2</v>
      </c>
      <c r="AU337" s="95">
        <f t="shared" si="393"/>
        <v>4.8868244229398491E-2</v>
      </c>
      <c r="AV337" s="95">
        <f t="shared" si="393"/>
        <v>4.842072115391402E-2</v>
      </c>
      <c r="AW337" s="95">
        <f t="shared" si="393"/>
        <v>5.3409719041622589E-2</v>
      </c>
      <c r="AX337" s="95">
        <f t="shared" si="393"/>
        <v>5.5264023295833145E-2</v>
      </c>
      <c r="AY337" s="95">
        <f t="shared" si="393"/>
        <v>0</v>
      </c>
      <c r="AZ337" s="95">
        <f t="shared" si="393"/>
        <v>0</v>
      </c>
      <c r="BA337" s="95" t="e">
        <f t="shared" si="393"/>
        <v>#DIV/0!</v>
      </c>
      <c r="BB337" s="95" t="e">
        <f t="shared" si="393"/>
        <v>#DIV/0!</v>
      </c>
    </row>
    <row r="338" spans="1:54" x14ac:dyDescent="0.45">
      <c r="A338" s="9" t="str">
        <v>WN303</v>
      </c>
      <c r="B338" t="s">
        <v>289</v>
      </c>
      <c r="C338" s="9" t="s">
        <v>3</v>
      </c>
      <c r="E338" s="173">
        <f t="shared" si="376"/>
        <v>2216113.3522696081</v>
      </c>
      <c r="F338" s="172">
        <f>IF($B$3="Prices",(F120*F33),IF($B$3="Costs",'Re-scaled copper costs'!V109,"Error"))</f>
        <v>2216113.3522696081</v>
      </c>
      <c r="G338" s="172">
        <f>IF($B$3="Prices",(G120*G33),IF($B$3="Costs",'Re-scaled copper costs'!W109,"Error"))</f>
        <v>1626195.2119226393</v>
      </c>
      <c r="H338" s="172">
        <f>IF($B$3="Prices",(H120*H33),IF($B$3="Costs",'Re-scaled copper costs'!X109,"Error"))</f>
        <v>749692.77269041515</v>
      </c>
      <c r="I338" s="24">
        <f>IF($B$3="Prices",(I120*I33),IF($B$3="Costs",'Top Down inputs'!G245,"Error"))</f>
        <v>400295.86490474571</v>
      </c>
      <c r="J338" s="24">
        <f>IF($B$3="Prices",(J120*J33),IF($B$3="Costs",'Top Down inputs'!H245,"Error"))</f>
        <v>156400.7592909227</v>
      </c>
      <c r="K338" s="24">
        <f>IF($B$3="Prices",(K120*K33),IF($B$3="Costs",'Top Down inputs'!I245,"Error"))</f>
        <v>8869.9481927738307</v>
      </c>
      <c r="L338" s="24">
        <f>IF($B$3="Prices",(L120*L33),IF($B$3="Costs",'Top Down inputs'!J245,"Error"))</f>
        <v>0</v>
      </c>
      <c r="M338" s="24">
        <f>IF($B$3="Prices",(M120*M33),IF($B$3="Costs",'Top Down inputs'!K245,"Error"))</f>
        <v>0</v>
      </c>
      <c r="N338" s="24">
        <f>IF($B$3="Prices",(N120*N33),IF($B$3="Costs",'Top Down inputs'!L245,"Error"))</f>
        <v>0</v>
      </c>
      <c r="O338" s="69">
        <f t="shared" si="377"/>
        <v>0</v>
      </c>
      <c r="P338" s="69">
        <f t="shared" si="377"/>
        <v>0</v>
      </c>
      <c r="Q338" s="69">
        <f t="shared" si="377"/>
        <v>0</v>
      </c>
      <c r="R338" s="69">
        <f t="shared" si="377"/>
        <v>0</v>
      </c>
      <c r="S338" s="69">
        <f t="shared" si="377"/>
        <v>0</v>
      </c>
      <c r="W338" t="s">
        <v>373</v>
      </c>
      <c r="X338" t="s">
        <v>301</v>
      </c>
      <c r="AD338" s="92">
        <f t="shared" si="383"/>
        <v>190.46653890447172</v>
      </c>
      <c r="AE338" s="92">
        <f t="shared" si="383"/>
        <v>194.26363810966976</v>
      </c>
      <c r="AF338" s="92">
        <f t="shared" si="383"/>
        <v>198.33489884405301</v>
      </c>
      <c r="AG338" s="92">
        <f t="shared" si="383"/>
        <v>202.32040692119139</v>
      </c>
      <c r="AH338" s="92">
        <f t="shared" si="383"/>
        <v>206.36658570284996</v>
      </c>
      <c r="AI338" s="92">
        <f t="shared" si="383"/>
        <v>206.36658570284996</v>
      </c>
      <c r="AJ338" s="92">
        <f t="shared" si="383"/>
        <v>206.36658570284996</v>
      </c>
      <c r="AK338" s="92">
        <f t="shared" si="383"/>
        <v>206.36658570284996</v>
      </c>
      <c r="AL338" s="92">
        <f t="shared" si="383"/>
        <v>206.36658570284996</v>
      </c>
      <c r="AM338" s="92">
        <f t="shared" si="383"/>
        <v>206.36658570284996</v>
      </c>
      <c r="AN338" t="s">
        <v>302</v>
      </c>
      <c r="AO338" s="95">
        <f t="shared" ref="AO338:BB338" si="394">AO294-AO317</f>
        <v>2.9572566831163084E-3</v>
      </c>
      <c r="AP338" s="95">
        <f t="shared" si="394"/>
        <v>6.067368791525439E-3</v>
      </c>
      <c r="AQ338" s="95">
        <f t="shared" si="394"/>
        <v>1.0266422783298652E-2</v>
      </c>
      <c r="AR338" s="95">
        <f t="shared" si="394"/>
        <v>2.6996587945357461E-2</v>
      </c>
      <c r="AS338" s="95">
        <f t="shared" si="394"/>
        <v>4.0434028079105303E-2</v>
      </c>
      <c r="AT338" s="95">
        <f t="shared" si="394"/>
        <v>5.6989802604034426E-2</v>
      </c>
      <c r="AU338" s="95">
        <f t="shared" si="394"/>
        <v>5.3780886784815463E-2</v>
      </c>
      <c r="AV338" s="95">
        <f t="shared" si="394"/>
        <v>2.8047551694157874E-2</v>
      </c>
      <c r="AW338" s="95">
        <f t="shared" si="394"/>
        <v>9.0513783349221166E-3</v>
      </c>
      <c r="AX338" s="95">
        <f t="shared" si="394"/>
        <v>1.7509815757565994E-2</v>
      </c>
      <c r="AY338" s="95">
        <f t="shared" si="394"/>
        <v>8.9282557398303569E-2</v>
      </c>
      <c r="AZ338" s="95">
        <f t="shared" si="394"/>
        <v>6.3170895985891679E-2</v>
      </c>
      <c r="BA338" s="95" t="e">
        <f t="shared" si="394"/>
        <v>#DIV/0!</v>
      </c>
      <c r="BB338" s="95" t="e">
        <f t="shared" si="394"/>
        <v>#DIV/0!</v>
      </c>
    </row>
    <row r="339" spans="1:54" x14ac:dyDescent="0.45">
      <c r="A339" s="9" t="str">
        <v>WN337</v>
      </c>
      <c r="B339" t="s">
        <v>290</v>
      </c>
      <c r="C339" s="9" t="s">
        <v>3</v>
      </c>
      <c r="E339" s="173">
        <f t="shared" si="376"/>
        <v>1624672.1134064414</v>
      </c>
      <c r="F339" s="172">
        <f>IF($B$3="Prices",(F121*F34),IF($B$3="Costs",'Re-scaled copper costs'!V110,"Error"))</f>
        <v>1624672.1134064414</v>
      </c>
      <c r="G339" s="172">
        <f>IF($B$3="Prices",(G121*G34),IF($B$3="Costs",'Re-scaled copper costs'!W110,"Error"))</f>
        <v>974589.61329136358</v>
      </c>
      <c r="H339" s="172">
        <f>IF($B$3="Prices",(H121*H34),IF($B$3="Costs",'Re-scaled copper costs'!X110,"Error"))</f>
        <v>395150.84406095662</v>
      </c>
      <c r="I339" s="24">
        <f>IF($B$3="Prices",(I121*I34),IF($B$3="Costs",'Top Down inputs'!G246,"Error"))</f>
        <v>148156.65192710329</v>
      </c>
      <c r="J339" s="24">
        <f>IF($B$3="Prices",(J121*J34),IF($B$3="Costs",'Top Down inputs'!H246,"Error"))</f>
        <v>58433.833547010203</v>
      </c>
      <c r="K339" s="24">
        <f>IF($B$3="Prices",(K121*K34),IF($B$3="Costs",'Top Down inputs'!I246,"Error"))</f>
        <v>3329.0180147328847</v>
      </c>
      <c r="L339" s="24">
        <f>IF($B$3="Prices",(L121*L34),IF($B$3="Costs",'Top Down inputs'!J246,"Error"))</f>
        <v>0</v>
      </c>
      <c r="M339" s="24">
        <f>IF($B$3="Prices",(M121*M34),IF($B$3="Costs",'Top Down inputs'!K246,"Error"))</f>
        <v>0</v>
      </c>
      <c r="N339" s="24">
        <f>IF($B$3="Prices",(N121*N34),IF($B$3="Costs",'Top Down inputs'!L246,"Error"))</f>
        <v>0</v>
      </c>
      <c r="O339" s="69">
        <f t="shared" si="377"/>
        <v>0</v>
      </c>
      <c r="P339" s="69">
        <f t="shared" si="377"/>
        <v>0</v>
      </c>
      <c r="Q339" s="69">
        <f t="shared" si="377"/>
        <v>0</v>
      </c>
      <c r="R339" s="69">
        <f t="shared" si="377"/>
        <v>0</v>
      </c>
      <c r="S339" s="69">
        <f t="shared" si="377"/>
        <v>0</v>
      </c>
      <c r="W339" t="s">
        <v>374</v>
      </c>
      <c r="X339" t="s">
        <v>302</v>
      </c>
      <c r="AD339" s="92">
        <f t="shared" si="383"/>
        <v>181.4408093040233</v>
      </c>
      <c r="AE339" s="92">
        <f t="shared" si="383"/>
        <v>185.05797354064723</v>
      </c>
      <c r="AF339" s="92">
        <f t="shared" si="383"/>
        <v>188.9363074820472</v>
      </c>
      <c r="AG339" s="92">
        <f t="shared" si="383"/>
        <v>192.73295236866633</v>
      </c>
      <c r="AH339" s="92">
        <f t="shared" si="383"/>
        <v>196.58739292791387</v>
      </c>
      <c r="AI339" s="92">
        <f t="shared" si="383"/>
        <v>196.58739292791387</v>
      </c>
      <c r="AJ339" s="92">
        <f t="shared" si="383"/>
        <v>196.58739292791387</v>
      </c>
      <c r="AK339" s="92">
        <f t="shared" si="383"/>
        <v>196.58739292791387</v>
      </c>
      <c r="AL339" s="92">
        <f t="shared" si="383"/>
        <v>196.58739292791387</v>
      </c>
      <c r="AM339" s="92">
        <f t="shared" si="383"/>
        <v>196.58739292791387</v>
      </c>
      <c r="AN339" s="96" t="s">
        <v>305</v>
      </c>
      <c r="AO339" s="95">
        <f t="shared" ref="AO339:BB339" si="395">AO295-AO318</f>
        <v>0</v>
      </c>
      <c r="AP339" s="95">
        <f t="shared" si="395"/>
        <v>0</v>
      </c>
      <c r="AQ339" s="95">
        <f t="shared" si="395"/>
        <v>0</v>
      </c>
      <c r="AR339" s="95">
        <f t="shared" si="395"/>
        <v>0</v>
      </c>
      <c r="AS339" s="95">
        <f t="shared" si="395"/>
        <v>0</v>
      </c>
      <c r="AT339" s="95">
        <f t="shared" si="395"/>
        <v>0</v>
      </c>
      <c r="AU339" s="95">
        <f t="shared" si="395"/>
        <v>0</v>
      </c>
      <c r="AV339" s="95">
        <f t="shared" si="395"/>
        <v>0</v>
      </c>
      <c r="AW339" s="95">
        <f t="shared" si="395"/>
        <v>0</v>
      </c>
      <c r="AX339" s="95">
        <f t="shared" si="395"/>
        <v>0</v>
      </c>
      <c r="AY339" s="95">
        <f t="shared" si="395"/>
        <v>0</v>
      </c>
      <c r="AZ339" s="95">
        <f t="shared" si="395"/>
        <v>0</v>
      </c>
      <c r="BA339" s="95" t="e">
        <f t="shared" si="395"/>
        <v>#DIV/0!</v>
      </c>
      <c r="BB339" s="95" t="e">
        <f t="shared" si="395"/>
        <v>#DIV/0!</v>
      </c>
    </row>
    <row r="340" spans="1:54" x14ac:dyDescent="0.45">
      <c r="A340" s="9" t="str">
        <v>WX313</v>
      </c>
      <c r="B340" t="s">
        <v>291</v>
      </c>
      <c r="C340" s="9" t="s">
        <v>3</v>
      </c>
      <c r="E340" s="173">
        <f t="shared" si="376"/>
        <v>1893322.4677408645</v>
      </c>
      <c r="F340" s="172">
        <f>IF($B$3="Prices",(F122*F35),IF($B$3="Costs",'Re-scaled copper costs'!V111,"Error"))</f>
        <v>1893322.4677408645</v>
      </c>
      <c r="G340" s="172">
        <f>IF($B$3="Prices",(G122*G35),IF($B$3="Costs",'Re-scaled copper costs'!W111,"Error"))</f>
        <v>999087.84953853174</v>
      </c>
      <c r="H340" s="172">
        <f>IF($B$3="Prices",(H122*H35),IF($B$3="Costs",'Re-scaled copper costs'!X111,"Error"))</f>
        <v>388746.98398454691</v>
      </c>
      <c r="I340" s="24">
        <f>IF($B$3="Prices",(I122*I35),IF($B$3="Costs",'Top Down inputs'!G247,"Error"))</f>
        <v>272831.36139892304</v>
      </c>
      <c r="J340" s="24">
        <f>IF($B$3="Prices",(J122*J35),IF($B$3="Costs",'Top Down inputs'!H247,"Error"))</f>
        <v>108330.36509147398</v>
      </c>
      <c r="K340" s="24">
        <f>IF($B$3="Prices",(K122*K35),IF($B$3="Costs",'Top Down inputs'!I247,"Error"))</f>
        <v>6482.6175717708529</v>
      </c>
      <c r="L340" s="24">
        <f>IF($B$3="Prices",(L122*L35),IF($B$3="Costs",'Top Down inputs'!J247,"Error"))</f>
        <v>0</v>
      </c>
      <c r="M340" s="24">
        <f>IF($B$3="Prices",(M122*M35),IF($B$3="Costs",'Top Down inputs'!K247,"Error"))</f>
        <v>0</v>
      </c>
      <c r="N340" s="24">
        <f>IF($B$3="Prices",(N122*N35),IF($B$3="Costs",'Top Down inputs'!L247,"Error"))</f>
        <v>0</v>
      </c>
      <c r="O340" s="69">
        <f t="shared" si="377"/>
        <v>0</v>
      </c>
      <c r="P340" s="69">
        <f t="shared" si="377"/>
        <v>0</v>
      </c>
      <c r="Q340" s="69">
        <f t="shared" si="377"/>
        <v>0</v>
      </c>
      <c r="R340" s="69">
        <f t="shared" si="377"/>
        <v>0</v>
      </c>
      <c r="S340" s="69">
        <f t="shared" si="377"/>
        <v>0</v>
      </c>
      <c r="W340" t="s">
        <v>375</v>
      </c>
      <c r="X340" s="96" t="s">
        <v>305</v>
      </c>
      <c r="AD340" s="92"/>
      <c r="AE340" s="92"/>
      <c r="AF340" s="92"/>
      <c r="AG340" s="92"/>
      <c r="AH340" s="92"/>
      <c r="AI340" s="92"/>
      <c r="AJ340" s="92"/>
      <c r="AK340" s="92"/>
      <c r="AL340" s="92"/>
      <c r="AM340" s="92"/>
      <c r="AN340" s="96" t="s">
        <v>306</v>
      </c>
      <c r="AO340" s="95">
        <f t="shared" ref="AO340:BB340" si="396">AO296-AO319</f>
        <v>0</v>
      </c>
      <c r="AP340" s="95">
        <f t="shared" si="396"/>
        <v>0</v>
      </c>
      <c r="AQ340" s="95">
        <f t="shared" si="396"/>
        <v>0</v>
      </c>
      <c r="AR340" s="95">
        <f t="shared" si="396"/>
        <v>0</v>
      </c>
      <c r="AS340" s="95">
        <f t="shared" si="396"/>
        <v>0</v>
      </c>
      <c r="AT340" s="95">
        <f t="shared" si="396"/>
        <v>0</v>
      </c>
      <c r="AU340" s="95">
        <f t="shared" si="396"/>
        <v>0</v>
      </c>
      <c r="AV340" s="95">
        <f t="shared" si="396"/>
        <v>0</v>
      </c>
      <c r="AW340" s="95">
        <f t="shared" si="396"/>
        <v>0</v>
      </c>
      <c r="AX340" s="95">
        <f t="shared" si="396"/>
        <v>0</v>
      </c>
      <c r="AY340" s="95">
        <f t="shared" si="396"/>
        <v>0</v>
      </c>
      <c r="AZ340" s="95">
        <f t="shared" si="396"/>
        <v>0</v>
      </c>
      <c r="BA340" s="95" t="e">
        <f t="shared" si="396"/>
        <v>#DIV/0!</v>
      </c>
      <c r="BB340" s="95" t="e">
        <f t="shared" si="396"/>
        <v>#DIV/0!</v>
      </c>
    </row>
    <row r="341" spans="1:54" x14ac:dyDescent="0.45">
      <c r="A341" s="9" t="str">
        <v>WX339</v>
      </c>
      <c r="B341" t="s">
        <v>292</v>
      </c>
      <c r="C341" s="9" t="s">
        <v>3</v>
      </c>
      <c r="E341" s="173">
        <f t="shared" si="376"/>
        <v>4288241.7480213763</v>
      </c>
      <c r="F341" s="172">
        <f>IF($B$3="Prices",(F123*F36),IF($B$3="Costs",'Re-scaled copper costs'!V112,"Error"))</f>
        <v>4288241.7480213763</v>
      </c>
      <c r="G341" s="172">
        <f>IF($B$3="Prices",(G123*G36),IF($B$3="Costs",'Re-scaled copper costs'!W112,"Error"))</f>
        <v>2448482.8774376702</v>
      </c>
      <c r="H341" s="172">
        <f>IF($B$3="Prices",(H123*H36),IF($B$3="Costs",'Re-scaled copper costs'!X112,"Error"))</f>
        <v>963614.23291413009</v>
      </c>
      <c r="I341" s="24">
        <f>IF($B$3="Prices",(I123*I36),IF($B$3="Costs",'Top Down inputs'!G248,"Error"))</f>
        <v>597987.53654644021</v>
      </c>
      <c r="J341" s="24">
        <f>IF($B$3="Prices",(J123*J36),IF($B$3="Costs",'Top Down inputs'!H248,"Error"))</f>
        <v>239597.50226257934</v>
      </c>
      <c r="K341" s="24">
        <f>IF($B$3="Prices",(K123*K36),IF($B$3="Costs",'Top Down inputs'!I248,"Error"))</f>
        <v>14386.496724115117</v>
      </c>
      <c r="L341" s="24">
        <f>IF($B$3="Prices",(L123*L36),IF($B$3="Costs",'Top Down inputs'!J248,"Error"))</f>
        <v>0</v>
      </c>
      <c r="M341" s="24">
        <f>IF($B$3="Prices",(M123*M36),IF($B$3="Costs",'Top Down inputs'!K248,"Error"))</f>
        <v>0</v>
      </c>
      <c r="N341" s="24">
        <f>IF($B$3="Prices",(N123*N36),IF($B$3="Costs",'Top Down inputs'!L248,"Error"))</f>
        <v>0</v>
      </c>
      <c r="O341" s="69">
        <f t="shared" si="377"/>
        <v>0</v>
      </c>
      <c r="P341" s="69">
        <f t="shared" si="377"/>
        <v>0</v>
      </c>
      <c r="Q341" s="69">
        <f t="shared" si="377"/>
        <v>0</v>
      </c>
      <c r="R341" s="69">
        <f t="shared" si="377"/>
        <v>0</v>
      </c>
      <c r="S341" s="69">
        <f t="shared" si="377"/>
        <v>0</v>
      </c>
      <c r="W341" t="s">
        <v>376</v>
      </c>
      <c r="X341" s="96" t="s">
        <v>306</v>
      </c>
      <c r="AD341" s="92"/>
      <c r="AE341" s="92"/>
      <c r="AF341" s="92"/>
      <c r="AG341" s="92"/>
      <c r="AH341" s="92"/>
      <c r="AI341" s="92"/>
      <c r="AJ341" s="92"/>
      <c r="AK341" s="92"/>
      <c r="AL341" s="92"/>
      <c r="AM341" s="92"/>
      <c r="AN341" t="s">
        <v>309</v>
      </c>
      <c r="AO341" s="95">
        <f t="shared" ref="AO341:BB341" si="397">AO297-AO320</f>
        <v>5.607091985355226E-4</v>
      </c>
      <c r="AP341" s="95">
        <f t="shared" si="397"/>
        <v>-1.4575170766619253E-4</v>
      </c>
      <c r="AQ341" s="95">
        <f t="shared" si="397"/>
        <v>-2.1791111508065088E-3</v>
      </c>
      <c r="AR341" s="95">
        <f t="shared" si="397"/>
        <v>-3.687146186811199E-3</v>
      </c>
      <c r="AS341" s="95">
        <f t="shared" si="397"/>
        <v>-3.2618397256367563E-3</v>
      </c>
      <c r="AT341" s="95">
        <f t="shared" si="397"/>
        <v>-3.3223760484533803E-3</v>
      </c>
      <c r="AU341" s="95">
        <f t="shared" si="397"/>
        <v>-3.358293595872865E-3</v>
      </c>
      <c r="AV341" s="95">
        <f t="shared" si="397"/>
        <v>-4.796189384733405E-3</v>
      </c>
      <c r="AW341" s="95">
        <f t="shared" si="397"/>
        <v>-7.5311026998320972E-3</v>
      </c>
      <c r="AX341" s="95">
        <f t="shared" si="397"/>
        <v>-1.1403724586125681E-2</v>
      </c>
      <c r="AY341" s="95">
        <f t="shared" si="397"/>
        <v>-1.4137382060328059E-2</v>
      </c>
      <c r="AZ341" s="95">
        <f t="shared" si="397"/>
        <v>-1.7660129869696801E-2</v>
      </c>
      <c r="BA341" s="95" t="e">
        <f t="shared" si="397"/>
        <v>#DIV/0!</v>
      </c>
      <c r="BB341" s="95" t="e">
        <f t="shared" si="397"/>
        <v>#DIV/0!</v>
      </c>
    </row>
    <row r="342" spans="1:54" x14ac:dyDescent="0.45">
      <c r="A342" s="9" t="str">
        <v>WN332</v>
      </c>
      <c r="B342" t="s">
        <v>293</v>
      </c>
      <c r="C342" s="9" t="s">
        <v>275</v>
      </c>
      <c r="E342" s="173">
        <f t="shared" si="376"/>
        <v>1078036.0973707745</v>
      </c>
      <c r="F342" s="172">
        <f>IF($B$3="Prices",(F124*F37),IF($B$3="Costs",'Re-scaled copper costs'!V113,"Error"))</f>
        <v>1078036.0973707745</v>
      </c>
      <c r="G342" s="172">
        <f>IF($B$3="Prices",(G124*G37),IF($B$3="Costs",'Re-scaled copper costs'!W113,"Error"))</f>
        <v>1991163.5298336807</v>
      </c>
      <c r="H342" s="172">
        <f>IF($B$3="Prices",(H124*H37),IF($B$3="Costs",'Re-scaled copper costs'!X113,"Error"))</f>
        <v>1621615.8322597779</v>
      </c>
      <c r="I342" s="24">
        <f>IF($B$3="Prices",(I124*I37),IF($B$3="Costs",'Top Down inputs'!G249,"Error"))</f>
        <v>919918.48784630187</v>
      </c>
      <c r="J342" s="24">
        <f>IF($B$3="Prices",(J124*J37),IF($B$3="Costs",'Top Down inputs'!H249,"Error"))</f>
        <v>1252071.1403690504</v>
      </c>
      <c r="K342" s="24">
        <f>IF($B$3="Prices",(K124*K37),IF($B$3="Costs",'Top Down inputs'!I249,"Error"))</f>
        <v>1395826.5203459153</v>
      </c>
      <c r="L342" s="24">
        <f>IF($B$3="Prices",(L124*L37),IF($B$3="Costs",'Top Down inputs'!J249,"Error"))</f>
        <v>1649913.607721691</v>
      </c>
      <c r="M342" s="24">
        <f>IF($B$3="Prices",(M124*M37),IF($B$3="Costs",'Top Down inputs'!K249,"Error"))</f>
        <v>2003382.752693824</v>
      </c>
      <c r="N342" s="24">
        <f>IF($B$3="Prices",(N124*N37),IF($B$3="Costs",'Top Down inputs'!L249,"Error"))</f>
        <v>2534464.594929778</v>
      </c>
      <c r="O342" s="69">
        <f t="shared" si="377"/>
        <v>2531413.6670401026</v>
      </c>
      <c r="P342" s="69">
        <f t="shared" si="377"/>
        <v>2528148.387376185</v>
      </c>
      <c r="Q342" s="69">
        <f t="shared" si="377"/>
        <v>0</v>
      </c>
      <c r="R342" s="69">
        <f t="shared" si="377"/>
        <v>0</v>
      </c>
      <c r="S342" s="69">
        <f t="shared" si="377"/>
        <v>0</v>
      </c>
      <c r="W342" t="s">
        <v>377</v>
      </c>
      <c r="X342" t="s">
        <v>309</v>
      </c>
      <c r="AD342" s="92">
        <f t="shared" si="383"/>
        <v>183.02768950238152</v>
      </c>
      <c r="AE342" s="92">
        <f t="shared" si="383"/>
        <v>186.67648943509457</v>
      </c>
      <c r="AF342" s="92">
        <f t="shared" si="383"/>
        <v>190.58874326120974</v>
      </c>
      <c r="AG342" s="92">
        <f t="shared" si="383"/>
        <v>194.41859358057516</v>
      </c>
      <c r="AH342" s="92">
        <f t="shared" si="383"/>
        <v>198.30674505316509</v>
      </c>
      <c r="AI342" s="92">
        <f t="shared" si="383"/>
        <v>198.30674505316509</v>
      </c>
      <c r="AJ342" s="92">
        <f t="shared" si="383"/>
        <v>198.30674505316509</v>
      </c>
      <c r="AK342" s="92">
        <f t="shared" si="383"/>
        <v>198.30674505316509</v>
      </c>
      <c r="AL342" s="92">
        <f t="shared" si="383"/>
        <v>198.30674505316509</v>
      </c>
      <c r="AM342" s="92">
        <f t="shared" si="383"/>
        <v>198.30674505316509</v>
      </c>
      <c r="AN342" t="s">
        <v>310</v>
      </c>
      <c r="AO342" s="95">
        <f t="shared" ref="AO342:BB342" si="398">AO298-AO321</f>
        <v>-1.0535842648799365E-2</v>
      </c>
      <c r="AP342" s="95">
        <f t="shared" si="398"/>
        <v>-2.2671975506592723E-2</v>
      </c>
      <c r="AQ342" s="95">
        <f t="shared" si="398"/>
        <v>-1.8437376493676827E-2</v>
      </c>
      <c r="AR342" s="95">
        <f t="shared" si="398"/>
        <v>-3.505426548991819E-2</v>
      </c>
      <c r="AS342" s="95">
        <f t="shared" si="398"/>
        <v>-6.5248687650161119E-2</v>
      </c>
      <c r="AT342" s="95">
        <f t="shared" si="398"/>
        <v>-6.496201873861529E-2</v>
      </c>
      <c r="AU342" s="95">
        <f t="shared" si="398"/>
        <v>-6.5290612096599157E-2</v>
      </c>
      <c r="AV342" s="95">
        <f t="shared" si="398"/>
        <v>-8.2664550356343805E-2</v>
      </c>
      <c r="AW342" s="95">
        <f t="shared" si="398"/>
        <v>-0.11475669536703978</v>
      </c>
      <c r="AX342" s="95">
        <f t="shared" si="398"/>
        <v>-0.16189426246300972</v>
      </c>
      <c r="AY342" s="95">
        <f t="shared" si="398"/>
        <v>-0.19706259318683858</v>
      </c>
      <c r="AZ342" s="95">
        <f t="shared" si="398"/>
        <v>-0.24645592842570577</v>
      </c>
      <c r="BA342" s="95" t="e">
        <f t="shared" si="398"/>
        <v>#DIV/0!</v>
      </c>
      <c r="BB342" s="95" t="e">
        <f t="shared" si="398"/>
        <v>#DIV/0!</v>
      </c>
    </row>
    <row r="343" spans="1:54" x14ac:dyDescent="0.45">
      <c r="A343" s="9" t="str">
        <v>WX334</v>
      </c>
      <c r="B343" t="s">
        <v>295</v>
      </c>
      <c r="C343" s="9" t="s">
        <v>275</v>
      </c>
      <c r="E343" s="173">
        <f t="shared" si="376"/>
        <v>593027.26959419169</v>
      </c>
      <c r="F343" s="172">
        <f>IF($B$3="Prices",(F125*F38),IF($B$3="Costs",'Re-scaled copper costs'!V114,"Error"))</f>
        <v>593027.26959419169</v>
      </c>
      <c r="G343" s="172">
        <f>IF($B$3="Prices",(G125*G38),IF($B$3="Costs",'Re-scaled copper costs'!W114,"Error"))</f>
        <v>941858.70976922824</v>
      </c>
      <c r="H343" s="172">
        <f>IF($B$3="Prices",(H125*H38),IF($B$3="Costs",'Re-scaled copper costs'!X114,"Error"))</f>
        <v>1633470.6604407569</v>
      </c>
      <c r="I343" s="24">
        <f>IF($B$3="Prices",(I125*I38),IF($B$3="Costs",'Top Down inputs'!G250,"Error"))</f>
        <v>1602607.2321606528</v>
      </c>
      <c r="J343" s="24">
        <f>IF($B$3="Prices",(J125*J38),IF($B$3="Costs",'Top Down inputs'!H250,"Error"))</f>
        <v>2087949.7695612859</v>
      </c>
      <c r="K343" s="24">
        <f>IF($B$3="Prices",(K125*K38),IF($B$3="Costs",'Top Down inputs'!I250,"Error"))</f>
        <v>2301547.7140457933</v>
      </c>
      <c r="L343" s="24">
        <f>IF($B$3="Prices",(L125*L38),IF($B$3="Costs",'Top Down inputs'!J250,"Error"))</f>
        <v>2645448.5079010162</v>
      </c>
      <c r="M343" s="24">
        <f>IF($B$3="Prices",(M125*M38),IF($B$3="Costs",'Top Down inputs'!K250,"Error"))</f>
        <v>3103297.3754939875</v>
      </c>
      <c r="N343" s="24">
        <f>IF($B$3="Prices",(N125*N38),IF($B$3="Costs",'Top Down inputs'!L250,"Error"))</f>
        <v>3814168.4979842827</v>
      </c>
      <c r="O343" s="69">
        <f t="shared" si="377"/>
        <v>3809577.0931291105</v>
      </c>
      <c r="P343" s="69">
        <f t="shared" si="377"/>
        <v>3804663.1058293325</v>
      </c>
      <c r="Q343" s="69">
        <f t="shared" si="377"/>
        <v>0</v>
      </c>
      <c r="R343" s="69">
        <f t="shared" si="377"/>
        <v>0</v>
      </c>
      <c r="S343" s="69">
        <f t="shared" si="377"/>
        <v>0</v>
      </c>
      <c r="W343" t="s">
        <v>378</v>
      </c>
      <c r="X343" t="s">
        <v>310</v>
      </c>
      <c r="AD343" s="92">
        <f t="shared" si="383"/>
        <v>101.02539873978357</v>
      </c>
      <c r="AE343" s="92">
        <f t="shared" si="383"/>
        <v>103.03941896331501</v>
      </c>
      <c r="AF343" s="92">
        <f t="shared" si="383"/>
        <v>105.1988572637662</v>
      </c>
      <c r="AG343" s="92">
        <f t="shared" si="383"/>
        <v>107.31281147845098</v>
      </c>
      <c r="AH343" s="92">
        <f t="shared" si="383"/>
        <v>109.45894605484776</v>
      </c>
      <c r="AI343" s="92">
        <f t="shared" si="383"/>
        <v>109.45894605484776</v>
      </c>
      <c r="AJ343" s="92">
        <f t="shared" si="383"/>
        <v>109.45894605484776</v>
      </c>
      <c r="AK343" s="92">
        <f t="shared" si="383"/>
        <v>109.45894605484776</v>
      </c>
      <c r="AL343" s="92">
        <f t="shared" si="383"/>
        <v>109.45894605484776</v>
      </c>
      <c r="AM343" s="92">
        <f t="shared" si="383"/>
        <v>109.45894605484776</v>
      </c>
      <c r="AN343" t="s">
        <v>311</v>
      </c>
      <c r="AO343" s="95">
        <f t="shared" ref="AO343:BB343" si="399">AO299-AO322</f>
        <v>-2.6910256366349111E-3</v>
      </c>
      <c r="AP343" s="95">
        <f t="shared" si="399"/>
        <v>-2.4260486742310981E-3</v>
      </c>
      <c r="AQ343" s="95">
        <f t="shared" si="399"/>
        <v>-2.850239648438186E-3</v>
      </c>
      <c r="AR343" s="95">
        <f t="shared" si="399"/>
        <v>-4.661364255557035E-3</v>
      </c>
      <c r="AS343" s="95">
        <f t="shared" si="399"/>
        <v>-6.9536664844898326E-3</v>
      </c>
      <c r="AT343" s="95">
        <f t="shared" si="399"/>
        <v>-6.9761782086437477E-3</v>
      </c>
      <c r="AU343" s="95">
        <f t="shared" si="399"/>
        <v>-7.0587656676235951E-3</v>
      </c>
      <c r="AV343" s="95">
        <f t="shared" si="399"/>
        <v>-9.4284311114994582E-3</v>
      </c>
      <c r="AW343" s="95">
        <f t="shared" si="399"/>
        <v>-1.3790619784195057E-2</v>
      </c>
      <c r="AX343" s="95">
        <f t="shared" si="399"/>
        <v>-2.0273490336815341E-2</v>
      </c>
      <c r="AY343" s="95">
        <f t="shared" si="399"/>
        <v>-2.4974112518035975E-2</v>
      </c>
      <c r="AZ343" s="95">
        <f t="shared" si="399"/>
        <v>-3.112449267300765E-2</v>
      </c>
      <c r="BA343" s="95" t="e">
        <f t="shared" si="399"/>
        <v>#DIV/0!</v>
      </c>
      <c r="BB343" s="95" t="e">
        <f t="shared" si="399"/>
        <v>#DIV/0!</v>
      </c>
    </row>
    <row r="344" spans="1:54" x14ac:dyDescent="0.45">
      <c r="A344" s="9" t="str">
        <v>WN333</v>
      </c>
      <c r="B344" t="s">
        <v>296</v>
      </c>
      <c r="C344" s="9" t="s">
        <v>3</v>
      </c>
      <c r="E344" s="173">
        <f t="shared" si="376"/>
        <v>226790.57915259601</v>
      </c>
      <c r="F344" s="172">
        <f>IF($B$3="Prices",(F126*F39),IF($B$3="Costs",'Re-scaled copper costs'!V115,"Error"))</f>
        <v>226790.57915259601</v>
      </c>
      <c r="G344" s="172">
        <f>IF($B$3="Prices",(G126*G39),IF($B$3="Costs",'Re-scaled copper costs'!W115,"Error"))</f>
        <v>433241.61940380337</v>
      </c>
      <c r="H344" s="172">
        <f>IF($B$3="Prices",(H126*H39),IF($B$3="Costs",'Re-scaled copper costs'!X115,"Error"))</f>
        <v>157177.6606907885</v>
      </c>
      <c r="I344" s="24">
        <f>IF($B$3="Prices",(I126*I39),IF($B$3="Costs",'Top Down inputs'!G251,"Error"))</f>
        <v>154590.75366520029</v>
      </c>
      <c r="J344" s="24">
        <f>IF($B$3="Prices",(J126*J39),IF($B$3="Costs",'Top Down inputs'!H251,"Error"))</f>
        <v>170369.09565306082</v>
      </c>
      <c r="K344" s="24">
        <f>IF($B$3="Prices",(K126*K39),IF($B$3="Costs",'Top Down inputs'!I251,"Error"))</f>
        <v>174315.41735422361</v>
      </c>
      <c r="L344" s="24">
        <f>IF($B$3="Prices",(L126*L39),IF($B$3="Costs",'Top Down inputs'!J251,"Error"))</f>
        <v>180917.96770039175</v>
      </c>
      <c r="M344" s="24">
        <f>IF($B$3="Prices",(M126*M39),IF($B$3="Costs",'Top Down inputs'!K251,"Error"))</f>
        <v>184197.07897963541</v>
      </c>
      <c r="N344" s="24">
        <f>IF($B$3="Prices",(N126*N39),IF($B$3="Costs",'Top Down inputs'!L251,"Error"))</f>
        <v>354261.15623530274</v>
      </c>
      <c r="O344" s="69">
        <f t="shared" si="377"/>
        <v>353834.70512450434</v>
      </c>
      <c r="P344" s="69">
        <f t="shared" si="377"/>
        <v>353378.29245593317</v>
      </c>
      <c r="Q344" s="69">
        <f t="shared" si="377"/>
        <v>0</v>
      </c>
      <c r="R344" s="69">
        <f t="shared" si="377"/>
        <v>0</v>
      </c>
      <c r="S344" s="69">
        <f t="shared" si="377"/>
        <v>0</v>
      </c>
      <c r="W344" t="s">
        <v>379</v>
      </c>
      <c r="X344" t="s">
        <v>311</v>
      </c>
      <c r="AD344" s="92">
        <f t="shared" si="383"/>
        <v>153.05144733978463</v>
      </c>
      <c r="AE344" s="92">
        <f t="shared" si="383"/>
        <v>156.10264747389206</v>
      </c>
      <c r="AF344" s="92">
        <f t="shared" si="383"/>
        <v>159.37415306998793</v>
      </c>
      <c r="AG344" s="92">
        <f t="shared" si="383"/>
        <v>162.57675119089129</v>
      </c>
      <c r="AH344" s="92">
        <f t="shared" si="383"/>
        <v>165.82810191259978</v>
      </c>
      <c r="AI344" s="92">
        <f t="shared" si="383"/>
        <v>165.82810191259978</v>
      </c>
      <c r="AJ344" s="92">
        <f t="shared" si="383"/>
        <v>165.82810191259978</v>
      </c>
      <c r="AK344" s="92">
        <f t="shared" si="383"/>
        <v>165.82810191259978</v>
      </c>
      <c r="AL344" s="92">
        <f t="shared" si="383"/>
        <v>165.82810191259978</v>
      </c>
      <c r="AM344" s="92">
        <f t="shared" si="383"/>
        <v>165.82810191259978</v>
      </c>
      <c r="AN344" t="s">
        <v>312</v>
      </c>
      <c r="AO344" s="95">
        <f t="shared" ref="AO344:BB344" si="400">AO300-AO323</f>
        <v>5.4157979292504405E-3</v>
      </c>
      <c r="AP344" s="95">
        <f t="shared" si="400"/>
        <v>7.7223444124000645E-4</v>
      </c>
      <c r="AQ344" s="95">
        <f t="shared" si="400"/>
        <v>-1.6840279658758246E-2</v>
      </c>
      <c r="AR344" s="95">
        <f t="shared" si="400"/>
        <v>-2.2161746911949654E-2</v>
      </c>
      <c r="AS344" s="95">
        <f t="shared" si="400"/>
        <v>-2.5631326379232221E-2</v>
      </c>
      <c r="AT344" s="95">
        <f t="shared" si="400"/>
        <v>-2.544510334479402E-2</v>
      </c>
      <c r="AU344" s="95">
        <f t="shared" si="400"/>
        <v>-2.5381984343904977E-2</v>
      </c>
      <c r="AV344" s="95">
        <f t="shared" si="400"/>
        <v>-3.0160859533078243E-2</v>
      </c>
      <c r="AW344" s="95">
        <f t="shared" si="400"/>
        <v>-3.9229193761934636E-2</v>
      </c>
      <c r="AX344" s="95">
        <f t="shared" si="400"/>
        <v>-5.2526431060423102E-2</v>
      </c>
      <c r="AY344" s="95">
        <f t="shared" si="400"/>
        <v>-6.2979721170016115E-2</v>
      </c>
      <c r="AZ344" s="95">
        <f t="shared" si="400"/>
        <v>-7.8913732719929394E-2</v>
      </c>
      <c r="BA344" s="95" t="e">
        <f t="shared" si="400"/>
        <v>#DIV/0!</v>
      </c>
      <c r="BB344" s="95" t="e">
        <f t="shared" si="400"/>
        <v>#DIV/0!</v>
      </c>
    </row>
    <row r="345" spans="1:54" x14ac:dyDescent="0.45">
      <c r="A345" s="9" t="str">
        <v>WX335</v>
      </c>
      <c r="B345" t="s">
        <v>297</v>
      </c>
      <c r="C345" s="9" t="s">
        <v>3</v>
      </c>
      <c r="E345" s="173">
        <f t="shared" si="376"/>
        <v>132321.48417800805</v>
      </c>
      <c r="F345" s="172">
        <f>IF($B$3="Prices",(F127*F40),IF($B$3="Costs",'Re-scaled copper costs'!V116,"Error"))</f>
        <v>132321.48417800805</v>
      </c>
      <c r="G345" s="172">
        <f>IF($B$3="Prices",(G127*G40),IF($B$3="Costs",'Re-scaled copper costs'!W116,"Error"))</f>
        <v>98305.50560415299</v>
      </c>
      <c r="H345" s="172">
        <f>IF($B$3="Prices",(H127*H40),IF($B$3="Costs",'Re-scaled copper costs'!X116,"Error"))</f>
        <v>26755.186030927434</v>
      </c>
      <c r="I345" s="24">
        <f>IF($B$3="Prices",(I127*I40),IF($B$3="Costs",'Top Down inputs'!G252,"Error"))</f>
        <v>83688.206828282768</v>
      </c>
      <c r="J345" s="24">
        <f>IF($B$3="Prices",(J127*J40),IF($B$3="Costs",'Top Down inputs'!H252,"Error"))</f>
        <v>93645.658836893883</v>
      </c>
      <c r="K345" s="24">
        <f>IF($B$3="Prices",(K127*K40),IF($B$3="Costs",'Top Down inputs'!I252,"Error"))</f>
        <v>101019.1695613894</v>
      </c>
      <c r="L345" s="24">
        <f>IF($B$3="Prices",(L127*L40),IF($B$3="Costs",'Top Down inputs'!J252,"Error"))</f>
        <v>106802.20171435391</v>
      </c>
      <c r="M345" s="24">
        <f>IF($B$3="Prices",(M127*M40),IF($B$3="Costs",'Top Down inputs'!K252,"Error"))</f>
        <v>114090.91113913685</v>
      </c>
      <c r="N345" s="24">
        <f>IF($B$3="Prices",(N127*N40),IF($B$3="Costs",'Top Down inputs'!L252,"Error"))</f>
        <v>1599379.7270533859</v>
      </c>
      <c r="O345" s="69">
        <f t="shared" si="377"/>
        <v>1597454.4319732294</v>
      </c>
      <c r="P345" s="69">
        <f t="shared" si="377"/>
        <v>1595393.8697116468</v>
      </c>
      <c r="Q345" s="69">
        <f t="shared" si="377"/>
        <v>0</v>
      </c>
      <c r="R345" s="69">
        <f t="shared" si="377"/>
        <v>0</v>
      </c>
      <c r="S345" s="69">
        <f t="shared" si="377"/>
        <v>0</v>
      </c>
      <c r="W345" t="s">
        <v>380</v>
      </c>
      <c r="X345" t="s">
        <v>312</v>
      </c>
      <c r="AD345" s="92">
        <f t="shared" si="383"/>
        <v>101.60077512144765</v>
      </c>
      <c r="AE345" s="92">
        <f t="shared" si="383"/>
        <v>103.6262659225098</v>
      </c>
      <c r="AF345" s="92">
        <f t="shared" si="383"/>
        <v>105.79800300931808</v>
      </c>
      <c r="AG345" s="92">
        <f t="shared" si="383"/>
        <v>107.92399696195214</v>
      </c>
      <c r="AH345" s="92">
        <f t="shared" si="383"/>
        <v>110.08235455515988</v>
      </c>
      <c r="AI345" s="92">
        <f t="shared" si="383"/>
        <v>110.08235455515988</v>
      </c>
      <c r="AJ345" s="92">
        <f t="shared" si="383"/>
        <v>110.08235455515988</v>
      </c>
      <c r="AK345" s="92">
        <f t="shared" si="383"/>
        <v>110.08235455515988</v>
      </c>
      <c r="AL345" s="92">
        <f t="shared" si="383"/>
        <v>110.08235455515988</v>
      </c>
      <c r="AM345" s="92">
        <f t="shared" si="383"/>
        <v>110.08235455515988</v>
      </c>
    </row>
    <row r="346" spans="1:54" x14ac:dyDescent="0.45">
      <c r="A346" s="9" t="str">
        <v>WN348</v>
      </c>
      <c r="B346" t="s">
        <v>298</v>
      </c>
      <c r="C346" s="9" t="s">
        <v>275</v>
      </c>
      <c r="E346" s="173">
        <f t="shared" si="376"/>
        <v>5420205.8911816645</v>
      </c>
      <c r="F346" s="172">
        <f>IF($B$3="Prices",(F128*F41),IF($B$3="Costs",'Re-scaled copper costs'!V117,"Error"))</f>
        <v>5420205.8911816645</v>
      </c>
      <c r="G346" s="172">
        <f>IF($B$3="Prices",(G128*G41),IF($B$3="Costs",'Re-scaled copper costs'!W117,"Error"))</f>
        <v>12320635.647074005</v>
      </c>
      <c r="H346" s="172">
        <f>IF($B$3="Prices",(H128*H41),IF($B$3="Costs",'Re-scaled copper costs'!X117,"Error"))</f>
        <v>23419779.071069695</v>
      </c>
      <c r="I346" s="24">
        <f>IF($B$3="Prices",(I128*I41),IF($B$3="Costs",'Top Down inputs'!G253,"Error"))</f>
        <v>39351817.251284175</v>
      </c>
      <c r="J346" s="24">
        <f>IF($B$3="Prices",(J128*J41),IF($B$3="Costs",'Top Down inputs'!H253,"Error"))</f>
        <v>56126083.221420556</v>
      </c>
      <c r="K346" s="24">
        <f>IF($B$3="Prices",(K128*K41),IF($B$3="Costs",'Top Down inputs'!I253,"Error"))</f>
        <v>83870948.391767144</v>
      </c>
      <c r="L346" s="24">
        <f>IF($B$3="Prices",(L128*L41),IF($B$3="Costs",'Top Down inputs'!J253,"Error"))</f>
        <v>84684229.131263211</v>
      </c>
      <c r="M346" s="24">
        <f>IF($B$3="Prices",(M128*M41),IF($B$3="Costs",'Top Down inputs'!K253,"Error"))</f>
        <v>66625046.859706216</v>
      </c>
      <c r="N346" s="24">
        <f>IF($B$3="Prices",(N128*N41),IF($B$3="Costs",'Top Down inputs'!L253,"Error"))</f>
        <v>39871783.184509337</v>
      </c>
      <c r="O346" s="69">
        <f t="shared" si="377"/>
        <v>0</v>
      </c>
      <c r="P346" s="69">
        <f t="shared" si="377"/>
        <v>0</v>
      </c>
      <c r="Q346" s="69">
        <f t="shared" si="377"/>
        <v>0</v>
      </c>
      <c r="R346" s="69">
        <f t="shared" si="377"/>
        <v>0</v>
      </c>
      <c r="S346" s="69">
        <f t="shared" si="377"/>
        <v>0</v>
      </c>
    </row>
    <row r="347" spans="1:54" x14ac:dyDescent="0.45">
      <c r="A347" s="9" t="str">
        <v>WN350</v>
      </c>
      <c r="B347" t="s">
        <v>300</v>
      </c>
      <c r="C347" s="9" t="s">
        <v>275</v>
      </c>
      <c r="E347" s="173">
        <f t="shared" si="376"/>
        <v>18078785.291532371</v>
      </c>
      <c r="F347" s="172">
        <f>IF($B$3="Prices",(F129*F42),IF($B$3="Costs",'Re-scaled copper costs'!V118,"Error"))</f>
        <v>18078785.291532371</v>
      </c>
      <c r="G347" s="172">
        <f>IF($B$3="Prices",(G129*G42),IF($B$3="Costs",'Re-scaled copper costs'!W118,"Error"))</f>
        <v>37965171.070946686</v>
      </c>
      <c r="H347" s="172">
        <f>IF($B$3="Prices",(H129*H42),IF($B$3="Costs",'Re-scaled copper costs'!X118,"Error"))</f>
        <v>69316857.995637521</v>
      </c>
      <c r="I347" s="24">
        <f>IF($B$3="Prices",(I129*I42),IF($B$3="Costs",'Top Down inputs'!G254,"Error"))</f>
        <v>88164215.67208156</v>
      </c>
      <c r="J347" s="24">
        <f>IF($B$3="Prices",(J129*J42),IF($B$3="Costs",'Top Down inputs'!H254,"Error"))</f>
        <v>121784262.1764439</v>
      </c>
      <c r="K347" s="24">
        <f>IF($B$3="Prices",(K129*K42),IF($B$3="Costs",'Top Down inputs'!I254,"Error"))</f>
        <v>127929018.61845911</v>
      </c>
      <c r="L347" s="24">
        <f>IF($B$3="Prices",(L129*L42),IF($B$3="Costs",'Top Down inputs'!J254,"Error"))</f>
        <v>118396590.53048921</v>
      </c>
      <c r="M347" s="24">
        <f>IF($B$3="Prices",(M129*M42),IF($B$3="Costs",'Top Down inputs'!K254,"Error"))</f>
        <v>118193702.3111077</v>
      </c>
      <c r="N347" s="24">
        <f>IF($B$3="Prices",(N129*N42),IF($B$3="Costs",'Top Down inputs'!L254,"Error"))</f>
        <v>123079014.74807405</v>
      </c>
      <c r="O347" s="69">
        <f t="shared" si="377"/>
        <v>103932287.2234298</v>
      </c>
      <c r="P347" s="69">
        <f t="shared" si="377"/>
        <v>50439768.856899463</v>
      </c>
      <c r="Q347" s="69">
        <f t="shared" si="377"/>
        <v>0</v>
      </c>
      <c r="R347" s="69">
        <f t="shared" si="377"/>
        <v>0</v>
      </c>
      <c r="S347" s="69">
        <f t="shared" si="377"/>
        <v>0</v>
      </c>
    </row>
    <row r="348" spans="1:54" x14ac:dyDescent="0.45">
      <c r="A348" s="9" t="str">
        <v>WX349</v>
      </c>
      <c r="B348" t="s">
        <v>301</v>
      </c>
      <c r="C348" s="9" t="s">
        <v>275</v>
      </c>
      <c r="E348" s="173">
        <f t="shared" si="376"/>
        <v>3144206.8287478699</v>
      </c>
      <c r="F348" s="172">
        <f>IF($B$3="Prices",(F130*F43),IF($B$3="Costs",'Re-scaled copper costs'!V119,"Error"))</f>
        <v>3144206.8287478699</v>
      </c>
      <c r="G348" s="172">
        <f>IF($B$3="Prices",(G130*G43),IF($B$3="Costs",'Re-scaled copper costs'!W119,"Error"))</f>
        <v>8997028.014206728</v>
      </c>
      <c r="H348" s="172">
        <f>IF($B$3="Prices",(H130*H43),IF($B$3="Costs",'Re-scaled copper costs'!X119,"Error"))</f>
        <v>14212366.551949956</v>
      </c>
      <c r="I348" s="24">
        <f>IF($B$3="Prices",(I130*I43),IF($B$3="Costs",'Top Down inputs'!G255,"Error"))</f>
        <v>25266762.579094417</v>
      </c>
      <c r="J348" s="24">
        <f>IF($B$3="Prices",(J130*J43),IF($B$3="Costs",'Top Down inputs'!H255,"Error"))</f>
        <v>36640344.494539246</v>
      </c>
      <c r="K348" s="24">
        <f>IF($B$3="Prices",(K130*K43),IF($B$3="Costs",'Top Down inputs'!I255,"Error"))</f>
        <v>54715966.150511876</v>
      </c>
      <c r="L348" s="24">
        <f>IF($B$3="Prices",(L130*L43),IF($B$3="Costs",'Top Down inputs'!J255,"Error"))</f>
        <v>55947641.511443779</v>
      </c>
      <c r="M348" s="24">
        <f>IF($B$3="Prices",(M130*M43),IF($B$3="Costs",'Top Down inputs'!K255,"Error"))</f>
        <v>43189399.275737137</v>
      </c>
      <c r="N348" s="24">
        <f>IF($B$3="Prices",(N130*N43),IF($B$3="Costs",'Top Down inputs'!L255,"Error"))</f>
        <v>25997331.644989777</v>
      </c>
      <c r="O348" s="69">
        <f t="shared" si="377"/>
        <v>0</v>
      </c>
      <c r="P348" s="69">
        <f t="shared" si="377"/>
        <v>0</v>
      </c>
      <c r="Q348" s="69">
        <f t="shared" si="377"/>
        <v>0</v>
      </c>
      <c r="R348" s="69">
        <f t="shared" si="377"/>
        <v>0</v>
      </c>
      <c r="S348" s="69">
        <f t="shared" si="377"/>
        <v>0</v>
      </c>
      <c r="X348" s="5"/>
      <c r="Y348" s="28"/>
      <c r="Z348" s="28"/>
      <c r="AA348" s="28"/>
      <c r="AB348" s="28"/>
      <c r="AC348" s="28"/>
      <c r="AD348" s="28"/>
      <c r="AE348" s="28"/>
      <c r="AF348" s="28"/>
      <c r="AG348" s="28"/>
      <c r="AH348" s="28"/>
      <c r="AI348" s="28"/>
      <c r="AJ348" s="28"/>
      <c r="AK348" s="28"/>
      <c r="AL348" s="28"/>
      <c r="AM348" s="28"/>
    </row>
    <row r="349" spans="1:54" x14ac:dyDescent="0.45">
      <c r="A349" s="9" t="str">
        <v>WX351</v>
      </c>
      <c r="B349" t="s">
        <v>302</v>
      </c>
      <c r="C349" s="9" t="s">
        <v>275</v>
      </c>
      <c r="E349" s="173">
        <f t="shared" si="376"/>
        <v>10050385.358118236</v>
      </c>
      <c r="F349" s="172">
        <f>IF($B$3="Prices",(F131*F44),IF($B$3="Costs",'Re-scaled copper costs'!V120,"Error"))</f>
        <v>10050385.358118236</v>
      </c>
      <c r="G349" s="172">
        <f>IF($B$3="Prices",(G131*G44),IF($B$3="Costs",'Re-scaled copper costs'!W120,"Error"))</f>
        <v>22545024.387115646</v>
      </c>
      <c r="H349" s="172">
        <f>IF($B$3="Prices",(H131*H44),IF($B$3="Costs",'Re-scaled copper costs'!X120,"Error"))</f>
        <v>36439868.909765646</v>
      </c>
      <c r="I349" s="24">
        <f>IF($B$3="Prices",(I131*I44),IF($B$3="Costs",'Top Down inputs'!G256,"Error"))</f>
        <v>51867784.234193511</v>
      </c>
      <c r="J349" s="24">
        <f>IF($B$3="Prices",(J131*J44),IF($B$3="Costs",'Top Down inputs'!H256,"Error"))</f>
        <v>72972546.358376086</v>
      </c>
      <c r="K349" s="24">
        <f>IF($B$3="Prices",(K131*K44),IF($B$3="Costs",'Top Down inputs'!I256,"Error"))</f>
        <v>77429536.259655312</v>
      </c>
      <c r="L349" s="24">
        <f>IF($B$3="Prices",(L131*L44),IF($B$3="Costs",'Top Down inputs'!J256,"Error"))</f>
        <v>71761585.810488939</v>
      </c>
      <c r="M349" s="24">
        <f>IF($B$3="Prices",(M131*M44),IF($B$3="Costs",'Top Down inputs'!K256,"Error"))</f>
        <v>72057153.20176287</v>
      </c>
      <c r="N349" s="24">
        <f>IF($B$3="Prices",(N131*N44),IF($B$3="Costs",'Top Down inputs'!L256,"Error"))</f>
        <v>74984567.826283216</v>
      </c>
      <c r="O349" s="69">
        <f t="shared" si="377"/>
        <v>63319629.7240263</v>
      </c>
      <c r="P349" s="69">
        <f t="shared" si="377"/>
        <v>30729887.436407272</v>
      </c>
      <c r="Q349" s="69">
        <f t="shared" si="377"/>
        <v>0</v>
      </c>
      <c r="R349" s="69">
        <f t="shared" si="377"/>
        <v>0</v>
      </c>
      <c r="S349" s="69">
        <f t="shared" si="377"/>
        <v>0</v>
      </c>
      <c r="X349" s="5"/>
      <c r="Y349" s="28"/>
      <c r="Z349" s="28"/>
      <c r="AA349" s="28"/>
      <c r="AB349" s="28"/>
      <c r="AC349" s="28"/>
      <c r="AD349" s="28"/>
      <c r="AE349" s="28"/>
      <c r="AF349" s="28"/>
      <c r="AG349" s="28"/>
      <c r="AH349" s="28"/>
      <c r="AI349" s="28"/>
      <c r="AJ349" s="28"/>
      <c r="AK349" s="28"/>
      <c r="AL349" s="28"/>
      <c r="AM349" s="28"/>
    </row>
    <row r="350" spans="1:54" x14ac:dyDescent="0.45">
      <c r="A350" s="9" t="str">
        <v>WX355</v>
      </c>
      <c r="B350" t="s">
        <v>303</v>
      </c>
      <c r="C350" s="9" t="s">
        <v>3</v>
      </c>
      <c r="E350" s="173">
        <f t="shared" si="376"/>
        <v>10374445.316489698</v>
      </c>
      <c r="F350" s="172">
        <f>IF($B$3="Prices",(F132*F45),IF($B$3="Costs",'Re-scaled copper costs'!V121,"Error"))</f>
        <v>10374445.316489698</v>
      </c>
      <c r="G350" s="172">
        <f>IF($B$3="Prices",(G132*G45),IF($B$3="Costs",'Re-scaled copper costs'!W121,"Error"))</f>
        <v>13445352.181877663</v>
      </c>
      <c r="H350" s="172">
        <f>IF($B$3="Prices",(H132*H45),IF($B$3="Costs",'Re-scaled copper costs'!X121,"Error"))</f>
        <v>11201649.612386065</v>
      </c>
      <c r="I350" s="24">
        <f>IF($B$3="Prices",(I132*I45),IF($B$3="Costs",'Top Down inputs'!G257,"Error"))</f>
        <v>16520021.281966731</v>
      </c>
      <c r="J350" s="24">
        <f>IF($B$3="Prices",(J132*J45),IF($B$3="Costs",'Top Down inputs'!H257,"Error"))</f>
        <v>16392709.809812</v>
      </c>
      <c r="K350" s="24">
        <f>IF($B$3="Prices",(K132*K45),IF($B$3="Costs",'Top Down inputs'!I257,"Error"))</f>
        <v>11682260.904066749</v>
      </c>
      <c r="L350" s="24">
        <f>IF($B$3="Prices",(L132*L45),IF($B$3="Costs",'Top Down inputs'!J257,"Error"))</f>
        <v>11286748.805946702</v>
      </c>
      <c r="M350" s="24">
        <f>IF($B$3="Prices",(M132*M45),IF($B$3="Costs",'Top Down inputs'!K257,"Error"))</f>
        <v>9220837.2487839218</v>
      </c>
      <c r="N350" s="24">
        <f>IF($B$3="Prices",(N132*N45),IF($B$3="Costs",'Top Down inputs'!L257,"Error"))</f>
        <v>0</v>
      </c>
      <c r="O350" s="69">
        <f t="shared" si="377"/>
        <v>0</v>
      </c>
      <c r="P350" s="69">
        <f t="shared" si="377"/>
        <v>0</v>
      </c>
      <c r="Q350" s="69">
        <f t="shared" si="377"/>
        <v>0</v>
      </c>
      <c r="R350" s="69">
        <f t="shared" si="377"/>
        <v>0</v>
      </c>
      <c r="S350" s="69">
        <f t="shared" si="377"/>
        <v>0</v>
      </c>
    </row>
    <row r="351" spans="1:54" x14ac:dyDescent="0.45">
      <c r="A351" s="9" t="str">
        <v>WN354</v>
      </c>
      <c r="B351" t="s">
        <v>304</v>
      </c>
      <c r="C351" s="9" t="s">
        <v>3</v>
      </c>
      <c r="E351" s="173">
        <f t="shared" si="376"/>
        <v>13410072.90125308</v>
      </c>
      <c r="F351" s="172">
        <f>IF($B$3="Prices",(F133*F46),IF($B$3="Costs",'Re-scaled copper costs'!V122,"Error"))</f>
        <v>13410072.90125308</v>
      </c>
      <c r="G351" s="172">
        <f>IF($B$3="Prices",(G133*G46),IF($B$3="Costs",'Re-scaled copper costs'!W122,"Error"))</f>
        <v>28983382.661390245</v>
      </c>
      <c r="H351" s="172">
        <f>IF($B$3="Prices",(H133*H46),IF($B$3="Costs",'Re-scaled copper costs'!X122,"Error"))</f>
        <v>17789148.45971252</v>
      </c>
      <c r="I351" s="24">
        <f>IF($B$3="Prices",(I133*I46),IF($B$3="Costs",'Top Down inputs'!G258,"Error"))</f>
        <v>26430171.576277088</v>
      </c>
      <c r="J351" s="24">
        <f>IF($B$3="Prices",(J133*J46),IF($B$3="Costs",'Top Down inputs'!H258,"Error"))</f>
        <v>26224712.360867344</v>
      </c>
      <c r="K351" s="24">
        <f>IF($B$3="Prices",(K133*K46),IF($B$3="Costs",'Top Down inputs'!I258,"Error"))</f>
        <v>18641278.929277942</v>
      </c>
      <c r="L351" s="24">
        <f>IF($B$3="Prices",(L133*L46),IF($B$3="Costs",'Top Down inputs'!J258,"Error"))</f>
        <v>17997775.554100689</v>
      </c>
      <c r="M351" s="24">
        <f>IF($B$3="Prices",(M133*M46),IF($B$3="Costs",'Top Down inputs'!K258,"Error"))</f>
        <v>14717038.151412269</v>
      </c>
      <c r="N351" s="24">
        <f>IF($B$3="Prices",(N133*N46),IF($B$3="Costs",'Top Down inputs'!L258,"Error"))</f>
        <v>0</v>
      </c>
      <c r="O351" s="69">
        <f t="shared" si="377"/>
        <v>0</v>
      </c>
      <c r="P351" s="69">
        <f t="shared" si="377"/>
        <v>0</v>
      </c>
      <c r="Q351" s="69">
        <f t="shared" si="377"/>
        <v>0</v>
      </c>
      <c r="R351" s="69">
        <f t="shared" si="377"/>
        <v>0</v>
      </c>
      <c r="S351" s="69">
        <f t="shared" si="377"/>
        <v>0</v>
      </c>
    </row>
    <row r="352" spans="1:54" x14ac:dyDescent="0.45">
      <c r="A352" s="9" t="str">
        <v>WN158</v>
      </c>
      <c r="B352" t="s">
        <v>305</v>
      </c>
      <c r="C352" s="9" t="s">
        <v>275</v>
      </c>
      <c r="E352" s="173">
        <f t="shared" si="376"/>
        <v>454696.20194191765</v>
      </c>
      <c r="F352" s="172">
        <f>IF($B$3="Prices",(F134*F47),IF($B$3="Costs",'Re-scaled copper costs'!V123,"Error"))</f>
        <v>454696.20194191765</v>
      </c>
      <c r="G352" s="172">
        <f>IF($B$3="Prices",(G134*G47),IF($B$3="Costs",'Re-scaled copper costs'!W123,"Error"))</f>
        <v>394634.16291012545</v>
      </c>
      <c r="H352" s="172">
        <f>IF($B$3="Prices",(H134*H47),IF($B$3="Costs",'Re-scaled copper costs'!X123,"Error"))</f>
        <v>482213.00356802938</v>
      </c>
      <c r="I352" s="24">
        <f>IF($B$3="Prices",(I134*I47),IF($B$3="Costs",'Top Down inputs'!G259,"Error"))</f>
        <v>950853.62504479301</v>
      </c>
      <c r="J352" s="24">
        <f>IF($B$3="Prices",(J134*J47),IF($B$3="Costs",'Top Down inputs'!H259,"Error"))</f>
        <v>871289.21060392028</v>
      </c>
      <c r="K352" s="24">
        <f>IF($B$3="Prices",(K134*K47),IF($B$3="Costs",'Top Down inputs'!I259,"Error"))</f>
        <v>815523.64112936612</v>
      </c>
      <c r="L352" s="24">
        <f>IF($B$3="Prices",(L134*L47),IF($B$3="Costs",'Top Down inputs'!J259,"Error"))</f>
        <v>661097.10646029096</v>
      </c>
      <c r="M352" s="24">
        <f>IF($B$3="Prices",(M134*M47),IF($B$3="Costs",'Top Down inputs'!K259,"Error"))</f>
        <v>531153.26088980411</v>
      </c>
      <c r="N352" s="24">
        <f>IF($B$3="Prices",(N134*N47),IF($B$3="Costs",'Top Down inputs'!L259,"Error"))</f>
        <v>430825.67165865347</v>
      </c>
      <c r="O352" s="69">
        <f t="shared" si="377"/>
        <v>0</v>
      </c>
      <c r="P352" s="69">
        <f t="shared" si="377"/>
        <v>0</v>
      </c>
      <c r="Q352" s="69">
        <f t="shared" si="377"/>
        <v>0</v>
      </c>
      <c r="R352" s="69">
        <f t="shared" si="377"/>
        <v>0</v>
      </c>
      <c r="S352" s="69">
        <f t="shared" si="377"/>
        <v>0</v>
      </c>
    </row>
    <row r="353" spans="1:19" x14ac:dyDescent="0.45">
      <c r="A353" s="9" t="str">
        <v>WX135</v>
      </c>
      <c r="B353" t="s">
        <v>306</v>
      </c>
      <c r="C353" s="9" t="s">
        <v>275</v>
      </c>
      <c r="E353" s="173">
        <f t="shared" si="376"/>
        <v>146233.89894194217</v>
      </c>
      <c r="F353" s="172">
        <f>IF($B$3="Prices",(F135*F48),IF($B$3="Costs",'Re-scaled copper costs'!V124,"Error"))</f>
        <v>146233.89894194217</v>
      </c>
      <c r="G353" s="172">
        <f>IF($B$3="Prices",(G135*G48),IF($B$3="Costs",'Re-scaled copper costs'!W124,"Error"))</f>
        <v>77990.426874670127</v>
      </c>
      <c r="H353" s="172">
        <f>IF($B$3="Prices",(H135*H48),IF($B$3="Costs",'Re-scaled copper costs'!X124,"Error"))</f>
        <v>74190.245695660735</v>
      </c>
      <c r="I353" s="24">
        <f>IF($B$3="Prices",(I135*I48),IF($B$3="Costs",'Top Down inputs'!G260,"Error"))</f>
        <v>118569.27772915576</v>
      </c>
      <c r="J353" s="24">
        <f>IF($B$3="Prices",(J135*J48),IF($B$3="Costs",'Top Down inputs'!H260,"Error"))</f>
        <v>108672.55821702306</v>
      </c>
      <c r="K353" s="24">
        <f>IF($B$3="Prices",(K135*K48),IF($B$3="Costs",'Top Down inputs'!I260,"Error"))</f>
        <v>99423.580642610526</v>
      </c>
      <c r="L353" s="24">
        <f>IF($B$3="Prices",(L135*L48),IF($B$3="Costs",'Top Down inputs'!J260,"Error"))</f>
        <v>80195.490022954473</v>
      </c>
      <c r="M353" s="24">
        <f>IF($B$3="Prices",(M135*M48),IF($B$3="Costs",'Top Down inputs'!K260,"Error"))</f>
        <v>63936.160034212277</v>
      </c>
      <c r="N353" s="24">
        <f>IF($B$3="Prices",(N135*N48),IF($B$3="Costs",'Top Down inputs'!L260,"Error"))</f>
        <v>51143.329355988557</v>
      </c>
      <c r="O353" s="69">
        <f t="shared" si="377"/>
        <v>0</v>
      </c>
      <c r="P353" s="69">
        <f t="shared" si="377"/>
        <v>0</v>
      </c>
      <c r="Q353" s="69">
        <f t="shared" si="377"/>
        <v>0</v>
      </c>
      <c r="R353" s="69">
        <f t="shared" si="377"/>
        <v>0</v>
      </c>
      <c r="S353" s="69">
        <f t="shared" si="377"/>
        <v>0</v>
      </c>
    </row>
    <row r="354" spans="1:19" x14ac:dyDescent="0.45">
      <c r="A354" s="9" t="str">
        <v>WN138</v>
      </c>
      <c r="B354" t="s">
        <v>307</v>
      </c>
      <c r="C354" s="9" t="s">
        <v>3</v>
      </c>
      <c r="E354" s="173">
        <f t="shared" si="376"/>
        <v>204779.12402842095</v>
      </c>
      <c r="F354" s="172">
        <f>IF($B$3="Prices",(F136*F49),IF($B$3="Costs",'Re-scaled copper costs'!V125,"Error"))</f>
        <v>204779.12402842095</v>
      </c>
      <c r="G354" s="172">
        <f>IF($B$3="Prices",(G136*G49),IF($B$3="Costs",'Re-scaled copper costs'!W125,"Error"))</f>
        <v>486454.36069738318</v>
      </c>
      <c r="H354" s="172">
        <f>IF($B$3="Prices",(H136*H49),IF($B$3="Costs",'Re-scaled copper costs'!X125,"Error"))</f>
        <v>333015.64565313916</v>
      </c>
      <c r="I354" s="24">
        <f>IF($B$3="Prices",(I136*I49),IF($B$3="Costs",'Top Down inputs'!G261,"Error"))</f>
        <v>427534.54690810444</v>
      </c>
      <c r="J354" s="24">
        <f>IF($B$3="Prices",(J136*J49),IF($B$3="Costs",'Top Down inputs'!H261,"Error"))</f>
        <v>326109.17369577603</v>
      </c>
      <c r="K354" s="24">
        <f>IF($B$3="Prices",(K136*K49),IF($B$3="Costs",'Top Down inputs'!I261,"Error"))</f>
        <v>231123.56387647492</v>
      </c>
      <c r="L354" s="24">
        <f>IF($B$3="Prices",(L136*L49),IF($B$3="Costs",'Top Down inputs'!J261,"Error"))</f>
        <v>153702.86607966953</v>
      </c>
      <c r="M354" s="24">
        <f>IF($B$3="Prices",(M136*M49),IF($B$3="Costs",'Top Down inputs'!K261,"Error"))</f>
        <v>95546.354673309004</v>
      </c>
      <c r="N354" s="24">
        <f>IF($B$3="Prices",(N136*N49),IF($B$3="Costs",'Top Down inputs'!L261,"Error"))</f>
        <v>74608.311386963993</v>
      </c>
      <c r="O354" s="69">
        <f t="shared" si="377"/>
        <v>0</v>
      </c>
      <c r="P354" s="69">
        <f t="shared" si="377"/>
        <v>0</v>
      </c>
      <c r="Q354" s="69">
        <f t="shared" si="377"/>
        <v>0</v>
      </c>
      <c r="R354" s="69">
        <f t="shared" si="377"/>
        <v>0</v>
      </c>
      <c r="S354" s="69">
        <f t="shared" si="377"/>
        <v>0</v>
      </c>
    </row>
    <row r="355" spans="1:19" x14ac:dyDescent="0.45">
      <c r="A355" s="9" t="str">
        <v>WX134</v>
      </c>
      <c r="B355" t="s">
        <v>308</v>
      </c>
      <c r="C355" s="9" t="s">
        <v>3</v>
      </c>
      <c r="E355" s="173">
        <f t="shared" si="376"/>
        <v>18582.059611740791</v>
      </c>
      <c r="F355" s="172">
        <f>IF($B$3="Prices",(F137*F50),IF($B$3="Costs",'Re-scaled copper costs'!V126,"Error"))</f>
        <v>18582.059611740791</v>
      </c>
      <c r="G355" s="172">
        <f>IF($B$3="Prices",(G137*G50),IF($B$3="Costs",'Re-scaled copper costs'!W126,"Error"))</f>
        <v>4493.6212216712638</v>
      </c>
      <c r="H355" s="172">
        <f>IF($B$3="Prices",(H137*H50),IF($B$3="Costs",'Re-scaled copper costs'!X126,"Error"))</f>
        <v>764.19061306165406</v>
      </c>
      <c r="I355" s="24">
        <f>IF($B$3="Prices",(I137*I50),IF($B$3="Costs",'Top Down inputs'!G262,"Error"))</f>
        <v>1404.2113359976674</v>
      </c>
      <c r="J355" s="24">
        <f>IF($B$3="Prices",(J137*J50),IF($B$3="Costs",'Top Down inputs'!H262,"Error"))</f>
        <v>1098.6191145517039</v>
      </c>
      <c r="K355" s="24">
        <f>IF($B$3="Prices",(K137*K50),IF($B$3="Costs",'Top Down inputs'!I262,"Error"))</f>
        <v>850.19349602595071</v>
      </c>
      <c r="L355" s="24">
        <f>IF($B$3="Prices",(L137*L50),IF($B$3="Costs",'Top Down inputs'!J262,"Error"))</f>
        <v>601.38294156529332</v>
      </c>
      <c r="M355" s="24">
        <f>IF($B$3="Prices",(M137*M50),IF($B$3="Costs",'Top Down inputs'!K262,"Error"))</f>
        <v>402.19409266781128</v>
      </c>
      <c r="N355" s="24">
        <f>IF($B$3="Prices",(N137*N50),IF($B$3="Costs",'Top Down inputs'!L262,"Error"))</f>
        <v>553.84314657183575</v>
      </c>
      <c r="O355" s="69">
        <f t="shared" si="377"/>
        <v>0</v>
      </c>
      <c r="P355" s="69">
        <f t="shared" si="377"/>
        <v>0</v>
      </c>
      <c r="Q355" s="69">
        <f t="shared" si="377"/>
        <v>0</v>
      </c>
      <c r="R355" s="69">
        <f t="shared" si="377"/>
        <v>0</v>
      </c>
      <c r="S355" s="69">
        <f t="shared" si="377"/>
        <v>0</v>
      </c>
    </row>
    <row r="356" spans="1:19" x14ac:dyDescent="0.45">
      <c r="A356" s="9" t="str">
        <v>SL121</v>
      </c>
      <c r="B356" t="s">
        <v>309</v>
      </c>
      <c r="C356" s="9" t="s">
        <v>275</v>
      </c>
      <c r="E356" s="173">
        <f t="shared" si="376"/>
        <v>2802252.5999390627</v>
      </c>
      <c r="F356" s="172">
        <f>IF($B$3="Prices",(F138*F51),IF($B$3="Costs",'Re-scaled copper costs'!V127,"Error"))</f>
        <v>2802252.5999390627</v>
      </c>
      <c r="G356" s="172">
        <f>IF($B$3="Prices",(G138*G51),IF($B$3="Costs",'Re-scaled copper costs'!W127,"Error"))</f>
        <v>5142324.2615656937</v>
      </c>
      <c r="H356" s="172">
        <f>IF($B$3="Prices",(H138*H51),IF($B$3="Costs",'Re-scaled copper costs'!X127,"Error"))</f>
        <v>6142168.0203742515</v>
      </c>
      <c r="I356" s="24">
        <f>IF($B$3="Prices",(I138*I51),IF($B$3="Costs",'Top Down inputs'!G263,"Error"))</f>
        <v>4645475.9349403698</v>
      </c>
      <c r="J356" s="24">
        <f>IF($B$3="Prices",(J138*J51),IF($B$3="Costs",'Top Down inputs'!H263,"Error"))</f>
        <v>4139144.8279634132</v>
      </c>
      <c r="K356" s="24">
        <f>IF($B$3="Prices",(K138*K51),IF($B$3="Costs",'Top Down inputs'!I263,"Error"))</f>
        <v>2871535.8280919311</v>
      </c>
      <c r="L356" s="24">
        <f>IF($B$3="Prices",(L138*L51),IF($B$3="Costs",'Top Down inputs'!J263,"Error"))</f>
        <v>2095611.4903625669</v>
      </c>
      <c r="M356" s="24">
        <f>IF($B$3="Prices",(M138*M51),IF($B$3="Costs",'Top Down inputs'!K263,"Error"))</f>
        <v>1279674.9775210633</v>
      </c>
      <c r="N356" s="24">
        <f>IF($B$3="Prices",(N138*N51),IF($B$3="Costs",'Top Down inputs'!L263,"Error"))</f>
        <v>362334.22905409505</v>
      </c>
      <c r="O356" s="69">
        <f t="shared" si="377"/>
        <v>183946.51000658949</v>
      </c>
      <c r="P356" s="69">
        <f t="shared" si="377"/>
        <v>156147.30497361222</v>
      </c>
      <c r="Q356" s="69">
        <f t="shared" si="377"/>
        <v>0</v>
      </c>
      <c r="R356" s="69">
        <f t="shared" si="377"/>
        <v>0</v>
      </c>
      <c r="S356" s="69">
        <f t="shared" si="377"/>
        <v>0</v>
      </c>
    </row>
    <row r="357" spans="1:19" x14ac:dyDescent="0.45">
      <c r="A357" s="9" t="str">
        <v>SL122</v>
      </c>
      <c r="B357" t="s">
        <v>310</v>
      </c>
      <c r="C357" s="9" t="s">
        <v>275</v>
      </c>
      <c r="E357" s="173">
        <f t="shared" si="376"/>
        <v>41252244.928042106</v>
      </c>
      <c r="F357" s="172">
        <f>IF($B$3="Prices",(F139*F52),IF($B$3="Costs",'Re-scaled copper costs'!V128,"Error"))</f>
        <v>41252244.928042106</v>
      </c>
      <c r="G357" s="172">
        <f>IF($B$3="Prices",(G139*G52),IF($B$3="Costs",'Re-scaled copper costs'!W128,"Error"))</f>
        <v>63342805.089764014</v>
      </c>
      <c r="H357" s="172">
        <f>IF($B$3="Prices",(H139*H52),IF($B$3="Costs",'Re-scaled copper costs'!X128,"Error"))</f>
        <v>71294455.867250964</v>
      </c>
      <c r="I357" s="24">
        <f>IF($B$3="Prices",(I139*I52),IF($B$3="Costs",'Top Down inputs'!G264,"Error"))</f>
        <v>52329328.069269821</v>
      </c>
      <c r="J357" s="24">
        <f>IF($B$3="Prices",(J139*J52),IF($B$3="Costs",'Top Down inputs'!H264,"Error"))</f>
        <v>48046227.745820306</v>
      </c>
      <c r="K357" s="24">
        <f>IF($B$3="Prices",(K139*K52),IF($B$3="Costs",'Top Down inputs'!I264,"Error"))</f>
        <v>33314526.787297104</v>
      </c>
      <c r="L357" s="24">
        <f>IF($B$3="Prices",(L139*L52),IF($B$3="Costs",'Top Down inputs'!J264,"Error"))</f>
        <v>24351216.581965733</v>
      </c>
      <c r="M357" s="24">
        <f>IF($B$3="Prices",(M139*M52),IF($B$3="Costs",'Top Down inputs'!K264,"Error"))</f>
        <v>14882077.156812865</v>
      </c>
      <c r="N357" s="24">
        <f>IF($B$3="Prices",(N139*N52),IF($B$3="Costs",'Top Down inputs'!L264,"Error"))</f>
        <v>4209046.7895875163</v>
      </c>
      <c r="O357" s="69">
        <f t="shared" si="377"/>
        <v>2136810.175015159</v>
      </c>
      <c r="P357" s="69">
        <f t="shared" si="377"/>
        <v>1813881.3835438201</v>
      </c>
      <c r="Q357" s="69">
        <f t="shared" si="377"/>
        <v>0</v>
      </c>
      <c r="R357" s="69">
        <f t="shared" si="377"/>
        <v>0</v>
      </c>
      <c r="S357" s="69">
        <f t="shared" si="377"/>
        <v>0</v>
      </c>
    </row>
    <row r="358" spans="1:19" x14ac:dyDescent="0.45">
      <c r="A358" s="9" t="str">
        <v>SL150</v>
      </c>
      <c r="B358" t="s">
        <v>311</v>
      </c>
      <c r="C358" s="9" t="s">
        <v>275</v>
      </c>
      <c r="E358" s="173">
        <f t="shared" si="376"/>
        <v>5735435.8187252935</v>
      </c>
      <c r="F358" s="172">
        <f>IF($B$3="Prices",(F140*F53),IF($B$3="Costs",'Re-scaled copper costs'!V129,"Error"))</f>
        <v>5735435.8187252935</v>
      </c>
      <c r="G358" s="172">
        <f>IF($B$3="Prices",(G140*G53),IF($B$3="Costs",'Re-scaled copper costs'!W129,"Error"))</f>
        <v>9506756.6097260956</v>
      </c>
      <c r="H358" s="172">
        <f>IF($B$3="Prices",(H140*H53),IF($B$3="Costs",'Re-scaled copper costs'!X129,"Error"))</f>
        <v>10834438.148150597</v>
      </c>
      <c r="I358" s="24">
        <f>IF($B$3="Prices",(I140*I53),IF($B$3="Costs",'Top Down inputs'!G265,"Error"))</f>
        <v>7636528.3007867606</v>
      </c>
      <c r="J358" s="24">
        <f>IF($B$3="Prices",(J140*J53),IF($B$3="Costs",'Top Down inputs'!H265,"Error"))</f>
        <v>6902742.8977507949</v>
      </c>
      <c r="K358" s="24">
        <f>IF($B$3="Prices",(K140*K53),IF($B$3="Costs",'Top Down inputs'!I265,"Error"))</f>
        <v>4792385.1460286379</v>
      </c>
      <c r="L358" s="24">
        <f>IF($B$3="Prices",(L140*L53),IF($B$3="Costs",'Top Down inputs'!J265,"Error"))</f>
        <v>3545466.87327827</v>
      </c>
      <c r="M358" s="24">
        <f>IF($B$3="Prices",(M140*M53),IF($B$3="Costs",'Top Down inputs'!K265,"Error"))</f>
        <v>2169194.6524669556</v>
      </c>
      <c r="N358" s="24">
        <f>IF($B$3="Prices",(N140*N53),IF($B$3="Costs",'Top Down inputs'!L265,"Error"))</f>
        <v>619133.2864304207</v>
      </c>
      <c r="O358" s="69">
        <f t="shared" si="377"/>
        <v>314315.89437492279</v>
      </c>
      <c r="P358" s="69">
        <f t="shared" si="377"/>
        <v>266814.41151156701</v>
      </c>
      <c r="Q358" s="69">
        <f t="shared" si="377"/>
        <v>0</v>
      </c>
      <c r="R358" s="69">
        <f t="shared" si="377"/>
        <v>0</v>
      </c>
      <c r="S358" s="69">
        <f t="shared" si="377"/>
        <v>0</v>
      </c>
    </row>
    <row r="359" spans="1:19" x14ac:dyDescent="0.45">
      <c r="A359" s="9" t="str">
        <v>SL151</v>
      </c>
      <c r="B359" t="s">
        <v>312</v>
      </c>
      <c r="C359" s="9" t="s">
        <v>275</v>
      </c>
      <c r="E359" s="173">
        <f t="shared" si="376"/>
        <v>17695337.587177724</v>
      </c>
      <c r="F359" s="172">
        <f>IF($B$3="Prices",(F141*F54),IF($B$3="Costs",'Re-scaled copper costs'!V130,"Error"))</f>
        <v>17695337.587177724</v>
      </c>
      <c r="G359" s="172">
        <f>IF($B$3="Prices",(G141*G54),IF($B$3="Costs",'Re-scaled copper costs'!W130,"Error"))</f>
        <v>17455000.021157861</v>
      </c>
      <c r="H359" s="172">
        <f>IF($B$3="Prices",(H141*H54),IF($B$3="Costs",'Re-scaled copper costs'!X130,"Error"))</f>
        <v>19817772.422544859</v>
      </c>
      <c r="I359" s="24">
        <f>IF($B$3="Prices",(I141*I54),IF($B$3="Costs",'Top Down inputs'!G266,"Error"))</f>
        <v>13704950.074877296</v>
      </c>
      <c r="J359" s="24">
        <f>IF($B$3="Prices",(J141*J54),IF($B$3="Costs",'Top Down inputs'!H266,"Error"))</f>
        <v>12598603.087242644</v>
      </c>
      <c r="K359" s="24">
        <f>IF($B$3="Prices",(K141*K54),IF($B$3="Costs",'Top Down inputs'!I266,"Error"))</f>
        <v>8658315.6470496338</v>
      </c>
      <c r="L359" s="24">
        <f>IF($B$3="Prices",(L141*L54),IF($B$3="Costs",'Top Down inputs'!J266,"Error"))</f>
        <v>6478081.3927118024</v>
      </c>
      <c r="M359" s="24">
        <f>IF($B$3="Prices",(M141*M54),IF($B$3="Costs",'Top Down inputs'!K266,"Error"))</f>
        <v>3862734.2264712439</v>
      </c>
      <c r="N359" s="24">
        <f>IF($B$3="Prices",(N141*N54),IF($B$3="Costs",'Top Down inputs'!L266,"Error"))</f>
        <v>1101676.6457512043</v>
      </c>
      <c r="O359" s="69">
        <f t="shared" si="377"/>
        <v>559289.07039981894</v>
      </c>
      <c r="P359" s="69">
        <f t="shared" si="377"/>
        <v>474765.63181872887</v>
      </c>
      <c r="Q359" s="69">
        <f t="shared" si="377"/>
        <v>0</v>
      </c>
      <c r="R359" s="69">
        <f t="shared" si="377"/>
        <v>0</v>
      </c>
      <c r="S359" s="69">
        <f t="shared" si="377"/>
        <v>0</v>
      </c>
    </row>
    <row r="360" spans="1:19" x14ac:dyDescent="0.45">
      <c r="A360" s="9" t="str">
        <v>SL111</v>
      </c>
      <c r="B360" t="s">
        <v>313</v>
      </c>
      <c r="C360" s="9" t="s">
        <v>3</v>
      </c>
      <c r="E360" s="173">
        <f t="shared" si="376"/>
        <v>13450.514350227108</v>
      </c>
      <c r="F360" s="172">
        <f>IF($B$3="Prices",(F142*F55),IF($B$3="Costs",'Re-scaled copper costs'!V131,"Error"))</f>
        <v>13450.514350227108</v>
      </c>
      <c r="G360" s="172">
        <f>IF($B$3="Prices",(G142*G55),IF($B$3="Costs",'Re-scaled copper costs'!W131,"Error"))</f>
        <v>10672.692071741327</v>
      </c>
      <c r="H360" s="172">
        <f>IF($B$3="Prices",(H142*H55),IF($B$3="Costs",'Re-scaled copper costs'!X131,"Error"))</f>
        <v>5849.4733891679653</v>
      </c>
      <c r="I360" s="24">
        <f>IF($B$3="Prices",(I142*I55),IF($B$3="Costs",'Top Down inputs'!G267,"Error"))</f>
        <v>4174.9457515712793</v>
      </c>
      <c r="J360" s="24">
        <f>IF($B$3="Prices",(J142*J55),IF($B$3="Costs",'Top Down inputs'!H267,"Error"))</f>
        <v>2551.9511424950474</v>
      </c>
      <c r="K360" s="24">
        <f>IF($B$3="Prices",(K142*K55),IF($B$3="Costs",'Top Down inputs'!I267,"Error"))</f>
        <v>1560.0250549472869</v>
      </c>
      <c r="L360" s="24">
        <f>IF($B$3="Prices",(L142*L55),IF($B$3="Costs",'Top Down inputs'!J267,"Error"))</f>
        <v>1031.0360497385868</v>
      </c>
      <c r="M360" s="24">
        <f>IF($B$3="Prices",(M142*M55),IF($B$3="Costs",'Top Down inputs'!K267,"Error"))</f>
        <v>538.47997365538299</v>
      </c>
      <c r="N360" s="24">
        <f>IF($B$3="Prices",(N142*N55),IF($B$3="Costs",'Top Down inputs'!L267,"Error"))</f>
        <v>360.14787748587173</v>
      </c>
      <c r="O360" s="69">
        <f t="shared" si="377"/>
        <v>0</v>
      </c>
      <c r="P360" s="69">
        <f t="shared" si="377"/>
        <v>0</v>
      </c>
      <c r="Q360" s="69">
        <f t="shared" si="377"/>
        <v>0</v>
      </c>
      <c r="R360" s="69">
        <f t="shared" si="377"/>
        <v>0</v>
      </c>
      <c r="S360" s="69">
        <f t="shared" si="377"/>
        <v>0</v>
      </c>
    </row>
    <row r="361" spans="1:19" x14ac:dyDescent="0.45">
      <c r="A361" s="9" t="str">
        <v>SL112</v>
      </c>
      <c r="B361" t="s">
        <v>314</v>
      </c>
      <c r="C361" s="9" t="s">
        <v>3</v>
      </c>
      <c r="E361" s="173">
        <f t="shared" si="376"/>
        <v>240608.3847691158</v>
      </c>
      <c r="F361" s="172">
        <f>IF($B$3="Prices",(F143*F56),IF($B$3="Costs",'Re-scaled copper costs'!V132,"Error"))</f>
        <v>240608.3847691158</v>
      </c>
      <c r="G361" s="172">
        <f>IF($B$3="Prices",(G143*G56),IF($B$3="Costs",'Re-scaled copper costs'!W132,"Error"))</f>
        <v>125518.80703288816</v>
      </c>
      <c r="H361" s="172">
        <f>IF($B$3="Prices",(H143*H56),IF($B$3="Costs",'Re-scaled copper costs'!X132,"Error"))</f>
        <v>55273.314170554368</v>
      </c>
      <c r="I361" s="24">
        <f>IF($B$3="Prices",(I143*I56),IF($B$3="Costs",'Top Down inputs'!G268,"Error"))</f>
        <v>39125.526451990256</v>
      </c>
      <c r="J361" s="24">
        <f>IF($B$3="Prices",(J143*J56),IF($B$3="Costs",'Top Down inputs'!H268,"Error"))</f>
        <v>23907.025472928512</v>
      </c>
      <c r="K361" s="24">
        <f>IF($B$3="Prices",(K143*K56),IF($B$3="Costs",'Top Down inputs'!I268,"Error"))</f>
        <v>14628.4715097474</v>
      </c>
      <c r="L361" s="24">
        <f>IF($B$3="Prices",(L143*L56),IF($B$3="Costs",'Top Down inputs'!J268,"Error"))</f>
        <v>9670.4632305971045</v>
      </c>
      <c r="M361" s="24">
        <f>IF($B$3="Prices",(M143*M56),IF($B$3="Costs",'Top Down inputs'!K268,"Error"))</f>
        <v>5055.2952137580714</v>
      </c>
      <c r="N361" s="24">
        <f>IF($B$3="Prices",(N143*N56),IF($B$3="Costs",'Top Down inputs'!L268,"Error"))</f>
        <v>3480.0345819826239</v>
      </c>
      <c r="O361" s="69">
        <f t="shared" si="377"/>
        <v>0</v>
      </c>
      <c r="P361" s="69">
        <f t="shared" si="377"/>
        <v>0</v>
      </c>
      <c r="Q361" s="69">
        <f t="shared" si="377"/>
        <v>0</v>
      </c>
      <c r="R361" s="69">
        <f t="shared" si="377"/>
        <v>0</v>
      </c>
      <c r="S361" s="69">
        <f t="shared" si="377"/>
        <v>0</v>
      </c>
    </row>
    <row r="362" spans="1:19" x14ac:dyDescent="0.45">
      <c r="A362" s="9" t="str">
        <v>SL140</v>
      </c>
      <c r="B362" t="s">
        <v>315</v>
      </c>
      <c r="C362" s="9" t="s">
        <v>3</v>
      </c>
      <c r="E362" s="173">
        <f t="shared" si="376"/>
        <v>115214.1092160827</v>
      </c>
      <c r="F362" s="172">
        <f>IF($B$3="Prices",(F144*F57),IF($B$3="Costs",'Re-scaled copper costs'!V133,"Error"))</f>
        <v>115214.1092160827</v>
      </c>
      <c r="G362" s="172">
        <f>IF($B$3="Prices",(G144*G57),IF($B$3="Costs",'Re-scaled copper costs'!W133,"Error"))</f>
        <v>18655.060148010918</v>
      </c>
      <c r="H362" s="172">
        <f>IF($B$3="Prices",(H144*H57),IF($B$3="Costs",'Re-scaled copper costs'!X133,"Error"))</f>
        <v>4411.5991288149398</v>
      </c>
      <c r="I362" s="24">
        <f>IF($B$3="Prices",(I144*I57),IF($B$3="Costs",'Top Down inputs'!G269,"Error"))</f>
        <v>2842.5325908421514</v>
      </c>
      <c r="J362" s="24">
        <f>IF($B$3="Prices",(J144*J57),IF($B$3="Costs",'Top Down inputs'!H269,"Error"))</f>
        <v>1737.5991643029454</v>
      </c>
      <c r="K362" s="24">
        <f>IF($B$3="Prices",(K144*K57),IF($B$3="Costs",'Top Down inputs'!I269,"Error"))</f>
        <v>1063.0205691677711</v>
      </c>
      <c r="L362" s="24">
        <f>IF($B$3="Prices",(L144*L57),IF($B$3="Costs",'Top Down inputs'!J269,"Error"))</f>
        <v>702.63839481256707</v>
      </c>
      <c r="M362" s="24">
        <f>IF($B$3="Prices",(M144*M57),IF($B$3="Costs",'Top Down inputs'!K269,"Error"))</f>
        <v>367.21044100035294</v>
      </c>
      <c r="N362" s="24">
        <f>IF($B$3="Prices",(N144*N57),IF($B$3="Costs",'Top Down inputs'!L269,"Error"))</f>
        <v>250.7268797794614</v>
      </c>
      <c r="O362" s="69">
        <f t="shared" si="377"/>
        <v>0</v>
      </c>
      <c r="P362" s="69">
        <f t="shared" si="377"/>
        <v>0</v>
      </c>
      <c r="Q362" s="69">
        <f t="shared" si="377"/>
        <v>0</v>
      </c>
      <c r="R362" s="69">
        <f t="shared" si="377"/>
        <v>0</v>
      </c>
      <c r="S362" s="69">
        <f t="shared" si="377"/>
        <v>0</v>
      </c>
    </row>
    <row r="363" spans="1:19" x14ac:dyDescent="0.45">
      <c r="A363" s="9" t="str">
        <v>SL144</v>
      </c>
      <c r="B363" t="s">
        <v>316</v>
      </c>
      <c r="C363" s="9" t="s">
        <v>3</v>
      </c>
      <c r="E363" s="173">
        <f t="shared" si="376"/>
        <v>47989.80727846524</v>
      </c>
      <c r="F363" s="172">
        <f>IF($B$3="Prices",(F145*F58),IF($B$3="Costs",'Re-scaled copper costs'!V134,"Error"))</f>
        <v>47989.80727846524</v>
      </c>
      <c r="G363" s="172">
        <f>IF($B$3="Prices",(G145*G58),IF($B$3="Costs",'Re-scaled copper costs'!W134,"Error"))</f>
        <v>15910.417569698962</v>
      </c>
      <c r="H363" s="172">
        <f>IF($B$3="Prices",(H145*H58),IF($B$3="Costs",'Re-scaled copper costs'!X134,"Error"))</f>
        <v>6416.289248225663</v>
      </c>
      <c r="I363" s="24">
        <f>IF($B$3="Prices",(I145*I58),IF($B$3="Costs",'Top Down inputs'!G270,"Error"))</f>
        <v>4126.2175530709292</v>
      </c>
      <c r="J363" s="24">
        <f>IF($B$3="Prices",(J145*J58),IF($B$3="Costs",'Top Down inputs'!H270,"Error"))</f>
        <v>2522.3111702837159</v>
      </c>
      <c r="K363" s="24">
        <f>IF($B$3="Prices",(K145*K58),IF($B$3="Costs",'Top Down inputs'!I270,"Error"))</f>
        <v>1543.9350101626403</v>
      </c>
      <c r="L363" s="24">
        <f>IF($B$3="Prices",(L145*L58),IF($B$3="Costs",'Top Down inputs'!J270,"Error"))</f>
        <v>1020.7798528034351</v>
      </c>
      <c r="M363" s="24">
        <f>IF($B$3="Prices",(M145*M58),IF($B$3="Costs",'Top Down inputs'!K270,"Error"))</f>
        <v>533.69841712347534</v>
      </c>
      <c r="N363" s="24">
        <f>IF($B$3="Prices",(N145*N58),IF($B$3="Costs",'Top Down inputs'!L270,"Error"))</f>
        <v>370.77792146462065</v>
      </c>
      <c r="O363" s="69">
        <f t="shared" si="377"/>
        <v>0</v>
      </c>
      <c r="P363" s="69">
        <f t="shared" si="377"/>
        <v>0</v>
      </c>
      <c r="Q363" s="69">
        <f t="shared" si="377"/>
        <v>0</v>
      </c>
      <c r="R363" s="69">
        <f t="shared" si="377"/>
        <v>0</v>
      </c>
      <c r="S363" s="69">
        <f t="shared" si="377"/>
        <v>0</v>
      </c>
    </row>
    <row r="364" spans="1:19" ht="14.65" thickBot="1" x14ac:dyDescent="0.5">
      <c r="E364" s="20">
        <f>SUM(E324:E363)</f>
        <v>265201798.26230627</v>
      </c>
      <c r="F364" s="20">
        <f>SUM(F324:F363)</f>
        <v>265201798.26230627</v>
      </c>
      <c r="G364" s="20">
        <f>SUM(G324:G363)</f>
        <v>379385707.441603</v>
      </c>
      <c r="H364" s="20">
        <f>SUM(H324:H363)</f>
        <v>433896085.24599618</v>
      </c>
      <c r="I364" s="20">
        <f>SUM(I324:I363)</f>
        <v>432840759.68573964</v>
      </c>
      <c r="J364" s="20">
        <f t="shared" ref="J364:S364" si="401">SUM(J324:J363)</f>
        <v>472922255.50641125</v>
      </c>
      <c r="K364" s="20">
        <f t="shared" si="401"/>
        <v>446567454.34857076</v>
      </c>
      <c r="L364" s="20">
        <f t="shared" si="401"/>
        <v>414652778.34153873</v>
      </c>
      <c r="M364" s="20">
        <f t="shared" si="401"/>
        <v>364126973.79386491</v>
      </c>
      <c r="N364" s="20">
        <f t="shared" si="401"/>
        <v>291420727.73509467</v>
      </c>
      <c r="O364" s="20">
        <f t="shared" si="401"/>
        <v>188774812.73861519</v>
      </c>
      <c r="P364" s="20">
        <f t="shared" si="401"/>
        <v>102216858.52036664</v>
      </c>
      <c r="Q364" s="20">
        <f t="shared" si="401"/>
        <v>0</v>
      </c>
      <c r="R364" s="20">
        <f t="shared" si="401"/>
        <v>0</v>
      </c>
      <c r="S364" s="20">
        <f t="shared" si="401"/>
        <v>0</v>
      </c>
    </row>
    <row r="365" spans="1:19" ht="14.65" thickTop="1" x14ac:dyDescent="0.45"/>
    <row r="366" spans="1:19" x14ac:dyDescent="0.45">
      <c r="B366" t="s">
        <v>381</v>
      </c>
      <c r="D366" s="146">
        <f>AVERAGE(E366:S366)</f>
        <v>6.4401555554791309E-2</v>
      </c>
      <c r="E366" s="94">
        <f>IF(E364=0,0,(SUMIF($C$324:$C$363,"Connections",E324:E363)+E352+E353)/E364)</f>
        <v>0.14507641539424035</v>
      </c>
      <c r="F366" s="94">
        <f t="shared" ref="F366:S366" si="402">IF(F364=0,0,(SUMIF($C$324:$C$363,"Connections",F324:F363)+F352+F353)/F364)</f>
        <v>0.14507641539424035</v>
      </c>
      <c r="G366" s="94">
        <f t="shared" si="402"/>
        <v>0.13799712537177602</v>
      </c>
      <c r="H366" s="94">
        <f t="shared" si="402"/>
        <v>7.9703020429720342E-2</v>
      </c>
      <c r="I366" s="94">
        <f t="shared" si="402"/>
        <v>0.10955827845207217</v>
      </c>
      <c r="J366" s="94">
        <f t="shared" si="402"/>
        <v>9.5985103448359088E-2</v>
      </c>
      <c r="K366" s="94">
        <f t="shared" si="402"/>
        <v>7.1541545039747953E-2</v>
      </c>
      <c r="L366" s="94">
        <f t="shared" si="402"/>
        <v>7.3749731348671119E-2</v>
      </c>
      <c r="M366" s="94">
        <f t="shared" si="402"/>
        <v>6.871001465618673E-2</v>
      </c>
      <c r="N366" s="94">
        <f t="shared" si="402"/>
        <v>9.2240110612318623E-3</v>
      </c>
      <c r="O366" s="94">
        <f t="shared" si="402"/>
        <v>1.033659686263105E-2</v>
      </c>
      <c r="P366" s="94">
        <f t="shared" si="402"/>
        <v>1.9065075862992682E-2</v>
      </c>
      <c r="Q366" s="94">
        <f t="shared" si="402"/>
        <v>0</v>
      </c>
      <c r="R366" s="94">
        <f t="shared" si="402"/>
        <v>0</v>
      </c>
      <c r="S366" s="94">
        <f t="shared" si="402"/>
        <v>0</v>
      </c>
    </row>
    <row r="367" spans="1:19" x14ac:dyDescent="0.45">
      <c r="H367" s="9"/>
      <c r="I367" s="12"/>
      <c r="J367" t="s">
        <v>354</v>
      </c>
    </row>
    <row r="368" spans="1:19" x14ac:dyDescent="0.45">
      <c r="A368" s="23" t="s">
        <v>389</v>
      </c>
      <c r="E368" s="41"/>
      <c r="F368" s="41"/>
      <c r="G368" s="41"/>
      <c r="H368" s="41"/>
      <c r="I368" s="41"/>
      <c r="J368" t="s">
        <v>357</v>
      </c>
    </row>
    <row r="369" spans="1:19" x14ac:dyDescent="0.45">
      <c r="A369" s="9" t="str" cm="1">
        <f t="array" ref="A369:A408">TD_service_codes</f>
        <v>WN127</v>
      </c>
      <c r="B369" t="s">
        <v>274</v>
      </c>
      <c r="C369" t="s">
        <v>261</v>
      </c>
      <c r="D369" s="45"/>
      <c r="E369" s="46"/>
      <c r="F369" s="46"/>
      <c r="G369" s="46"/>
      <c r="H369" s="46"/>
      <c r="I369" s="46"/>
      <c r="J369" s="156">
        <f>J192*(1+$B$4)</f>
        <v>-0.14457047600982142</v>
      </c>
      <c r="K369" s="70">
        <f t="shared" ref="K369:S369" si="403">K192*(1+$B$4)</f>
        <v>-0.31747222349949583</v>
      </c>
      <c r="L369" s="70">
        <f t="shared" si="403"/>
        <v>-0.24136928188145376</v>
      </c>
      <c r="M369" s="70">
        <f t="shared" si="403"/>
        <v>-0.17763800641317332</v>
      </c>
      <c r="N369" s="70">
        <f t="shared" si="403"/>
        <v>-0.16346039755015984</v>
      </c>
      <c r="O369" s="70">
        <f t="shared" si="403"/>
        <v>-0.26188747671756657</v>
      </c>
      <c r="P369" s="70">
        <f t="shared" si="403"/>
        <v>2.6537185056666247E-3</v>
      </c>
      <c r="Q369" s="70">
        <f t="shared" si="403"/>
        <v>0</v>
      </c>
      <c r="R369" s="70">
        <f t="shared" si="403"/>
        <v>0</v>
      </c>
      <c r="S369" s="70">
        <f t="shared" si="403"/>
        <v>0</v>
      </c>
    </row>
    <row r="370" spans="1:19" x14ac:dyDescent="0.45">
      <c r="A370" s="9" t="str">
        <v>WN346</v>
      </c>
      <c r="B370" t="s">
        <v>276</v>
      </c>
      <c r="C370" t="s">
        <v>261</v>
      </c>
      <c r="E370" s="46"/>
      <c r="F370" s="46"/>
      <c r="G370" s="46"/>
      <c r="H370" s="46"/>
      <c r="I370" s="46"/>
      <c r="J370" s="70">
        <f t="shared" ref="J370:S370" si="404">J193*(1+$B$4)</f>
        <v>-0.14457047600982156</v>
      </c>
      <c r="K370" s="70">
        <f t="shared" si="404"/>
        <v>-0.31747222349949583</v>
      </c>
      <c r="L370" s="70">
        <f t="shared" si="404"/>
        <v>-0.24136928188145362</v>
      </c>
      <c r="M370" s="70">
        <f t="shared" si="404"/>
        <v>-0.17763800641317345</v>
      </c>
      <c r="N370" s="70">
        <f t="shared" si="404"/>
        <v>-0.16346039755015943</v>
      </c>
      <c r="O370" s="70">
        <f t="shared" si="404"/>
        <v>-0.26188747671756685</v>
      </c>
      <c r="P370" s="70">
        <f t="shared" si="404"/>
        <v>2.6537185056666247E-3</v>
      </c>
      <c r="Q370" s="70">
        <f t="shared" si="404"/>
        <v>0</v>
      </c>
      <c r="R370" s="70">
        <f t="shared" si="404"/>
        <v>0</v>
      </c>
      <c r="S370" s="70">
        <f t="shared" si="404"/>
        <v>0</v>
      </c>
    </row>
    <row r="371" spans="1:19" x14ac:dyDescent="0.45">
      <c r="A371" s="9" t="str">
        <v>WX130</v>
      </c>
      <c r="B371" t="s">
        <v>277</v>
      </c>
      <c r="C371" t="s">
        <v>261</v>
      </c>
      <c r="E371" s="46"/>
      <c r="F371" s="46"/>
      <c r="G371" s="46"/>
      <c r="H371" s="46"/>
      <c r="I371" s="46"/>
      <c r="J371" s="70">
        <f t="shared" ref="J371:S371" si="405">J194*(1+$B$4)</f>
        <v>-0.14457047600982142</v>
      </c>
      <c r="K371" s="70">
        <f t="shared" si="405"/>
        <v>-0.31747222349949583</v>
      </c>
      <c r="L371" s="70">
        <f t="shared" si="405"/>
        <v>-0.24136928188145348</v>
      </c>
      <c r="M371" s="70">
        <f t="shared" si="405"/>
        <v>-0.17763800641317345</v>
      </c>
      <c r="N371" s="70">
        <f t="shared" si="405"/>
        <v>-0.16346039755015956</v>
      </c>
      <c r="O371" s="70">
        <f t="shared" si="405"/>
        <v>-0.26188747671756657</v>
      </c>
      <c r="P371" s="70">
        <f t="shared" si="405"/>
        <v>2.653718505666358E-3</v>
      </c>
      <c r="Q371" s="70">
        <f t="shared" si="405"/>
        <v>0</v>
      </c>
      <c r="R371" s="70">
        <f t="shared" si="405"/>
        <v>0</v>
      </c>
      <c r="S371" s="70">
        <f t="shared" si="405"/>
        <v>0</v>
      </c>
    </row>
    <row r="372" spans="1:19" x14ac:dyDescent="0.45">
      <c r="A372" s="9" t="str">
        <v>WX347</v>
      </c>
      <c r="B372" t="s">
        <v>278</v>
      </c>
      <c r="C372" t="s">
        <v>261</v>
      </c>
      <c r="E372" s="46"/>
      <c r="F372" s="46"/>
      <c r="G372" s="46"/>
      <c r="H372" s="46"/>
      <c r="I372" s="46"/>
      <c r="J372" s="70">
        <f t="shared" ref="J372:S372" si="406">J195*(1+$B$4)</f>
        <v>-0.14457047600982156</v>
      </c>
      <c r="K372" s="70">
        <f t="shared" si="406"/>
        <v>-0.31747222349949583</v>
      </c>
      <c r="L372" s="70">
        <f t="shared" si="406"/>
        <v>-0.24136928188145362</v>
      </c>
      <c r="M372" s="70">
        <f t="shared" si="406"/>
        <v>-0.17763800641317345</v>
      </c>
      <c r="N372" s="70">
        <f t="shared" si="406"/>
        <v>-0.16346039755015956</v>
      </c>
      <c r="O372" s="70">
        <f t="shared" si="406"/>
        <v>-0.26188747671756674</v>
      </c>
      <c r="P372" s="70">
        <f t="shared" si="406"/>
        <v>2.653718505666358E-3</v>
      </c>
      <c r="Q372" s="70">
        <f t="shared" si="406"/>
        <v>0</v>
      </c>
      <c r="R372" s="70">
        <f t="shared" si="406"/>
        <v>0</v>
      </c>
      <c r="S372" s="70">
        <f t="shared" si="406"/>
        <v>0</v>
      </c>
    </row>
    <row r="373" spans="1:19" x14ac:dyDescent="0.45">
      <c r="A373" s="9" t="str">
        <v>WX129</v>
      </c>
      <c r="B373" t="s">
        <v>279</v>
      </c>
      <c r="C373" t="s">
        <v>261</v>
      </c>
      <c r="E373" s="46"/>
      <c r="F373" s="46"/>
      <c r="G373" s="46"/>
      <c r="H373" s="46"/>
      <c r="I373" s="46"/>
      <c r="J373" s="70">
        <f t="shared" ref="J373:S373" si="407">J196*(1+$B$4)</f>
        <v>-0.39588155654069096</v>
      </c>
      <c r="K373" s="70">
        <f t="shared" si="407"/>
        <v>-0.56265343011740543</v>
      </c>
      <c r="L373" s="70">
        <f t="shared" si="407"/>
        <v>-0.26895479185588916</v>
      </c>
      <c r="M373" s="70">
        <f t="shared" si="407"/>
        <v>-0.17763800641317345</v>
      </c>
      <c r="N373" s="70">
        <f t="shared" si="407"/>
        <v>-0.16346039755015956</v>
      </c>
      <c r="O373" s="70">
        <f t="shared" si="407"/>
        <v>0</v>
      </c>
      <c r="P373" s="70">
        <f t="shared" si="407"/>
        <v>0</v>
      </c>
      <c r="Q373" s="70">
        <f t="shared" si="407"/>
        <v>0</v>
      </c>
      <c r="R373" s="70">
        <f t="shared" si="407"/>
        <v>0</v>
      </c>
      <c r="S373" s="70">
        <f t="shared" si="407"/>
        <v>0</v>
      </c>
    </row>
    <row r="374" spans="1:19" x14ac:dyDescent="0.45">
      <c r="A374" s="9" t="str">
        <v>WN123</v>
      </c>
      <c r="B374" t="s">
        <v>280</v>
      </c>
      <c r="C374" t="s">
        <v>261</v>
      </c>
      <c r="E374" s="46"/>
      <c r="F374" s="46"/>
      <c r="G374" s="46"/>
      <c r="H374" s="46"/>
      <c r="I374" s="46"/>
      <c r="J374" s="70">
        <f t="shared" ref="J374:S374" si="408">J197*(1+$B$4)</f>
        <v>0</v>
      </c>
      <c r="K374" s="70">
        <f t="shared" si="408"/>
        <v>0</v>
      </c>
      <c r="L374" s="70">
        <f t="shared" si="408"/>
        <v>0</v>
      </c>
      <c r="M374" s="70">
        <f t="shared" si="408"/>
        <v>0</v>
      </c>
      <c r="N374" s="70">
        <f t="shared" si="408"/>
        <v>0</v>
      </c>
      <c r="O374" s="70">
        <f t="shared" si="408"/>
        <v>0</v>
      </c>
      <c r="P374" s="70">
        <f t="shared" si="408"/>
        <v>0</v>
      </c>
      <c r="Q374" s="70">
        <f t="shared" si="408"/>
        <v>0</v>
      </c>
      <c r="R374" s="70">
        <f t="shared" si="408"/>
        <v>0</v>
      </c>
      <c r="S374" s="70">
        <f t="shared" si="408"/>
        <v>0</v>
      </c>
    </row>
    <row r="375" spans="1:19" x14ac:dyDescent="0.45">
      <c r="A375" s="9" t="str">
        <v>WN300</v>
      </c>
      <c r="B375" t="s">
        <v>281</v>
      </c>
      <c r="C375" t="s">
        <v>265</v>
      </c>
      <c r="E375" s="46"/>
      <c r="F375" s="46"/>
      <c r="G375" s="46"/>
      <c r="H375" s="46"/>
      <c r="I375" s="46"/>
      <c r="J375" s="70">
        <f t="shared" ref="J375:S375" si="409">J198*(1+$B$4)</f>
        <v>-0.63111626438434565</v>
      </c>
      <c r="K375" s="70">
        <f t="shared" si="409"/>
        <v>-0.96804523954924959</v>
      </c>
      <c r="L375" s="70">
        <f t="shared" si="409"/>
        <v>0</v>
      </c>
      <c r="M375" s="70">
        <f t="shared" si="409"/>
        <v>0</v>
      </c>
      <c r="N375" s="70">
        <f t="shared" si="409"/>
        <v>0</v>
      </c>
      <c r="O375" s="70">
        <f t="shared" si="409"/>
        <v>0</v>
      </c>
      <c r="P375" s="70">
        <f t="shared" si="409"/>
        <v>0</v>
      </c>
      <c r="Q375" s="70">
        <f t="shared" si="409"/>
        <v>0</v>
      </c>
      <c r="R375" s="70">
        <f t="shared" si="409"/>
        <v>0</v>
      </c>
      <c r="S375" s="70">
        <f t="shared" si="409"/>
        <v>0</v>
      </c>
    </row>
    <row r="376" spans="1:19" x14ac:dyDescent="0.45">
      <c r="A376" s="9" t="str">
        <v>WN301</v>
      </c>
      <c r="B376" t="s">
        <v>282</v>
      </c>
      <c r="C376" t="s">
        <v>265</v>
      </c>
      <c r="E376" s="46"/>
      <c r="F376" s="46"/>
      <c r="G376" s="46"/>
      <c r="H376" s="46"/>
      <c r="I376" s="46"/>
      <c r="J376" s="70">
        <f t="shared" ref="J376:S376" si="410">J199*(1+$B$4)</f>
        <v>-0.63470068236867583</v>
      </c>
      <c r="K376" s="70">
        <f t="shared" si="410"/>
        <v>-0.96825595058638458</v>
      </c>
      <c r="L376" s="70">
        <f t="shared" si="410"/>
        <v>0</v>
      </c>
      <c r="M376" s="70">
        <f t="shared" si="410"/>
        <v>0</v>
      </c>
      <c r="N376" s="70">
        <f t="shared" si="410"/>
        <v>0</v>
      </c>
      <c r="O376" s="70">
        <f t="shared" si="410"/>
        <v>0</v>
      </c>
      <c r="P376" s="70">
        <f t="shared" si="410"/>
        <v>0</v>
      </c>
      <c r="Q376" s="70">
        <f t="shared" si="410"/>
        <v>0</v>
      </c>
      <c r="R376" s="70">
        <f t="shared" si="410"/>
        <v>0</v>
      </c>
      <c r="S376" s="70">
        <f t="shared" si="410"/>
        <v>0</v>
      </c>
    </row>
    <row r="377" spans="1:19" x14ac:dyDescent="0.45">
      <c r="A377" s="9" t="str">
        <v>WX310</v>
      </c>
      <c r="B377" t="s">
        <v>283</v>
      </c>
      <c r="C377" t="s">
        <v>265</v>
      </c>
      <c r="E377" s="46"/>
      <c r="F377" s="46"/>
      <c r="G377" s="46"/>
      <c r="H377" s="46"/>
      <c r="I377" s="46"/>
      <c r="J377" s="70">
        <f t="shared" ref="J377:S377" si="411">J200*(1+$B$4)</f>
        <v>-0.63111626438434565</v>
      </c>
      <c r="K377" s="70">
        <f t="shared" si="411"/>
        <v>-0.96804523954924948</v>
      </c>
      <c r="L377" s="70">
        <f t="shared" si="411"/>
        <v>0</v>
      </c>
      <c r="M377" s="70">
        <f t="shared" si="411"/>
        <v>0</v>
      </c>
      <c r="N377" s="70">
        <f t="shared" si="411"/>
        <v>0</v>
      </c>
      <c r="O377" s="70">
        <f t="shared" si="411"/>
        <v>0</v>
      </c>
      <c r="P377" s="70">
        <f t="shared" si="411"/>
        <v>0</v>
      </c>
      <c r="Q377" s="70">
        <f t="shared" si="411"/>
        <v>0</v>
      </c>
      <c r="R377" s="70">
        <f t="shared" si="411"/>
        <v>0</v>
      </c>
      <c r="S377" s="70">
        <f t="shared" si="411"/>
        <v>0</v>
      </c>
    </row>
    <row r="378" spans="1:19" x14ac:dyDescent="0.45">
      <c r="A378" s="9" t="str">
        <v>WX311</v>
      </c>
      <c r="B378" t="s">
        <v>284</v>
      </c>
      <c r="C378" t="s">
        <v>265</v>
      </c>
      <c r="E378" s="46"/>
      <c r="F378" s="46"/>
      <c r="G378" s="46"/>
      <c r="H378" s="46"/>
      <c r="I378" s="46"/>
      <c r="J378" s="70">
        <f t="shared" ref="J378:S378" si="412">J201*(1+$B$4)</f>
        <v>-0.63470068236867583</v>
      </c>
      <c r="K378" s="70">
        <f t="shared" si="412"/>
        <v>-0.96825595058638469</v>
      </c>
      <c r="L378" s="70">
        <f t="shared" si="412"/>
        <v>0</v>
      </c>
      <c r="M378" s="70">
        <f t="shared" si="412"/>
        <v>0</v>
      </c>
      <c r="N378" s="70">
        <f t="shared" si="412"/>
        <v>0</v>
      </c>
      <c r="O378" s="70">
        <f t="shared" si="412"/>
        <v>0</v>
      </c>
      <c r="P378" s="70">
        <f t="shared" si="412"/>
        <v>0</v>
      </c>
      <c r="Q378" s="70">
        <f t="shared" si="412"/>
        <v>0</v>
      </c>
      <c r="R378" s="70">
        <f t="shared" si="412"/>
        <v>0</v>
      </c>
      <c r="S378" s="70">
        <f t="shared" si="412"/>
        <v>0</v>
      </c>
    </row>
    <row r="379" spans="1:19" x14ac:dyDescent="0.45">
      <c r="A379" s="9" t="str">
        <v>WN302</v>
      </c>
      <c r="B379" t="s">
        <v>285</v>
      </c>
      <c r="C379" t="s">
        <v>265</v>
      </c>
      <c r="E379" s="46"/>
      <c r="F379" s="46"/>
      <c r="G379" s="46"/>
      <c r="H379" s="46"/>
      <c r="I379" s="46"/>
      <c r="J379" s="70">
        <f t="shared" ref="J379:S379" si="413">J202*(1+$B$4)</f>
        <v>-0.63111626438434565</v>
      </c>
      <c r="K379" s="70">
        <f t="shared" si="413"/>
        <v>-0.96804523954924959</v>
      </c>
      <c r="L379" s="70">
        <f t="shared" si="413"/>
        <v>0</v>
      </c>
      <c r="M379" s="70">
        <f t="shared" si="413"/>
        <v>0</v>
      </c>
      <c r="N379" s="70">
        <f t="shared" si="413"/>
        <v>0</v>
      </c>
      <c r="O379" s="70">
        <f t="shared" si="413"/>
        <v>0</v>
      </c>
      <c r="P379" s="70">
        <f t="shared" si="413"/>
        <v>0</v>
      </c>
      <c r="Q379" s="70">
        <f t="shared" si="413"/>
        <v>0</v>
      </c>
      <c r="R379" s="70">
        <f t="shared" si="413"/>
        <v>0</v>
      </c>
      <c r="S379" s="70">
        <f t="shared" si="413"/>
        <v>0</v>
      </c>
    </row>
    <row r="380" spans="1:19" x14ac:dyDescent="0.45">
      <c r="A380" s="9" t="str">
        <v>WX312</v>
      </c>
      <c r="B380" t="s">
        <v>286</v>
      </c>
      <c r="C380" t="s">
        <v>265</v>
      </c>
      <c r="E380" s="46"/>
      <c r="F380" s="46"/>
      <c r="G380" s="46"/>
      <c r="H380" s="46"/>
      <c r="I380" s="46"/>
      <c r="J380" s="70">
        <f t="shared" ref="J380:S380" si="414">J203*(1+$B$4)</f>
        <v>-0.63111626438434532</v>
      </c>
      <c r="K380" s="70">
        <f t="shared" si="414"/>
        <v>-0.96804523954924959</v>
      </c>
      <c r="L380" s="70">
        <f t="shared" si="414"/>
        <v>0</v>
      </c>
      <c r="M380" s="70">
        <f t="shared" si="414"/>
        <v>0</v>
      </c>
      <c r="N380" s="70">
        <f t="shared" si="414"/>
        <v>0</v>
      </c>
      <c r="O380" s="70">
        <f t="shared" si="414"/>
        <v>0</v>
      </c>
      <c r="P380" s="70">
        <f t="shared" si="414"/>
        <v>0</v>
      </c>
      <c r="Q380" s="70">
        <f t="shared" si="414"/>
        <v>0</v>
      </c>
      <c r="R380" s="70">
        <f t="shared" si="414"/>
        <v>0</v>
      </c>
      <c r="S380" s="70">
        <f t="shared" si="414"/>
        <v>0</v>
      </c>
    </row>
    <row r="381" spans="1:19" x14ac:dyDescent="0.45">
      <c r="A381" s="9" t="str">
        <v>WX338</v>
      </c>
      <c r="B381" t="s">
        <v>287</v>
      </c>
      <c r="C381" t="s">
        <v>265</v>
      </c>
      <c r="E381" s="46"/>
      <c r="F381" s="46"/>
      <c r="G381" s="46"/>
      <c r="H381" s="46"/>
      <c r="I381" s="46"/>
      <c r="J381" s="70">
        <f t="shared" ref="J381:S381" si="415">J204*(1+$B$4)</f>
        <v>-0.63470068236867583</v>
      </c>
      <c r="K381" s="70">
        <f t="shared" si="415"/>
        <v>-0.96825595058638458</v>
      </c>
      <c r="L381" s="70">
        <f t="shared" si="415"/>
        <v>0</v>
      </c>
      <c r="M381" s="70">
        <f t="shared" si="415"/>
        <v>0</v>
      </c>
      <c r="N381" s="70">
        <f t="shared" si="415"/>
        <v>0</v>
      </c>
      <c r="O381" s="70">
        <f t="shared" si="415"/>
        <v>0</v>
      </c>
      <c r="P381" s="70">
        <f t="shared" si="415"/>
        <v>0</v>
      </c>
      <c r="Q381" s="70">
        <f t="shared" si="415"/>
        <v>0</v>
      </c>
      <c r="R381" s="70">
        <f t="shared" si="415"/>
        <v>0</v>
      </c>
      <c r="S381" s="70">
        <f t="shared" si="415"/>
        <v>0</v>
      </c>
    </row>
    <row r="382" spans="1:19" x14ac:dyDescent="0.45">
      <c r="A382" s="9" t="str">
        <v>WN336</v>
      </c>
      <c r="B382" t="s">
        <v>288</v>
      </c>
      <c r="C382" t="s">
        <v>265</v>
      </c>
      <c r="E382" s="46"/>
      <c r="F382" s="46"/>
      <c r="G382" s="46"/>
      <c r="H382" s="46"/>
      <c r="I382" s="46"/>
      <c r="J382" s="70">
        <f t="shared" ref="J382:S382" si="416">J205*(1+$B$4)</f>
        <v>-0.63470068236867583</v>
      </c>
      <c r="K382" s="70">
        <f t="shared" si="416"/>
        <v>-0.96825595058638458</v>
      </c>
      <c r="L382" s="70">
        <f t="shared" si="416"/>
        <v>0</v>
      </c>
      <c r="M382" s="70">
        <f t="shared" si="416"/>
        <v>0</v>
      </c>
      <c r="N382" s="70">
        <f t="shared" si="416"/>
        <v>0</v>
      </c>
      <c r="O382" s="70">
        <f t="shared" si="416"/>
        <v>0</v>
      </c>
      <c r="P382" s="70">
        <f t="shared" si="416"/>
        <v>0</v>
      </c>
      <c r="Q382" s="70">
        <f t="shared" si="416"/>
        <v>0</v>
      </c>
      <c r="R382" s="70">
        <f t="shared" si="416"/>
        <v>0</v>
      </c>
      <c r="S382" s="70">
        <f t="shared" si="416"/>
        <v>0</v>
      </c>
    </row>
    <row r="383" spans="1:19" x14ac:dyDescent="0.45">
      <c r="A383" s="9" t="str">
        <v>WN303</v>
      </c>
      <c r="B383" t="s">
        <v>289</v>
      </c>
      <c r="C383" t="s">
        <v>265</v>
      </c>
      <c r="E383" s="46"/>
      <c r="F383" s="46"/>
      <c r="G383" s="46"/>
      <c r="H383" s="46"/>
      <c r="I383" s="46"/>
      <c r="J383" s="70">
        <f t="shared" ref="J383:S383" si="417">J206*(1+$B$4)</f>
        <v>-0.63470068236867583</v>
      </c>
      <c r="K383" s="70">
        <f t="shared" si="417"/>
        <v>-0.96825595058638469</v>
      </c>
      <c r="L383" s="70">
        <f t="shared" si="417"/>
        <v>0</v>
      </c>
      <c r="M383" s="70">
        <f t="shared" si="417"/>
        <v>0</v>
      </c>
      <c r="N383" s="70">
        <f t="shared" si="417"/>
        <v>0</v>
      </c>
      <c r="O383" s="70">
        <f t="shared" si="417"/>
        <v>0</v>
      </c>
      <c r="P383" s="70">
        <f t="shared" si="417"/>
        <v>0</v>
      </c>
      <c r="Q383" s="70">
        <f t="shared" si="417"/>
        <v>0</v>
      </c>
      <c r="R383" s="70">
        <f t="shared" si="417"/>
        <v>0</v>
      </c>
      <c r="S383" s="70">
        <f t="shared" si="417"/>
        <v>0</v>
      </c>
    </row>
    <row r="384" spans="1:19" x14ac:dyDescent="0.45">
      <c r="A384" s="9" t="str">
        <v>WN337</v>
      </c>
      <c r="B384" t="s">
        <v>290</v>
      </c>
      <c r="C384" t="s">
        <v>265</v>
      </c>
      <c r="E384" s="46"/>
      <c r="F384" s="46"/>
      <c r="G384" s="46"/>
      <c r="H384" s="46"/>
      <c r="I384" s="46"/>
      <c r="J384" s="70">
        <f t="shared" ref="J384:S384" si="418">J207*(1+$B$4)</f>
        <v>-0.63111626438434565</v>
      </c>
      <c r="K384" s="70">
        <f t="shared" si="418"/>
        <v>-0.96804523954924948</v>
      </c>
      <c r="L384" s="70">
        <f t="shared" si="418"/>
        <v>0</v>
      </c>
      <c r="M384" s="70">
        <f t="shared" si="418"/>
        <v>0</v>
      </c>
      <c r="N384" s="70">
        <f t="shared" si="418"/>
        <v>0</v>
      </c>
      <c r="O384" s="70">
        <f t="shared" si="418"/>
        <v>0</v>
      </c>
      <c r="P384" s="70">
        <f t="shared" si="418"/>
        <v>0</v>
      </c>
      <c r="Q384" s="70">
        <f t="shared" si="418"/>
        <v>0</v>
      </c>
      <c r="R384" s="70">
        <f t="shared" si="418"/>
        <v>0</v>
      </c>
      <c r="S384" s="70">
        <f t="shared" si="418"/>
        <v>0</v>
      </c>
    </row>
    <row r="385" spans="1:19" x14ac:dyDescent="0.45">
      <c r="A385" s="9" t="str">
        <v>WX313</v>
      </c>
      <c r="B385" t="s">
        <v>291</v>
      </c>
      <c r="C385" t="s">
        <v>265</v>
      </c>
      <c r="E385" s="46"/>
      <c r="F385" s="46"/>
      <c r="G385" s="46"/>
      <c r="H385" s="46"/>
      <c r="I385" s="46"/>
      <c r="J385" s="70">
        <f t="shared" ref="J385:S385" si="419">J208*(1+$B$4)</f>
        <v>-0.63470068236867583</v>
      </c>
      <c r="K385" s="70">
        <f t="shared" si="419"/>
        <v>-0.96825595058638458</v>
      </c>
      <c r="L385" s="70">
        <f t="shared" si="419"/>
        <v>0</v>
      </c>
      <c r="M385" s="70">
        <f t="shared" si="419"/>
        <v>0</v>
      </c>
      <c r="N385" s="70">
        <f t="shared" si="419"/>
        <v>0</v>
      </c>
      <c r="O385" s="70">
        <f t="shared" si="419"/>
        <v>0</v>
      </c>
      <c r="P385" s="70">
        <f t="shared" si="419"/>
        <v>0</v>
      </c>
      <c r="Q385" s="70">
        <f t="shared" si="419"/>
        <v>0</v>
      </c>
      <c r="R385" s="70">
        <f t="shared" si="419"/>
        <v>0</v>
      </c>
      <c r="S385" s="70">
        <f t="shared" si="419"/>
        <v>0</v>
      </c>
    </row>
    <row r="386" spans="1:19" x14ac:dyDescent="0.45">
      <c r="A386" s="9" t="str">
        <v>WX339</v>
      </c>
      <c r="B386" t="s">
        <v>292</v>
      </c>
      <c r="C386" t="s">
        <v>265</v>
      </c>
      <c r="E386" s="46"/>
      <c r="F386" s="46"/>
      <c r="G386" s="46"/>
      <c r="H386" s="46"/>
      <c r="I386" s="46"/>
      <c r="J386" s="70">
        <f t="shared" ref="J386:S386" si="420">J209*(1+$B$4)</f>
        <v>-0.63111626438434532</v>
      </c>
      <c r="K386" s="70">
        <f t="shared" si="420"/>
        <v>-0.96804523954924959</v>
      </c>
      <c r="L386" s="70">
        <f t="shared" si="420"/>
        <v>0</v>
      </c>
      <c r="M386" s="70">
        <f t="shared" si="420"/>
        <v>0</v>
      </c>
      <c r="N386" s="70">
        <f t="shared" si="420"/>
        <v>0</v>
      </c>
      <c r="O386" s="70">
        <f t="shared" si="420"/>
        <v>0</v>
      </c>
      <c r="P386" s="70">
        <f t="shared" si="420"/>
        <v>0</v>
      </c>
      <c r="Q386" s="70">
        <f t="shared" si="420"/>
        <v>0</v>
      </c>
      <c r="R386" s="70">
        <f t="shared" si="420"/>
        <v>0</v>
      </c>
      <c r="S386" s="70">
        <f t="shared" si="420"/>
        <v>0</v>
      </c>
    </row>
    <row r="387" spans="1:19" x14ac:dyDescent="0.45">
      <c r="A387" s="9" t="str">
        <v>WN332</v>
      </c>
      <c r="B387" t="s">
        <v>293</v>
      </c>
      <c r="C387" t="s">
        <v>265</v>
      </c>
      <c r="E387" s="46"/>
      <c r="F387" s="46"/>
      <c r="G387" s="46"/>
      <c r="H387" s="46"/>
      <c r="I387" s="46"/>
      <c r="J387" s="70">
        <f t="shared" ref="J387:S387" si="421">J210*(1+$B$4)</f>
        <v>7.8026412097531403E-2</v>
      </c>
      <c r="K387" s="70">
        <f t="shared" si="421"/>
        <v>1.5877700764368095E-2</v>
      </c>
      <c r="L387" s="70">
        <f t="shared" si="421"/>
        <v>2.4503302086099854E-2</v>
      </c>
      <c r="M387" s="70">
        <f t="shared" si="421"/>
        <v>1.5738033432972375E-2</v>
      </c>
      <c r="N387" s="70">
        <f t="shared" si="421"/>
        <v>-1.6732332843691911E-3</v>
      </c>
      <c r="O387" s="70">
        <f t="shared" si="421"/>
        <v>-1.8056641405321372E-3</v>
      </c>
      <c r="P387" s="70">
        <f t="shared" si="421"/>
        <v>-1.9348554365685277E-3</v>
      </c>
      <c r="Q387" s="70">
        <f t="shared" si="421"/>
        <v>0</v>
      </c>
      <c r="R387" s="70">
        <f t="shared" si="421"/>
        <v>0</v>
      </c>
      <c r="S387" s="70">
        <f t="shared" si="421"/>
        <v>0</v>
      </c>
    </row>
    <row r="388" spans="1:19" x14ac:dyDescent="0.45">
      <c r="A388" s="9" t="str">
        <v>WX334</v>
      </c>
      <c r="B388" t="s">
        <v>295</v>
      </c>
      <c r="C388" t="s">
        <v>265</v>
      </c>
      <c r="E388" s="46"/>
      <c r="F388" s="46"/>
      <c r="G388" s="46"/>
      <c r="H388" s="46"/>
      <c r="I388" s="46"/>
      <c r="J388" s="70">
        <f t="shared" ref="J388:S388" si="422">J211*(1+$B$4)</f>
        <v>7.8026412097531139E-2</v>
      </c>
      <c r="K388" s="70">
        <f t="shared" si="422"/>
        <v>1.5877700764368095E-2</v>
      </c>
      <c r="L388" s="70">
        <f t="shared" si="422"/>
        <v>2.4503302086099854E-2</v>
      </c>
      <c r="M388" s="70">
        <f t="shared" si="422"/>
        <v>1.5738033432972375E-2</v>
      </c>
      <c r="N388" s="70">
        <f t="shared" si="422"/>
        <v>-1.6732332843689246E-3</v>
      </c>
      <c r="O388" s="70">
        <f t="shared" si="422"/>
        <v>-1.8056641405324036E-3</v>
      </c>
      <c r="P388" s="70">
        <f t="shared" si="422"/>
        <v>-1.9348554365682612E-3</v>
      </c>
      <c r="Q388" s="70">
        <f t="shared" si="422"/>
        <v>0</v>
      </c>
      <c r="R388" s="70">
        <f t="shared" si="422"/>
        <v>0</v>
      </c>
      <c r="S388" s="70">
        <f t="shared" si="422"/>
        <v>0</v>
      </c>
    </row>
    <row r="389" spans="1:19" x14ac:dyDescent="0.45">
      <c r="A389" s="9" t="str">
        <v>WN333</v>
      </c>
      <c r="B389" t="s">
        <v>296</v>
      </c>
      <c r="C389" t="s">
        <v>265</v>
      </c>
      <c r="E389" s="46"/>
      <c r="F389" s="46"/>
      <c r="G389" s="46"/>
      <c r="H389" s="46"/>
      <c r="I389" s="46"/>
      <c r="J389" s="70">
        <f t="shared" ref="J389:S389" si="423">J212*(1+$B$4)</f>
        <v>7.8026412097531139E-2</v>
      </c>
      <c r="K389" s="70">
        <f t="shared" si="423"/>
        <v>1.5877700764368095E-2</v>
      </c>
      <c r="L389" s="70">
        <f t="shared" si="423"/>
        <v>2.4503302086099854E-2</v>
      </c>
      <c r="M389" s="70">
        <f t="shared" si="423"/>
        <v>1.5738033432972375E-2</v>
      </c>
      <c r="N389" s="70">
        <f t="shared" si="423"/>
        <v>-1.6732332843691911E-3</v>
      </c>
      <c r="O389" s="70">
        <f t="shared" si="423"/>
        <v>-1.8056641405324036E-3</v>
      </c>
      <c r="P389" s="70">
        <f t="shared" si="423"/>
        <v>-1.9348554365685277E-3</v>
      </c>
      <c r="Q389" s="70">
        <f t="shared" si="423"/>
        <v>0</v>
      </c>
      <c r="R389" s="70">
        <f t="shared" si="423"/>
        <v>0</v>
      </c>
      <c r="S389" s="70">
        <f t="shared" si="423"/>
        <v>0</v>
      </c>
    </row>
    <row r="390" spans="1:19" x14ac:dyDescent="0.45">
      <c r="A390" s="9" t="str">
        <v>WX335</v>
      </c>
      <c r="B390" t="s">
        <v>297</v>
      </c>
      <c r="C390" t="s">
        <v>265</v>
      </c>
      <c r="E390" s="46"/>
      <c r="F390" s="46"/>
      <c r="G390" s="46"/>
      <c r="H390" s="46"/>
      <c r="I390" s="46"/>
      <c r="J390" s="70">
        <f t="shared" ref="J390:S390" si="424">J213*(1+$B$4)</f>
        <v>7.8026412097531139E-2</v>
      </c>
      <c r="K390" s="70">
        <f t="shared" si="424"/>
        <v>1.5877700764368095E-2</v>
      </c>
      <c r="L390" s="70">
        <f t="shared" si="424"/>
        <v>2.4503302086099854E-2</v>
      </c>
      <c r="M390" s="70">
        <f t="shared" si="424"/>
        <v>1.5738033432972375E-2</v>
      </c>
      <c r="N390" s="70">
        <f t="shared" si="424"/>
        <v>-1.6732332843689246E-3</v>
      </c>
      <c r="O390" s="70">
        <f t="shared" si="424"/>
        <v>-1.8056641405324036E-3</v>
      </c>
      <c r="P390" s="70">
        <f t="shared" si="424"/>
        <v>-1.9348554365685277E-3</v>
      </c>
      <c r="Q390" s="70">
        <f t="shared" si="424"/>
        <v>0</v>
      </c>
      <c r="R390" s="70">
        <f t="shared" si="424"/>
        <v>0</v>
      </c>
      <c r="S390" s="70">
        <f t="shared" si="424"/>
        <v>0</v>
      </c>
    </row>
    <row r="391" spans="1:19" x14ac:dyDescent="0.45">
      <c r="A391" s="9" t="str">
        <v>WN348</v>
      </c>
      <c r="B391" t="s">
        <v>298</v>
      </c>
      <c r="C391" t="s">
        <v>265</v>
      </c>
      <c r="E391" s="46"/>
      <c r="F391" s="46"/>
      <c r="G391" s="46"/>
      <c r="H391" s="46"/>
      <c r="I391" s="46"/>
      <c r="J391" s="70">
        <f t="shared" ref="J391:S391" si="425">J214*(1+$B$4)</f>
        <v>7.5779497446115673E-2</v>
      </c>
      <c r="K391" s="70">
        <f t="shared" si="425"/>
        <v>0.34337398671357372</v>
      </c>
      <c r="L391" s="70">
        <f t="shared" si="425"/>
        <v>-0.11673823870574841</v>
      </c>
      <c r="M391" s="70">
        <f t="shared" si="425"/>
        <v>-0.35238517145365644</v>
      </c>
      <c r="N391" s="70">
        <f t="shared" si="425"/>
        <v>-0.52919105401642841</v>
      </c>
      <c r="O391" s="70">
        <f t="shared" si="425"/>
        <v>0</v>
      </c>
      <c r="P391" s="70">
        <f t="shared" si="425"/>
        <v>0</v>
      </c>
      <c r="Q391" s="70">
        <f t="shared" si="425"/>
        <v>0</v>
      </c>
      <c r="R391" s="70">
        <f t="shared" si="425"/>
        <v>0</v>
      </c>
      <c r="S391" s="70">
        <f t="shared" si="425"/>
        <v>0</v>
      </c>
    </row>
    <row r="392" spans="1:19" x14ac:dyDescent="0.45">
      <c r="A392" s="9" t="str">
        <v>WN350</v>
      </c>
      <c r="B392" t="s">
        <v>300</v>
      </c>
      <c r="C392" t="s">
        <v>265</v>
      </c>
      <c r="E392" s="46"/>
      <c r="F392" s="46"/>
      <c r="G392" s="46"/>
      <c r="H392" s="46"/>
      <c r="I392" s="46"/>
      <c r="J392" s="70">
        <f t="shared" ref="J392:S392" si="426">J215*(1+$B$4)</f>
        <v>6.2365057690953574E-2</v>
      </c>
      <c r="K392" s="70">
        <f t="shared" si="426"/>
        <v>-5.0292623096378497E-2</v>
      </c>
      <c r="L392" s="70">
        <f t="shared" si="426"/>
        <v>-0.21071258418159181</v>
      </c>
      <c r="M392" s="70">
        <f t="shared" si="426"/>
        <v>-0.15519937609131909</v>
      </c>
      <c r="N392" s="70">
        <f t="shared" si="426"/>
        <v>-0.16305775924767232</v>
      </c>
      <c r="O392" s="70">
        <f t="shared" si="426"/>
        <v>-0.23334677601825529</v>
      </c>
      <c r="P392" s="70">
        <f t="shared" si="426"/>
        <v>-0.77202936347682916</v>
      </c>
      <c r="Q392" s="70">
        <f t="shared" si="426"/>
        <v>0</v>
      </c>
      <c r="R392" s="70">
        <f t="shared" si="426"/>
        <v>0</v>
      </c>
      <c r="S392" s="70">
        <f t="shared" si="426"/>
        <v>0</v>
      </c>
    </row>
    <row r="393" spans="1:19" x14ac:dyDescent="0.45">
      <c r="A393" s="9" t="str">
        <v>WX349</v>
      </c>
      <c r="B393" t="s">
        <v>301</v>
      </c>
      <c r="C393" t="s">
        <v>265</v>
      </c>
      <c r="E393" s="46"/>
      <c r="F393" s="46"/>
      <c r="G393" s="46"/>
      <c r="H393" s="46"/>
      <c r="I393" s="46"/>
      <c r="J393" s="70">
        <f t="shared" ref="J393:S393" si="427">J216*(1+$B$4)</f>
        <v>7.5779497446115673E-2</v>
      </c>
      <c r="K393" s="70">
        <f t="shared" si="427"/>
        <v>0.3433739867135735</v>
      </c>
      <c r="L393" s="70">
        <f t="shared" si="427"/>
        <v>-0.11673823870574829</v>
      </c>
      <c r="M393" s="70">
        <f t="shared" si="427"/>
        <v>-0.35238517145365661</v>
      </c>
      <c r="N393" s="70">
        <f t="shared" si="427"/>
        <v>-0.52919105401642841</v>
      </c>
      <c r="O393" s="70">
        <f t="shared" si="427"/>
        <v>0</v>
      </c>
      <c r="P393" s="70">
        <f t="shared" si="427"/>
        <v>0</v>
      </c>
      <c r="Q393" s="70">
        <f t="shared" si="427"/>
        <v>0</v>
      </c>
      <c r="R393" s="70">
        <f t="shared" si="427"/>
        <v>0</v>
      </c>
      <c r="S393" s="70">
        <f t="shared" si="427"/>
        <v>0</v>
      </c>
    </row>
    <row r="394" spans="1:19" x14ac:dyDescent="0.45">
      <c r="A394" s="9" t="str">
        <v>WX351</v>
      </c>
      <c r="B394" t="s">
        <v>302</v>
      </c>
      <c r="C394" t="s">
        <v>265</v>
      </c>
      <c r="E394" s="46"/>
      <c r="F394" s="46"/>
      <c r="G394" s="46"/>
      <c r="H394" s="46"/>
      <c r="I394" s="46"/>
      <c r="J394" s="70">
        <f t="shared" ref="J394:S394" si="428">J217*(1+$B$4)</f>
        <v>6.2365057690953574E-2</v>
      </c>
      <c r="K394" s="70">
        <f t="shared" si="428"/>
        <v>-5.0292623096378629E-2</v>
      </c>
      <c r="L394" s="70">
        <f t="shared" si="428"/>
        <v>-0.21071258418159181</v>
      </c>
      <c r="M394" s="70">
        <f t="shared" si="428"/>
        <v>-0.15519937609131909</v>
      </c>
      <c r="N394" s="70">
        <f t="shared" si="428"/>
        <v>-0.16305775924767232</v>
      </c>
      <c r="O394" s="70">
        <f t="shared" si="428"/>
        <v>-0.23334677601825515</v>
      </c>
      <c r="P394" s="70">
        <f t="shared" si="428"/>
        <v>-0.77202936347682916</v>
      </c>
      <c r="Q394" s="70">
        <f t="shared" si="428"/>
        <v>0</v>
      </c>
      <c r="R394" s="70">
        <f t="shared" si="428"/>
        <v>0</v>
      </c>
      <c r="S394" s="70">
        <f t="shared" si="428"/>
        <v>0</v>
      </c>
    </row>
    <row r="395" spans="1:19" x14ac:dyDescent="0.45">
      <c r="A395" s="9" t="str">
        <v>WX355</v>
      </c>
      <c r="B395" t="s">
        <v>303</v>
      </c>
      <c r="C395" t="s">
        <v>265</v>
      </c>
      <c r="E395" s="46"/>
      <c r="F395" s="46"/>
      <c r="G395" s="46"/>
      <c r="H395" s="46"/>
      <c r="I395" s="46"/>
      <c r="J395" s="70">
        <f t="shared" ref="J395:S395" si="429">J218*(1+$B$4)</f>
        <v>-4.8135140694735852E-2</v>
      </c>
      <c r="K395" s="70">
        <f t="shared" si="429"/>
        <v>-0.33924612090902234</v>
      </c>
      <c r="L395" s="70">
        <f t="shared" si="429"/>
        <v>-6.7435919361712629E-2</v>
      </c>
      <c r="M395" s="70">
        <f t="shared" si="429"/>
        <v>-0.23103907902748561</v>
      </c>
      <c r="N395" s="70">
        <f t="shared" si="429"/>
        <v>0</v>
      </c>
      <c r="O395" s="70">
        <f t="shared" si="429"/>
        <v>0</v>
      </c>
      <c r="P395" s="70">
        <f t="shared" si="429"/>
        <v>0</v>
      </c>
      <c r="Q395" s="70">
        <f t="shared" si="429"/>
        <v>0</v>
      </c>
      <c r="R395" s="70">
        <f t="shared" si="429"/>
        <v>0</v>
      </c>
      <c r="S395" s="70">
        <f t="shared" si="429"/>
        <v>0</v>
      </c>
    </row>
    <row r="396" spans="1:19" x14ac:dyDescent="0.45">
      <c r="A396" s="9" t="str">
        <v>WN354</v>
      </c>
      <c r="B396" t="s">
        <v>304</v>
      </c>
      <c r="C396" t="s">
        <v>265</v>
      </c>
      <c r="E396" s="46"/>
      <c r="F396" s="46"/>
      <c r="G396" s="46"/>
      <c r="H396" s="46"/>
      <c r="I396" s="46"/>
      <c r="J396" s="70">
        <f t="shared" ref="J396:S396" si="430">J219*(1+$B$4)</f>
        <v>-4.8233115076805784E-2</v>
      </c>
      <c r="K396" s="70">
        <f t="shared" si="430"/>
        <v>-0.34053516252864724</v>
      </c>
      <c r="L396" s="70">
        <f t="shared" si="430"/>
        <v>-6.8069017826789271E-2</v>
      </c>
      <c r="M396" s="70">
        <f t="shared" si="430"/>
        <v>-0.22987611011240422</v>
      </c>
      <c r="N396" s="70">
        <f t="shared" si="430"/>
        <v>0</v>
      </c>
      <c r="O396" s="70">
        <f t="shared" si="430"/>
        <v>0</v>
      </c>
      <c r="P396" s="70">
        <f t="shared" si="430"/>
        <v>0</v>
      </c>
      <c r="Q396" s="70">
        <f t="shared" si="430"/>
        <v>0</v>
      </c>
      <c r="R396" s="70">
        <f t="shared" si="430"/>
        <v>0</v>
      </c>
      <c r="S396" s="70">
        <f t="shared" si="430"/>
        <v>0</v>
      </c>
    </row>
    <row r="397" spans="1:19" x14ac:dyDescent="0.45">
      <c r="A397" s="9" t="str">
        <v>WN158</v>
      </c>
      <c r="B397" t="s">
        <v>305</v>
      </c>
      <c r="C397" t="s">
        <v>261</v>
      </c>
      <c r="E397" s="46"/>
      <c r="F397" s="46"/>
      <c r="G397" s="46"/>
      <c r="H397" s="46"/>
      <c r="I397" s="46"/>
      <c r="J397" s="70">
        <f t="shared" ref="J397:S397" si="431">J220*(1+$B$4)</f>
        <v>-2.3013259459924693E-2</v>
      </c>
      <c r="K397" s="70">
        <f t="shared" si="431"/>
        <v>-2.5171762090687989E-2</v>
      </c>
      <c r="L397" s="70">
        <f t="shared" si="431"/>
        <v>-0.2684787869969712</v>
      </c>
      <c r="M397" s="70">
        <f t="shared" si="431"/>
        <v>-0.3269968149015523</v>
      </c>
      <c r="N397" s="70">
        <f t="shared" si="431"/>
        <v>-0.37033850245966754</v>
      </c>
      <c r="O397" s="70">
        <f t="shared" si="431"/>
        <v>0</v>
      </c>
      <c r="P397" s="70">
        <f t="shared" si="431"/>
        <v>0</v>
      </c>
      <c r="Q397" s="70">
        <f t="shared" si="431"/>
        <v>0</v>
      </c>
      <c r="R397" s="70">
        <f t="shared" si="431"/>
        <v>0</v>
      </c>
      <c r="S397" s="70">
        <f t="shared" si="431"/>
        <v>0</v>
      </c>
    </row>
    <row r="398" spans="1:19" x14ac:dyDescent="0.45">
      <c r="A398" s="9" t="str">
        <v>WX135</v>
      </c>
      <c r="B398" t="s">
        <v>306</v>
      </c>
      <c r="C398" t="s">
        <v>261</v>
      </c>
      <c r="E398" s="46"/>
      <c r="F398" s="46"/>
      <c r="G398" s="46"/>
      <c r="H398" s="46"/>
      <c r="I398" s="46"/>
      <c r="J398" s="70">
        <f t="shared" ref="J398:S398" si="432">J221*(1+$B$4)</f>
        <v>-2.3013259459924693E-2</v>
      </c>
      <c r="K398" s="70">
        <f t="shared" si="432"/>
        <v>-2.5171762090687989E-2</v>
      </c>
      <c r="L398" s="70">
        <f t="shared" si="432"/>
        <v>-0.26847878699697103</v>
      </c>
      <c r="M398" s="70">
        <f t="shared" si="432"/>
        <v>-0.32699681490155214</v>
      </c>
      <c r="N398" s="70">
        <f t="shared" si="432"/>
        <v>-0.37033850245966771</v>
      </c>
      <c r="O398" s="70">
        <f t="shared" si="432"/>
        <v>0</v>
      </c>
      <c r="P398" s="70">
        <f t="shared" si="432"/>
        <v>0</v>
      </c>
      <c r="Q398" s="70">
        <f t="shared" si="432"/>
        <v>0</v>
      </c>
      <c r="R398" s="70">
        <f t="shared" si="432"/>
        <v>0</v>
      </c>
      <c r="S398" s="70">
        <f t="shared" si="432"/>
        <v>0</v>
      </c>
    </row>
    <row r="399" spans="1:19" x14ac:dyDescent="0.45">
      <c r="A399" s="9" t="str">
        <v>WN138</v>
      </c>
      <c r="B399" t="s">
        <v>307</v>
      </c>
      <c r="C399" t="s">
        <v>261</v>
      </c>
      <c r="E399" s="46"/>
      <c r="F399" s="46"/>
      <c r="G399" s="46"/>
      <c r="H399" s="46"/>
      <c r="I399" s="46"/>
      <c r="J399" s="70">
        <f t="shared" ref="J399:S399" si="433">J222*(1+$B$4)</f>
        <v>-0.21759922758682512</v>
      </c>
      <c r="K399" s="70">
        <f t="shared" si="433"/>
        <v>-0.25989950931007411</v>
      </c>
      <c r="L399" s="70">
        <f t="shared" si="433"/>
        <v>-0.29606429697140646</v>
      </c>
      <c r="M399" s="70">
        <f t="shared" si="433"/>
        <v>-0.32699681490155241</v>
      </c>
      <c r="N399" s="70">
        <f t="shared" si="433"/>
        <v>-0.37033850245966754</v>
      </c>
      <c r="O399" s="70">
        <f t="shared" si="433"/>
        <v>0</v>
      </c>
      <c r="P399" s="70">
        <f t="shared" si="433"/>
        <v>0</v>
      </c>
      <c r="Q399" s="70">
        <f t="shared" si="433"/>
        <v>0</v>
      </c>
      <c r="R399" s="70">
        <f t="shared" si="433"/>
        <v>0</v>
      </c>
      <c r="S399" s="70">
        <f t="shared" si="433"/>
        <v>0</v>
      </c>
    </row>
    <row r="400" spans="1:19" x14ac:dyDescent="0.45">
      <c r="A400" s="9" t="str">
        <v>WX134</v>
      </c>
      <c r="B400" t="s">
        <v>308</v>
      </c>
      <c r="C400" t="s">
        <v>261</v>
      </c>
      <c r="E400" s="46"/>
      <c r="F400" s="46"/>
      <c r="G400" s="46"/>
      <c r="H400" s="46"/>
      <c r="I400" s="46"/>
      <c r="J400" s="70">
        <f t="shared" ref="J400:S400" si="434">J223*(1+$B$4)</f>
        <v>-0.21759922758682526</v>
      </c>
      <c r="K400" s="70">
        <f t="shared" si="434"/>
        <v>-0.259899509310074</v>
      </c>
      <c r="L400" s="70">
        <f t="shared" si="434"/>
        <v>-0.29606429697140657</v>
      </c>
      <c r="M400" s="70">
        <f t="shared" si="434"/>
        <v>-0.3269968149015523</v>
      </c>
      <c r="N400" s="70">
        <f t="shared" si="434"/>
        <v>-0.37033850245966754</v>
      </c>
      <c r="O400" s="70">
        <f t="shared" si="434"/>
        <v>0</v>
      </c>
      <c r="P400" s="70">
        <f t="shared" si="434"/>
        <v>0</v>
      </c>
      <c r="Q400" s="70">
        <f t="shared" si="434"/>
        <v>0</v>
      </c>
      <c r="R400" s="70">
        <f t="shared" si="434"/>
        <v>0</v>
      </c>
      <c r="S400" s="70">
        <f t="shared" si="434"/>
        <v>0</v>
      </c>
    </row>
    <row r="401" spans="1:19" x14ac:dyDescent="0.45">
      <c r="A401" s="9" t="str">
        <v>SL121</v>
      </c>
      <c r="B401" t="s">
        <v>309</v>
      </c>
      <c r="C401" t="s">
        <v>261</v>
      </c>
      <c r="E401" s="46"/>
      <c r="F401" s="46"/>
      <c r="G401" s="46"/>
      <c r="H401" s="46"/>
      <c r="I401" s="46"/>
      <c r="J401" s="70">
        <f t="shared" ref="J401:S401" si="435">J224*(1+$B$4)</f>
        <v>-0.10573804735601171</v>
      </c>
      <c r="K401" s="70">
        <f t="shared" si="435"/>
        <v>-0.10282148314604744</v>
      </c>
      <c r="L401" s="70">
        <f t="shared" si="435"/>
        <v>-0.26932079016750549</v>
      </c>
      <c r="M401" s="70">
        <f t="shared" si="435"/>
        <v>-0.40880588325331946</v>
      </c>
      <c r="N401" s="70">
        <f t="shared" si="435"/>
        <v>-0.63987176108863497</v>
      </c>
      <c r="O401" s="70">
        <f t="shared" si="435"/>
        <v>-0.73849379140856553</v>
      </c>
      <c r="P401" s="70">
        <f t="shared" si="435"/>
        <v>-0.2266898542841185</v>
      </c>
      <c r="Q401" s="70">
        <f t="shared" si="435"/>
        <v>0</v>
      </c>
      <c r="R401" s="70">
        <f t="shared" si="435"/>
        <v>0</v>
      </c>
      <c r="S401" s="70">
        <f t="shared" si="435"/>
        <v>0</v>
      </c>
    </row>
    <row r="402" spans="1:19" x14ac:dyDescent="0.45">
      <c r="A402" s="9" t="str">
        <v>SL122</v>
      </c>
      <c r="B402" t="s">
        <v>310</v>
      </c>
      <c r="C402" t="s">
        <v>261</v>
      </c>
      <c r="E402" s="46"/>
      <c r="F402" s="46"/>
      <c r="G402" s="46"/>
      <c r="H402" s="46"/>
      <c r="I402" s="46"/>
      <c r="J402" s="70">
        <f t="shared" ref="J402:S402" si="436">J225*(1+$B$4)</f>
        <v>-0.10573804735601171</v>
      </c>
      <c r="K402" s="70">
        <f t="shared" si="436"/>
        <v>-0.10282148314604757</v>
      </c>
      <c r="L402" s="70">
        <f t="shared" si="436"/>
        <v>-0.26932079016750521</v>
      </c>
      <c r="M402" s="70">
        <f t="shared" si="436"/>
        <v>-0.40880588325331946</v>
      </c>
      <c r="N402" s="70">
        <f t="shared" si="436"/>
        <v>-0.63987176108863497</v>
      </c>
      <c r="O402" s="70">
        <f t="shared" si="436"/>
        <v>-0.73849379140856553</v>
      </c>
      <c r="P402" s="70">
        <f t="shared" si="436"/>
        <v>-0.2266898542841185</v>
      </c>
      <c r="Q402" s="70">
        <f t="shared" si="436"/>
        <v>0</v>
      </c>
      <c r="R402" s="70">
        <f t="shared" si="436"/>
        <v>0</v>
      </c>
      <c r="S402" s="70">
        <f t="shared" si="436"/>
        <v>0</v>
      </c>
    </row>
    <row r="403" spans="1:19" x14ac:dyDescent="0.45">
      <c r="A403" s="9" t="str">
        <v>SL150</v>
      </c>
      <c r="B403" t="s">
        <v>311</v>
      </c>
      <c r="C403" t="s">
        <v>261</v>
      </c>
      <c r="E403" s="46"/>
      <c r="F403" s="46"/>
      <c r="G403" s="46"/>
      <c r="H403" s="46"/>
      <c r="I403" s="46"/>
      <c r="J403" s="70">
        <f t="shared" ref="J403:S403" si="437">J226*(1+$B$4)</f>
        <v>-0.10573804735601185</v>
      </c>
      <c r="K403" s="70">
        <f t="shared" si="437"/>
        <v>-0.10282148314604744</v>
      </c>
      <c r="L403" s="70">
        <f t="shared" si="437"/>
        <v>-0.26932079016750521</v>
      </c>
      <c r="M403" s="70">
        <f t="shared" si="437"/>
        <v>-0.40880588325331946</v>
      </c>
      <c r="N403" s="70">
        <f t="shared" si="437"/>
        <v>-0.63987176108863497</v>
      </c>
      <c r="O403" s="70">
        <f t="shared" si="437"/>
        <v>-0.73849379140856553</v>
      </c>
      <c r="P403" s="70">
        <f t="shared" si="437"/>
        <v>-0.2266898542841185</v>
      </c>
      <c r="Q403" s="70">
        <f t="shared" si="437"/>
        <v>0</v>
      </c>
      <c r="R403" s="70">
        <f t="shared" si="437"/>
        <v>0</v>
      </c>
      <c r="S403" s="70">
        <f t="shared" si="437"/>
        <v>0</v>
      </c>
    </row>
    <row r="404" spans="1:19" x14ac:dyDescent="0.45">
      <c r="A404" s="9" t="str">
        <v>SL151</v>
      </c>
      <c r="B404" t="s">
        <v>312</v>
      </c>
      <c r="C404" t="s">
        <v>261</v>
      </c>
      <c r="E404" s="46"/>
      <c r="F404" s="46"/>
      <c r="G404" s="46"/>
      <c r="H404" s="46"/>
      <c r="I404" s="46"/>
      <c r="J404" s="70">
        <f t="shared" ref="J404:S404" si="438">J227*(1+$B$4)</f>
        <v>-0.10573804735601185</v>
      </c>
      <c r="K404" s="70">
        <f t="shared" si="438"/>
        <v>-0.10282148314604757</v>
      </c>
      <c r="L404" s="70">
        <f t="shared" si="438"/>
        <v>-0.26932079016750549</v>
      </c>
      <c r="M404" s="70">
        <f t="shared" si="438"/>
        <v>-0.40880588325331929</v>
      </c>
      <c r="N404" s="70">
        <f t="shared" si="438"/>
        <v>-0.63987176108863497</v>
      </c>
      <c r="O404" s="70">
        <f t="shared" si="438"/>
        <v>-0.73849379140856553</v>
      </c>
      <c r="P404" s="70">
        <f t="shared" si="438"/>
        <v>-0.2266898542841185</v>
      </c>
      <c r="Q404" s="70">
        <f t="shared" si="438"/>
        <v>0</v>
      </c>
      <c r="R404" s="70">
        <f t="shared" si="438"/>
        <v>0</v>
      </c>
      <c r="S404" s="70">
        <f t="shared" si="438"/>
        <v>0</v>
      </c>
    </row>
    <row r="405" spans="1:19" x14ac:dyDescent="0.45">
      <c r="A405" s="9" t="str">
        <v>SL111</v>
      </c>
      <c r="B405" t="s">
        <v>313</v>
      </c>
      <c r="C405" t="s">
        <v>261</v>
      </c>
      <c r="E405" s="46"/>
      <c r="F405" s="46"/>
      <c r="G405" s="46"/>
      <c r="H405" s="46"/>
      <c r="I405" s="46"/>
      <c r="J405" s="70">
        <f t="shared" ref="J405:S405" si="439">J228*(1+$B$4)</f>
        <v>-0.33892783535627885</v>
      </c>
      <c r="K405" s="70">
        <f t="shared" si="439"/>
        <v>-0.3403261955554529</v>
      </c>
      <c r="L405" s="70">
        <f t="shared" si="439"/>
        <v>-0.29690630014194103</v>
      </c>
      <c r="M405" s="70">
        <f t="shared" si="439"/>
        <v>-0.40880588325331929</v>
      </c>
      <c r="N405" s="70">
        <f t="shared" si="439"/>
        <v>-0.63987176108863497</v>
      </c>
      <c r="O405" s="70">
        <f t="shared" si="439"/>
        <v>0</v>
      </c>
      <c r="P405" s="70">
        <f t="shared" si="439"/>
        <v>0</v>
      </c>
      <c r="Q405" s="70">
        <f t="shared" si="439"/>
        <v>0</v>
      </c>
      <c r="R405" s="70">
        <f t="shared" si="439"/>
        <v>0</v>
      </c>
      <c r="S405" s="70">
        <f t="shared" si="439"/>
        <v>0</v>
      </c>
    </row>
    <row r="406" spans="1:19" x14ac:dyDescent="0.45">
      <c r="A406" s="9" t="str">
        <v>SL112</v>
      </c>
      <c r="B406" t="s">
        <v>314</v>
      </c>
      <c r="C406" t="s">
        <v>261</v>
      </c>
      <c r="E406" s="46"/>
      <c r="F406" s="46"/>
      <c r="G406" s="46"/>
      <c r="H406" s="46"/>
      <c r="I406" s="46"/>
      <c r="J406" s="70">
        <f t="shared" ref="J406:S406" si="440">J229*(1+$B$4)</f>
        <v>-0.33892783535627885</v>
      </c>
      <c r="K406" s="70">
        <f t="shared" si="440"/>
        <v>-0.34032619555545301</v>
      </c>
      <c r="L406" s="70">
        <f t="shared" si="440"/>
        <v>-0.29690630014194086</v>
      </c>
      <c r="M406" s="70">
        <f t="shared" si="440"/>
        <v>-0.40880588325331946</v>
      </c>
      <c r="N406" s="70">
        <f t="shared" si="440"/>
        <v>-0.63987176108863497</v>
      </c>
      <c r="O406" s="70">
        <f t="shared" si="440"/>
        <v>0</v>
      </c>
      <c r="P406" s="70">
        <f t="shared" si="440"/>
        <v>0</v>
      </c>
      <c r="Q406" s="70">
        <f t="shared" si="440"/>
        <v>0</v>
      </c>
      <c r="R406" s="70">
        <f t="shared" si="440"/>
        <v>0</v>
      </c>
      <c r="S406" s="70">
        <f t="shared" si="440"/>
        <v>0</v>
      </c>
    </row>
    <row r="407" spans="1:19" x14ac:dyDescent="0.45">
      <c r="A407" s="9" t="str">
        <v>SL140</v>
      </c>
      <c r="B407" t="s">
        <v>315</v>
      </c>
      <c r="C407" t="s">
        <v>261</v>
      </c>
      <c r="E407" s="46"/>
      <c r="F407" s="46"/>
      <c r="G407" s="46"/>
      <c r="H407" s="46"/>
      <c r="I407" s="46"/>
      <c r="J407" s="70">
        <f t="shared" ref="J407:S407" si="441">J230*(1+$B$4)</f>
        <v>-0.33892783535627885</v>
      </c>
      <c r="K407" s="70">
        <f t="shared" si="441"/>
        <v>-0.3403261955554529</v>
      </c>
      <c r="L407" s="70">
        <f t="shared" si="441"/>
        <v>-0.29690630014194103</v>
      </c>
      <c r="M407" s="70">
        <f t="shared" si="441"/>
        <v>-0.40880588325331929</v>
      </c>
      <c r="N407" s="70">
        <f t="shared" si="441"/>
        <v>-0.63987176108863497</v>
      </c>
      <c r="O407" s="70">
        <f t="shared" si="441"/>
        <v>0</v>
      </c>
      <c r="P407" s="70">
        <f t="shared" si="441"/>
        <v>0</v>
      </c>
      <c r="Q407" s="70">
        <f t="shared" si="441"/>
        <v>0</v>
      </c>
      <c r="R407" s="70">
        <f t="shared" si="441"/>
        <v>0</v>
      </c>
      <c r="S407" s="70">
        <f t="shared" si="441"/>
        <v>0</v>
      </c>
    </row>
    <row r="408" spans="1:19" x14ac:dyDescent="0.45">
      <c r="A408" s="9" t="str">
        <v>SL144</v>
      </c>
      <c r="B408" t="s">
        <v>316</v>
      </c>
      <c r="C408" t="s">
        <v>261</v>
      </c>
      <c r="E408" s="46"/>
      <c r="F408" s="46"/>
      <c r="G408" s="46"/>
      <c r="H408" s="46"/>
      <c r="I408" s="46"/>
      <c r="J408" s="70">
        <f t="shared" ref="J408:S408" si="442">J231*(1+$B$4)</f>
        <v>-0.33892783535627885</v>
      </c>
      <c r="K408" s="70">
        <f t="shared" si="442"/>
        <v>-0.3403261955554529</v>
      </c>
      <c r="L408" s="70">
        <f t="shared" si="442"/>
        <v>-0.29690630014194086</v>
      </c>
      <c r="M408" s="70">
        <f t="shared" si="442"/>
        <v>-0.40880588325331946</v>
      </c>
      <c r="N408" s="70">
        <f t="shared" si="442"/>
        <v>-0.63987176108863497</v>
      </c>
      <c r="O408" s="70">
        <f t="shared" si="442"/>
        <v>0</v>
      </c>
      <c r="P408" s="70">
        <f t="shared" si="442"/>
        <v>0</v>
      </c>
      <c r="Q408" s="70">
        <f t="shared" si="442"/>
        <v>0</v>
      </c>
      <c r="R408" s="70">
        <f t="shared" si="442"/>
        <v>0</v>
      </c>
      <c r="S408" s="70">
        <f t="shared" si="442"/>
        <v>0</v>
      </c>
    </row>
    <row r="409" spans="1:19" x14ac:dyDescent="0.45">
      <c r="J409" s="51"/>
      <c r="K409" s="51"/>
      <c r="L409" s="51"/>
      <c r="M409" s="51"/>
      <c r="N409" s="51"/>
      <c r="O409" s="51"/>
      <c r="P409" s="51"/>
      <c r="Q409" s="51"/>
      <c r="R409" s="51"/>
      <c r="S409" s="51"/>
    </row>
    <row r="410" spans="1:19" x14ac:dyDescent="0.45">
      <c r="N410" s="51"/>
      <c r="O410" s="51"/>
      <c r="P410" s="51"/>
      <c r="Q410" s="51"/>
      <c r="R410" s="51"/>
      <c r="S410" s="51"/>
    </row>
    <row r="411" spans="1:19" x14ac:dyDescent="0.45">
      <c r="A411" s="23" t="s">
        <v>390</v>
      </c>
      <c r="I411" s="27" t="s">
        <v>360</v>
      </c>
    </row>
    <row r="412" spans="1:19" x14ac:dyDescent="0.45">
      <c r="A412" s="9" t="str" cm="1">
        <f t="array" ref="A412:A451">TD_service_codes</f>
        <v>WN127</v>
      </c>
      <c r="B412" t="s">
        <v>274</v>
      </c>
      <c r="C412" s="9" t="s">
        <v>275</v>
      </c>
      <c r="E412" s="173">
        <f>F412</f>
        <v>282491.67687755439</v>
      </c>
      <c r="F412" s="172">
        <f>IF($B$3="Prices",(F148*F19),IF($B$3="Costs",'Re-scaled copper costs'!V140,"Error"))</f>
        <v>282491.67687755439</v>
      </c>
      <c r="G412" s="172">
        <f>IF($B$3="Prices",(G148*G19),IF($B$3="Costs",'Re-scaled copper costs'!W140,"Error"))</f>
        <v>349539.89224279643</v>
      </c>
      <c r="H412" s="172">
        <f>IF($B$3="Prices",(H148*H19),IF($B$3="Costs",'Re-scaled copper costs'!X140,"Error"))</f>
        <v>235734.43766063245</v>
      </c>
      <c r="I412" s="24">
        <f>IF($B$3="Prices",(I148*I19),IF($B$3="Costs",'Top Down inputs'!G273,"Error"))</f>
        <v>216231.64227454682</v>
      </c>
      <c r="J412" s="24">
        <f>IF($B$3="Prices",(J148*J19),IF($B$3="Costs",'Top Down inputs'!H273,"Error"))</f>
        <v>148261.64064015989</v>
      </c>
      <c r="K412" s="24">
        <f>IF($B$3="Prices",(K148*K19),IF($B$3="Costs",'Top Down inputs'!I273,"Error"))</f>
        <v>54673.32609948609</v>
      </c>
      <c r="L412" s="24">
        <f>IF($B$3="Prices",(L148*L19),IF($B$3="Costs",'Top Down inputs'!J273,"Error"))</f>
        <v>42255.662386779979</v>
      </c>
      <c r="M412" s="24">
        <f>IF($B$3="Prices",(M148*M19),IF($B$3="Costs",'Top Down inputs'!K273,"Error"))</f>
        <v>39159.631501739546</v>
      </c>
      <c r="N412" s="24">
        <f>IF($B$3="Prices",(N148*N19),IF($B$3="Costs",'Top Down inputs'!L273,"Error"))</f>
        <v>39351.011588029309</v>
      </c>
      <c r="O412" s="69">
        <f>IF(O19=0,0,N412*(1+O369))</f>
        <v>29045.474456956592</v>
      </c>
      <c r="P412" s="69">
        <f t="shared" ref="P412:S412" si="443">IF(P19=0,0,O412*(1+P369))</f>
        <v>29122.552970028883</v>
      </c>
      <c r="Q412" s="69">
        <f t="shared" si="443"/>
        <v>0</v>
      </c>
      <c r="R412" s="69">
        <f t="shared" si="443"/>
        <v>0</v>
      </c>
      <c r="S412" s="69">
        <f t="shared" si="443"/>
        <v>0</v>
      </c>
    </row>
    <row r="413" spans="1:19" x14ac:dyDescent="0.45">
      <c r="A413" s="9" t="str">
        <v>WN346</v>
      </c>
      <c r="B413" t="s">
        <v>276</v>
      </c>
      <c r="C413" s="9" t="s">
        <v>275</v>
      </c>
      <c r="E413" s="173">
        <f t="shared" ref="E413:E451" si="444">F413</f>
        <v>870.57888461377115</v>
      </c>
      <c r="F413" s="172">
        <f>IF($B$3="Prices",(F149*F20),IF($B$3="Costs",'Re-scaled copper costs'!V141,"Error"))</f>
        <v>870.57888461377115</v>
      </c>
      <c r="G413" s="172">
        <f>IF($B$3="Prices",(G149*G20),IF($B$3="Costs",'Re-scaled copper costs'!W141,"Error"))</f>
        <v>786.39556634904568</v>
      </c>
      <c r="H413" s="172">
        <f>IF($B$3="Prices",(H149*H20),IF($B$3="Costs",'Re-scaled copper costs'!X141,"Error"))</f>
        <v>807.62363432448478</v>
      </c>
      <c r="I413" s="24">
        <f>IF($B$3="Prices",(I149*I20),IF($B$3="Costs",'Top Down inputs'!G274,"Error"))</f>
        <v>723.2909271592747</v>
      </c>
      <c r="J413" s="24">
        <f>IF($B$3="Prices",(J149*J20),IF($B$3="Costs",'Top Down inputs'!H274,"Error"))</f>
        <v>488.35908609120662</v>
      </c>
      <c r="K413" s="24">
        <f>IF($B$3="Prices",(K149*K20),IF($B$3="Costs",'Top Down inputs'!I274,"Error"))</f>
        <v>180.45010483021716</v>
      </c>
      <c r="L413" s="24">
        <f>IF($B$3="Prices",(L149*L20),IF($B$3="Costs",'Top Down inputs'!J274,"Error"))</f>
        <v>137.49542879944337</v>
      </c>
      <c r="M413" s="24">
        <f>IF($B$3="Prices",(M149*M20),IF($B$3="Costs",'Top Down inputs'!K274,"Error"))</f>
        <v>125.47312438539593</v>
      </c>
      <c r="N413" s="24">
        <f>IF($B$3="Prices",(N149*N20),IF($B$3="Costs",'Top Down inputs'!L274,"Error"))</f>
        <v>125.08366814834761</v>
      </c>
      <c r="O413" s="69">
        <f t="shared" ref="O413:S451" si="445">IF(O20=0,0,N413*(1+O370))</f>
        <v>92.32582191839937</v>
      </c>
      <c r="P413" s="69">
        <f t="shared" si="445"/>
        <v>92.570828660575103</v>
      </c>
      <c r="Q413" s="69">
        <f t="shared" si="445"/>
        <v>0</v>
      </c>
      <c r="R413" s="69">
        <f t="shared" si="445"/>
        <v>0</v>
      </c>
      <c r="S413" s="69">
        <f t="shared" si="445"/>
        <v>0</v>
      </c>
    </row>
    <row r="414" spans="1:19" x14ac:dyDescent="0.45">
      <c r="A414" s="9" t="str">
        <v>WX130</v>
      </c>
      <c r="B414" t="s">
        <v>277</v>
      </c>
      <c r="C414" s="9" t="s">
        <v>275</v>
      </c>
      <c r="E414" s="173">
        <f t="shared" si="444"/>
        <v>4535147.8315133741</v>
      </c>
      <c r="F414" s="172">
        <f>IF($B$3="Prices",(F150*F21),IF($B$3="Costs",'Re-scaled copper costs'!V142,"Error"))</f>
        <v>4535147.8315133741</v>
      </c>
      <c r="G414" s="172">
        <f>IF($B$3="Prices",(G150*G21),IF($B$3="Costs",'Re-scaled copper costs'!W142,"Error"))</f>
        <v>4974143.8686038712</v>
      </c>
      <c r="H414" s="172">
        <f>IF($B$3="Prices",(H150*H21),IF($B$3="Costs",'Re-scaled copper costs'!X142,"Error"))</f>
        <v>6065933.7740643322</v>
      </c>
      <c r="I414" s="24">
        <f>IF($B$3="Prices",(I150*I21),IF($B$3="Costs",'Top Down inputs'!G275,"Error"))</f>
        <v>4071306.8638855568</v>
      </c>
      <c r="J414" s="24">
        <f>IF($B$3="Prices",(J150*J21),IF($B$3="Costs",'Top Down inputs'!H275,"Error"))</f>
        <v>2927620.6478447812</v>
      </c>
      <c r="K414" s="24">
        <f>IF($B$3="Prices",(K150*K21),IF($B$3="Costs",'Top Down inputs'!I275,"Error"))</f>
        <v>1138579.6026918842</v>
      </c>
      <c r="L414" s="24">
        <f>IF($B$3="Prices",(L150*L21),IF($B$3="Costs",'Top Down inputs'!J275,"Error"))</f>
        <v>892024.97672214196</v>
      </c>
      <c r="M414" s="24">
        <f>IF($B$3="Prices",(M150*M21),IF($B$3="Costs",'Top Down inputs'!K275,"Error"))</f>
        <v>837834.66470254015</v>
      </c>
      <c r="N414" s="24">
        <f>IF($B$3="Prices",(N150*N21),IF($B$3="Costs",'Top Down inputs'!L275,"Error"))</f>
        <v>854758.13580146851</v>
      </c>
      <c r="O414" s="69">
        <f t="shared" si="445"/>
        <v>630907.68441261083</v>
      </c>
      <c r="P414" s="69">
        <f t="shared" si="445"/>
        <v>632581.93581010366</v>
      </c>
      <c r="Q414" s="69">
        <f t="shared" si="445"/>
        <v>0</v>
      </c>
      <c r="R414" s="69">
        <f t="shared" si="445"/>
        <v>0</v>
      </c>
      <c r="S414" s="69">
        <f t="shared" si="445"/>
        <v>0</v>
      </c>
    </row>
    <row r="415" spans="1:19" x14ac:dyDescent="0.45">
      <c r="A415" s="9" t="str">
        <v>WX347</v>
      </c>
      <c r="B415" t="s">
        <v>278</v>
      </c>
      <c r="C415" s="9" t="s">
        <v>275</v>
      </c>
      <c r="E415" s="173">
        <f t="shared" si="444"/>
        <v>49459514.272883467</v>
      </c>
      <c r="F415" s="172">
        <f>IF($B$3="Prices",(F151*F22),IF($B$3="Costs",'Re-scaled copper costs'!V143,"Error"))</f>
        <v>49459514.272883467</v>
      </c>
      <c r="G415" s="172">
        <f>IF($B$3="Prices",(G151*G22),IF($B$3="Costs",'Re-scaled copper costs'!W143,"Error"))</f>
        <v>67198877.174330115</v>
      </c>
      <c r="H415" s="172">
        <f>IF($B$3="Prices",(H151*H22),IF($B$3="Costs",'Re-scaled copper costs'!X143,"Error"))</f>
        <v>73640357.674289271</v>
      </c>
      <c r="I415" s="24">
        <f>IF($B$3="Prices",(I151*I22),IF($B$3="Costs",'Top Down inputs'!G276,"Error"))</f>
        <v>49611089.818124443</v>
      </c>
      <c r="J415" s="24">
        <f>IF($B$3="Prices",(J151*J22),IF($B$3="Costs",'Top Down inputs'!H276,"Error"))</f>
        <v>36583206.265053794</v>
      </c>
      <c r="K415" s="24">
        <f>IF($B$3="Prices",(K151*K22),IF($B$3="Costs",'Top Down inputs'!I276,"Error"))</f>
        <v>13648588.421177549</v>
      </c>
      <c r="L415" s="24">
        <f>IF($B$3="Prices",(L151*L22),IF($B$3="Costs",'Top Down inputs'!J276,"Error"))</f>
        <v>10608738.832128821</v>
      </c>
      <c r="M415" s="24">
        <f>IF($B$3="Prices",(M151*M22),IF($B$3="Costs",'Top Down inputs'!K276,"Error"))</f>
        <v>9801978.5348038767</v>
      </c>
      <c r="N415" s="24">
        <f>IF($B$3="Prices",(N151*N22),IF($B$3="Costs",'Top Down inputs'!L276,"Error"))</f>
        <v>10024747.63258964</v>
      </c>
      <c r="O415" s="69">
        <f t="shared" si="445"/>
        <v>7399391.7703603385</v>
      </c>
      <c r="P415" s="69">
        <f t="shared" si="445"/>
        <v>7419027.6732320189</v>
      </c>
      <c r="Q415" s="69">
        <f t="shared" si="445"/>
        <v>0</v>
      </c>
      <c r="R415" s="69">
        <f t="shared" si="445"/>
        <v>0</v>
      </c>
      <c r="S415" s="69">
        <f t="shared" si="445"/>
        <v>0</v>
      </c>
    </row>
    <row r="416" spans="1:19" x14ac:dyDescent="0.45">
      <c r="A416" s="9" t="str">
        <v>WX129</v>
      </c>
      <c r="B416" t="s">
        <v>279</v>
      </c>
      <c r="C416" s="9" t="s">
        <v>3</v>
      </c>
      <c r="E416" s="173">
        <f t="shared" si="444"/>
        <v>2034886.9082533417</v>
      </c>
      <c r="F416" s="172">
        <f>IF($B$3="Prices",(F152*F23),IF($B$3="Costs",'Re-scaled copper costs'!V144,"Error"))</f>
        <v>2034886.9082533417</v>
      </c>
      <c r="G416" s="172">
        <f>IF($B$3="Prices",(G152*G23),IF($B$3="Costs",'Re-scaled copper costs'!W144,"Error"))</f>
        <v>1274534.6495252498</v>
      </c>
      <c r="H416" s="172">
        <f>IF($B$3="Prices",(H152*H23),IF($B$3="Costs",'Re-scaled copper costs'!X144,"Error"))</f>
        <v>819157.7926258666</v>
      </c>
      <c r="I416" s="24">
        <f>IF($B$3="Prices",(I152*I23),IF($B$3="Costs",'Top Down inputs'!G277,"Error"))</f>
        <v>670069.37185007054</v>
      </c>
      <c r="J416" s="24">
        <f>IF($B$3="Prices",(J152*J23),IF($B$3="Costs",'Top Down inputs'!H277,"Error"))</f>
        <v>353543.56348680396</v>
      </c>
      <c r="K416" s="24">
        <f>IF($B$3="Prices",(K152*K23),IF($B$3="Costs",'Top Down inputs'!I277,"Error"))</f>
        <v>118960.64047508534</v>
      </c>
      <c r="L416" s="24">
        <f>IF($B$3="Prices",(L152*L23),IF($B$3="Costs",'Top Down inputs'!J277,"Error"))</f>
        <v>83185.030990793734</v>
      </c>
      <c r="M416" s="24">
        <f>IF($B$3="Prices",(M152*M23),IF($B$3="Costs",'Top Down inputs'!K277,"Error"))</f>
        <v>67900.912665467098</v>
      </c>
      <c r="N416" s="24">
        <f>IF($B$3="Prices",(N152*N23),IF($B$3="Costs",'Top Down inputs'!L277,"Error"))</f>
        <v>135198.6889372564</v>
      </c>
      <c r="O416" s="69">
        <f t="shared" si="445"/>
        <v>0</v>
      </c>
      <c r="P416" s="69">
        <f t="shared" si="445"/>
        <v>0</v>
      </c>
      <c r="Q416" s="69">
        <f t="shared" si="445"/>
        <v>0</v>
      </c>
      <c r="R416" s="69">
        <f t="shared" si="445"/>
        <v>0</v>
      </c>
      <c r="S416" s="69">
        <f t="shared" si="445"/>
        <v>0</v>
      </c>
    </row>
    <row r="417" spans="1:19" x14ac:dyDescent="0.45">
      <c r="A417" s="9" t="str">
        <v>WN123</v>
      </c>
      <c r="B417" t="s">
        <v>280</v>
      </c>
      <c r="C417" s="9" t="s">
        <v>3</v>
      </c>
      <c r="E417" s="173">
        <f t="shared" si="444"/>
        <v>28.715109126406677</v>
      </c>
      <c r="F417" s="172">
        <f>IF($B$3="Prices",(F153*F24),IF($B$3="Costs",'Re-scaled copper costs'!V145,"Error"))</f>
        <v>28.715109126406677</v>
      </c>
      <c r="G417" s="172">
        <f>IF($B$3="Prices",(G153*G24),IF($B$3="Costs",'Re-scaled copper costs'!W145,"Error"))</f>
        <v>659.8561169701527</v>
      </c>
      <c r="H417" s="172">
        <f>IF($B$3="Prices",(H153*H24),IF($B$3="Costs",'Re-scaled copper costs'!X145,"Error"))</f>
        <v>929.6194178126517</v>
      </c>
      <c r="I417" s="24">
        <f>IF($B$3="Prices",(I153*I24),IF($B$3="Costs",'Top Down inputs'!G278,"Error"))</f>
        <v>0</v>
      </c>
      <c r="J417" s="24">
        <f>IF($B$3="Prices",(J153*J24),IF($B$3="Costs",'Top Down inputs'!H278,"Error"))</f>
        <v>0</v>
      </c>
      <c r="K417" s="24">
        <f>IF($B$3="Prices",(K153*K24),IF($B$3="Costs",'Top Down inputs'!I278,"Error"))</f>
        <v>0</v>
      </c>
      <c r="L417" s="24">
        <f>IF($B$3="Prices",(L153*L24),IF($B$3="Costs",'Top Down inputs'!J278,"Error"))</f>
        <v>0</v>
      </c>
      <c r="M417" s="24">
        <f>IF($B$3="Prices",(M153*M24),IF($B$3="Costs",'Top Down inputs'!K278,"Error"))</f>
        <v>0</v>
      </c>
      <c r="N417" s="24">
        <f>IF($B$3="Prices",(N153*N24),IF($B$3="Costs",'Top Down inputs'!L278,"Error"))</f>
        <v>0</v>
      </c>
      <c r="O417" s="69">
        <f t="shared" si="445"/>
        <v>0</v>
      </c>
      <c r="P417" s="69">
        <f t="shared" si="445"/>
        <v>0</v>
      </c>
      <c r="Q417" s="69">
        <f t="shared" si="445"/>
        <v>0</v>
      </c>
      <c r="R417" s="69">
        <f t="shared" si="445"/>
        <v>0</v>
      </c>
      <c r="S417" s="69">
        <f t="shared" si="445"/>
        <v>0</v>
      </c>
    </row>
    <row r="418" spans="1:19" x14ac:dyDescent="0.45">
      <c r="A418" s="9" t="str">
        <v>WN300</v>
      </c>
      <c r="B418" t="s">
        <v>281</v>
      </c>
      <c r="C418" s="9" t="s">
        <v>275</v>
      </c>
      <c r="E418" s="173">
        <f t="shared" si="444"/>
        <v>21641408.642586604</v>
      </c>
      <c r="F418" s="172">
        <f>IF($B$3="Prices",(F154*F25),IF($B$3="Costs",'Re-scaled copper costs'!V146,"Error"))</f>
        <v>21641408.642586604</v>
      </c>
      <c r="G418" s="172">
        <f>IF($B$3="Prices",(G154*G25),IF($B$3="Costs",'Re-scaled copper costs'!W146,"Error"))</f>
        <v>24481325.882884447</v>
      </c>
      <c r="H418" s="172">
        <f>IF($B$3="Prices",(H154*H25),IF($B$3="Costs",'Re-scaled copper costs'!X146,"Error"))</f>
        <v>22494546.73257447</v>
      </c>
      <c r="I418" s="24">
        <f>IF($B$3="Prices",(I154*I25),IF($B$3="Costs",'Top Down inputs'!G279,"Error"))</f>
        <v>10585055.984098883</v>
      </c>
      <c r="J418" s="24">
        <f>IF($B$3="Prices",(J154*J25),IF($B$3="Costs",'Top Down inputs'!H279,"Error"))</f>
        <v>4753761.0752783278</v>
      </c>
      <c r="K418" s="24">
        <f>IF($B$3="Prices",(K154*K25),IF($B$3="Costs",'Top Down inputs'!I279,"Error"))</f>
        <v>294985.25397780014</v>
      </c>
      <c r="L418" s="24">
        <f>IF($B$3="Prices",(L154*L25),IF($B$3="Costs",'Top Down inputs'!J279,"Error"))</f>
        <v>0</v>
      </c>
      <c r="M418" s="24">
        <f>IF($B$3="Prices",(M154*M25),IF($B$3="Costs",'Top Down inputs'!K279,"Error"))</f>
        <v>0</v>
      </c>
      <c r="N418" s="24">
        <f>IF($B$3="Prices",(N154*N25),IF($B$3="Costs",'Top Down inputs'!L279,"Error"))</f>
        <v>0</v>
      </c>
      <c r="O418" s="69">
        <f t="shared" si="445"/>
        <v>0</v>
      </c>
      <c r="P418" s="69">
        <f t="shared" si="445"/>
        <v>0</v>
      </c>
      <c r="Q418" s="69">
        <f t="shared" si="445"/>
        <v>0</v>
      </c>
      <c r="R418" s="69">
        <f t="shared" si="445"/>
        <v>0</v>
      </c>
      <c r="S418" s="69">
        <f t="shared" si="445"/>
        <v>0</v>
      </c>
    </row>
    <row r="419" spans="1:19" x14ac:dyDescent="0.45">
      <c r="A419" s="9" t="str">
        <v>WN301</v>
      </c>
      <c r="B419" t="s">
        <v>282</v>
      </c>
      <c r="C419" s="9" t="s">
        <v>275</v>
      </c>
      <c r="E419" s="173">
        <f t="shared" si="444"/>
        <v>8379168.9904742818</v>
      </c>
      <c r="F419" s="172">
        <f>IF($B$3="Prices",(F155*F26),IF($B$3="Costs",'Re-scaled copper costs'!V147,"Error"))</f>
        <v>8379168.9904742818</v>
      </c>
      <c r="G419" s="172">
        <f>IF($B$3="Prices",(G155*G26),IF($B$3="Costs",'Re-scaled copper costs'!W147,"Error"))</f>
        <v>11410332.188765531</v>
      </c>
      <c r="H419" s="172">
        <f>IF($B$3="Prices",(H155*H26),IF($B$3="Costs",'Re-scaled copper costs'!X147,"Error"))</f>
        <v>10364233.741094505</v>
      </c>
      <c r="I419" s="24">
        <f>IF($B$3="Prices",(I155*I26),IF($B$3="Costs",'Top Down inputs'!G280,"Error"))</f>
        <v>5369876.1430794643</v>
      </c>
      <c r="J419" s="24">
        <f>IF($B$3="Prices",(J155*J26),IF($B$3="Costs",'Top Down inputs'!H280,"Error"))</f>
        <v>2390259.248826989</v>
      </c>
      <c r="K419" s="24">
        <f>IF($B$3="Prices",(K155*K26),IF($B$3="Costs",'Top Down inputs'!I280,"Error"))</f>
        <v>145736.73994243777</v>
      </c>
      <c r="L419" s="24">
        <f>IF($B$3="Prices",(L155*L26),IF($B$3="Costs",'Top Down inputs'!J280,"Error"))</f>
        <v>0</v>
      </c>
      <c r="M419" s="24">
        <f>IF($B$3="Prices",(M155*M26),IF($B$3="Costs",'Top Down inputs'!K280,"Error"))</f>
        <v>0</v>
      </c>
      <c r="N419" s="24">
        <f>IF($B$3="Prices",(N155*N26),IF($B$3="Costs",'Top Down inputs'!L280,"Error"))</f>
        <v>0</v>
      </c>
      <c r="O419" s="69">
        <f t="shared" si="445"/>
        <v>0</v>
      </c>
      <c r="P419" s="69">
        <f t="shared" si="445"/>
        <v>0</v>
      </c>
      <c r="Q419" s="69">
        <f t="shared" si="445"/>
        <v>0</v>
      </c>
      <c r="R419" s="69">
        <f t="shared" si="445"/>
        <v>0</v>
      </c>
      <c r="S419" s="69">
        <f t="shared" si="445"/>
        <v>0</v>
      </c>
    </row>
    <row r="420" spans="1:19" x14ac:dyDescent="0.45">
      <c r="A420" s="9" t="str">
        <v>WX310</v>
      </c>
      <c r="B420" t="s">
        <v>283</v>
      </c>
      <c r="C420" s="9" t="s">
        <v>275</v>
      </c>
      <c r="E420" s="173">
        <f t="shared" si="444"/>
        <v>21778481.651655838</v>
      </c>
      <c r="F420" s="172">
        <f>IF($B$3="Prices",(F156*F27),IF($B$3="Costs",'Re-scaled copper costs'!V148,"Error"))</f>
        <v>21778481.651655838</v>
      </c>
      <c r="G420" s="172">
        <f>IF($B$3="Prices",(G156*G27),IF($B$3="Costs",'Re-scaled copper costs'!W148,"Error"))</f>
        <v>32429980.279373795</v>
      </c>
      <c r="H420" s="172">
        <f>IF($B$3="Prices",(H156*H27),IF($B$3="Costs",'Re-scaled copper costs'!X148,"Error"))</f>
        <v>30830555.658629775</v>
      </c>
      <c r="I420" s="24">
        <f>IF($B$3="Prices",(I156*I27),IF($B$3="Costs",'Top Down inputs'!G281,"Error"))</f>
        <v>20158049.384709619</v>
      </c>
      <c r="J420" s="24">
        <f>IF($B$3="Prices",(J156*J27),IF($B$3="Costs",'Top Down inputs'!H281,"Error"))</f>
        <v>8969777.5705258064</v>
      </c>
      <c r="K420" s="24">
        <f>IF($B$3="Prices",(K156*K27),IF($B$3="Costs",'Top Down inputs'!I281,"Error"))</f>
        <v>554433.85045748716</v>
      </c>
      <c r="L420" s="24">
        <f>IF($B$3="Prices",(L156*L27),IF($B$3="Costs",'Top Down inputs'!J281,"Error"))</f>
        <v>0</v>
      </c>
      <c r="M420" s="24">
        <f>IF($B$3="Prices",(M156*M27),IF($B$3="Costs",'Top Down inputs'!K281,"Error"))</f>
        <v>0</v>
      </c>
      <c r="N420" s="24">
        <f>IF($B$3="Prices",(N156*N27),IF($B$3="Costs",'Top Down inputs'!L281,"Error"))</f>
        <v>0</v>
      </c>
      <c r="O420" s="69">
        <f t="shared" si="445"/>
        <v>0</v>
      </c>
      <c r="P420" s="69">
        <f t="shared" si="445"/>
        <v>0</v>
      </c>
      <c r="Q420" s="69">
        <f t="shared" si="445"/>
        <v>0</v>
      </c>
      <c r="R420" s="69">
        <f t="shared" si="445"/>
        <v>0</v>
      </c>
      <c r="S420" s="69">
        <f t="shared" si="445"/>
        <v>0</v>
      </c>
    </row>
    <row r="421" spans="1:19" x14ac:dyDescent="0.45">
      <c r="A421" s="9" t="str">
        <v>WX311</v>
      </c>
      <c r="B421" t="s">
        <v>284</v>
      </c>
      <c r="C421" s="9" t="s">
        <v>275</v>
      </c>
      <c r="E421" s="173">
        <f t="shared" si="444"/>
        <v>14800270.69899942</v>
      </c>
      <c r="F421" s="172">
        <f>IF($B$3="Prices",(F157*F28),IF($B$3="Costs",'Re-scaled copper costs'!V149,"Error"))</f>
        <v>14800270.69899942</v>
      </c>
      <c r="G421" s="172">
        <f>IF($B$3="Prices",(G157*G28),IF($B$3="Costs",'Re-scaled copper costs'!W149,"Error"))</f>
        <v>17073357.440325301</v>
      </c>
      <c r="H421" s="172">
        <f>IF($B$3="Prices",(H157*H28),IF($B$3="Costs",'Re-scaled copper costs'!X149,"Error"))</f>
        <v>17216739.540464938</v>
      </c>
      <c r="I421" s="24">
        <f>IF($B$3="Prices",(I157*I28),IF($B$3="Costs",'Top Down inputs'!G282,"Error"))</f>
        <v>11712470.969782518</v>
      </c>
      <c r="J421" s="24">
        <f>IF($B$3="Prices",(J157*J28),IF($B$3="Costs",'Top Down inputs'!H282,"Error"))</f>
        <v>5156577.7606334593</v>
      </c>
      <c r="K421" s="24">
        <f>IF($B$3="Prices",(K157*K28),IF($B$3="Costs",'Top Down inputs'!I282,"Error"))</f>
        <v>313277.28683137533</v>
      </c>
      <c r="L421" s="24">
        <f>IF($B$3="Prices",(L157*L28),IF($B$3="Costs",'Top Down inputs'!J282,"Error"))</f>
        <v>0</v>
      </c>
      <c r="M421" s="24">
        <f>IF($B$3="Prices",(M157*M28),IF($B$3="Costs",'Top Down inputs'!K282,"Error"))</f>
        <v>0</v>
      </c>
      <c r="N421" s="24">
        <f>IF($B$3="Prices",(N157*N28),IF($B$3="Costs",'Top Down inputs'!L282,"Error"))</f>
        <v>0</v>
      </c>
      <c r="O421" s="69">
        <f t="shared" si="445"/>
        <v>0</v>
      </c>
      <c r="P421" s="69">
        <f t="shared" si="445"/>
        <v>0</v>
      </c>
      <c r="Q421" s="69">
        <f t="shared" si="445"/>
        <v>0</v>
      </c>
      <c r="R421" s="69">
        <f t="shared" si="445"/>
        <v>0</v>
      </c>
      <c r="S421" s="69">
        <f t="shared" si="445"/>
        <v>0</v>
      </c>
    </row>
    <row r="422" spans="1:19" x14ac:dyDescent="0.45">
      <c r="A422" s="9" t="str">
        <v>WN302</v>
      </c>
      <c r="B422" t="s">
        <v>285</v>
      </c>
      <c r="C422" s="9" t="s">
        <v>3</v>
      </c>
      <c r="E422" s="173">
        <f t="shared" si="444"/>
        <v>323534.23396122461</v>
      </c>
      <c r="F422" s="172">
        <f>IF($B$3="Prices",(F158*F29),IF($B$3="Costs",'Re-scaled copper costs'!V150,"Error"))</f>
        <v>323534.23396122461</v>
      </c>
      <c r="G422" s="172">
        <f>IF($B$3="Prices",(G158*G29),IF($B$3="Costs",'Re-scaled copper costs'!W150,"Error"))</f>
        <v>158265.04884823225</v>
      </c>
      <c r="H422" s="172">
        <f>IF($B$3="Prices",(H158*H29),IF($B$3="Costs",'Re-scaled copper costs'!X150,"Error"))</f>
        <v>122730.05044511569</v>
      </c>
      <c r="I422" s="24">
        <f>IF($B$3="Prices",(I158*I29),IF($B$3="Costs",'Top Down inputs'!G283,"Error"))</f>
        <v>58091.431178661987</v>
      </c>
      <c r="J422" s="24">
        <f>IF($B$3="Prices",(J158*J29),IF($B$3="Costs",'Top Down inputs'!H283,"Error"))</f>
        <v>21894.511160644699</v>
      </c>
      <c r="K422" s="24">
        <f>IF($B$3="Prices",(K158*K29),IF($B$3="Costs",'Top Down inputs'!I283,"Error"))</f>
        <v>1196.9417731194242</v>
      </c>
      <c r="L422" s="24">
        <f>IF($B$3="Prices",(L158*L29),IF($B$3="Costs",'Top Down inputs'!J283,"Error"))</f>
        <v>0</v>
      </c>
      <c r="M422" s="24">
        <f>IF($B$3="Prices",(M158*M29),IF($B$3="Costs",'Top Down inputs'!K283,"Error"))</f>
        <v>0</v>
      </c>
      <c r="N422" s="24">
        <f>IF($B$3="Prices",(N158*N29),IF($B$3="Costs",'Top Down inputs'!L283,"Error"))</f>
        <v>0</v>
      </c>
      <c r="O422" s="69">
        <f t="shared" si="445"/>
        <v>0</v>
      </c>
      <c r="P422" s="69">
        <f t="shared" si="445"/>
        <v>0</v>
      </c>
      <c r="Q422" s="69">
        <f t="shared" si="445"/>
        <v>0</v>
      </c>
      <c r="R422" s="69">
        <f t="shared" si="445"/>
        <v>0</v>
      </c>
      <c r="S422" s="69">
        <f t="shared" si="445"/>
        <v>0</v>
      </c>
    </row>
    <row r="423" spans="1:19" x14ac:dyDescent="0.45">
      <c r="A423" s="9" t="str">
        <v>WX312</v>
      </c>
      <c r="B423" t="s">
        <v>286</v>
      </c>
      <c r="C423" s="9" t="s">
        <v>3</v>
      </c>
      <c r="E423" s="173">
        <f t="shared" si="444"/>
        <v>280921.64252575435</v>
      </c>
      <c r="F423" s="172">
        <f>IF($B$3="Prices",(F159*F30),IF($B$3="Costs",'Re-scaled copper costs'!V151,"Error"))</f>
        <v>280921.64252575435</v>
      </c>
      <c r="G423" s="172">
        <f>IF($B$3="Prices",(G159*G30),IF($B$3="Costs",'Re-scaled copper costs'!W151,"Error"))</f>
        <v>323615.39888657455</v>
      </c>
      <c r="H423" s="172">
        <f>IF($B$3="Prices",(H159*H30),IF($B$3="Costs",'Re-scaled copper costs'!X151,"Error"))</f>
        <v>715349.78927191324</v>
      </c>
      <c r="I423" s="24">
        <f>IF($B$3="Prices",(I159*I30),IF($B$3="Costs",'Top Down inputs'!G284,"Error"))</f>
        <v>318289.0592999389</v>
      </c>
      <c r="J423" s="24">
        <f>IF($B$3="Prices",(J159*J30),IF($B$3="Costs",'Top Down inputs'!H284,"Error"))</f>
        <v>121875.70514912986</v>
      </c>
      <c r="K423" s="24">
        <f>IF($B$3="Prices",(K159*K30),IF($B$3="Costs",'Top Down inputs'!I284,"Error"))</f>
        <v>7077.3004594262275</v>
      </c>
      <c r="L423" s="24">
        <f>IF($B$3="Prices",(L159*L30),IF($B$3="Costs",'Top Down inputs'!J284,"Error"))</f>
        <v>0</v>
      </c>
      <c r="M423" s="24">
        <f>IF($B$3="Prices",(M159*M30),IF($B$3="Costs",'Top Down inputs'!K284,"Error"))</f>
        <v>0</v>
      </c>
      <c r="N423" s="24">
        <f>IF($B$3="Prices",(N159*N30),IF($B$3="Costs",'Top Down inputs'!L284,"Error"))</f>
        <v>0</v>
      </c>
      <c r="O423" s="69">
        <f t="shared" si="445"/>
        <v>0</v>
      </c>
      <c r="P423" s="69">
        <f t="shared" si="445"/>
        <v>0</v>
      </c>
      <c r="Q423" s="69">
        <f t="shared" si="445"/>
        <v>0</v>
      </c>
      <c r="R423" s="69">
        <f t="shared" si="445"/>
        <v>0</v>
      </c>
      <c r="S423" s="69">
        <f t="shared" si="445"/>
        <v>0</v>
      </c>
    </row>
    <row r="424" spans="1:19" x14ac:dyDescent="0.45">
      <c r="A424" s="9" t="str">
        <v>WX338</v>
      </c>
      <c r="B424" t="s">
        <v>287</v>
      </c>
      <c r="C424" s="9" t="s">
        <v>3</v>
      </c>
      <c r="E424" s="173">
        <f t="shared" si="444"/>
        <v>276742.95399790118</v>
      </c>
      <c r="F424" s="172">
        <f>IF($B$3="Prices",(F160*F31),IF($B$3="Costs",'Re-scaled copper costs'!V152,"Error"))</f>
        <v>276742.95399790118</v>
      </c>
      <c r="G424" s="172">
        <f>IF($B$3="Prices",(G160*G31),IF($B$3="Costs",'Re-scaled copper costs'!W152,"Error"))</f>
        <v>324557.26963081572</v>
      </c>
      <c r="H424" s="172">
        <f>IF($B$3="Prices",(H160*H31),IF($B$3="Costs",'Re-scaled copper costs'!X152,"Error"))</f>
        <v>191990.57020856327</v>
      </c>
      <c r="I424" s="24">
        <f>IF($B$3="Prices",(I160*I31),IF($B$3="Costs",'Top Down inputs'!G285,"Error"))</f>
        <v>105833.14153355436</v>
      </c>
      <c r="J424" s="24">
        <f>IF($B$3="Prices",(J160*J31),IF($B$3="Costs",'Top Down inputs'!H285,"Error"))</f>
        <v>40168.195969907014</v>
      </c>
      <c r="K424" s="24">
        <f>IF($B$3="Prices",(K160*K31),IF($B$3="Costs",'Top Down inputs'!I285,"Error"))</f>
        <v>2322.5149356261236</v>
      </c>
      <c r="L424" s="24">
        <f>IF($B$3="Prices",(L160*L31),IF($B$3="Costs",'Top Down inputs'!J285,"Error"))</f>
        <v>0</v>
      </c>
      <c r="M424" s="24">
        <f>IF($B$3="Prices",(M160*M31),IF($B$3="Costs",'Top Down inputs'!K285,"Error"))</f>
        <v>0</v>
      </c>
      <c r="N424" s="24">
        <f>IF($B$3="Prices",(N160*N31),IF($B$3="Costs",'Top Down inputs'!L285,"Error"))</f>
        <v>0</v>
      </c>
      <c r="O424" s="69">
        <f t="shared" si="445"/>
        <v>0</v>
      </c>
      <c r="P424" s="69">
        <f t="shared" si="445"/>
        <v>0</v>
      </c>
      <c r="Q424" s="69">
        <f t="shared" si="445"/>
        <v>0</v>
      </c>
      <c r="R424" s="69">
        <f t="shared" si="445"/>
        <v>0</v>
      </c>
      <c r="S424" s="69">
        <f t="shared" si="445"/>
        <v>0</v>
      </c>
    </row>
    <row r="425" spans="1:19" x14ac:dyDescent="0.45">
      <c r="A425" s="9" t="str">
        <v>WN336</v>
      </c>
      <c r="B425" t="s">
        <v>288</v>
      </c>
      <c r="C425" s="9" t="s">
        <v>3</v>
      </c>
      <c r="E425" s="173">
        <f t="shared" si="444"/>
        <v>150877.73150494581</v>
      </c>
      <c r="F425" s="172">
        <f>IF($B$3="Prices",(F161*F32),IF($B$3="Costs",'Re-scaled copper costs'!V153,"Error"))</f>
        <v>150877.73150494581</v>
      </c>
      <c r="G425" s="172">
        <f>IF($B$3="Prices",(G161*G32),IF($B$3="Costs",'Re-scaled copper costs'!W153,"Error"))</f>
        <v>116409.11316905938</v>
      </c>
      <c r="H425" s="172">
        <f>IF($B$3="Prices",(H161*H32),IF($B$3="Costs",'Re-scaled copper costs'!X153,"Error"))</f>
        <v>60216.523471411114</v>
      </c>
      <c r="I425" s="24">
        <f>IF($B$3="Prices",(I161*I32),IF($B$3="Costs",'Top Down inputs'!G286,"Error"))</f>
        <v>30709.423858320686</v>
      </c>
      <c r="J425" s="24">
        <f>IF($B$3="Prices",(J161*J32),IF($B$3="Costs",'Top Down inputs'!H286,"Error"))</f>
        <v>11465.071617124415</v>
      </c>
      <c r="K425" s="24">
        <f>IF($B$3="Prices",(K161*K32),IF($B$3="Costs",'Top Down inputs'!I286,"Error"))</f>
        <v>623.53881408288919</v>
      </c>
      <c r="L425" s="24">
        <f>IF($B$3="Prices",(L161*L32),IF($B$3="Costs",'Top Down inputs'!J286,"Error"))</f>
        <v>0</v>
      </c>
      <c r="M425" s="24">
        <f>IF($B$3="Prices",(M161*M32),IF($B$3="Costs",'Top Down inputs'!K286,"Error"))</f>
        <v>0</v>
      </c>
      <c r="N425" s="24">
        <f>IF($B$3="Prices",(N161*N32),IF($B$3="Costs",'Top Down inputs'!L286,"Error"))</f>
        <v>0</v>
      </c>
      <c r="O425" s="69">
        <f t="shared" si="445"/>
        <v>0</v>
      </c>
      <c r="P425" s="69">
        <f t="shared" si="445"/>
        <v>0</v>
      </c>
      <c r="Q425" s="69">
        <f t="shared" si="445"/>
        <v>0</v>
      </c>
      <c r="R425" s="69">
        <f t="shared" si="445"/>
        <v>0</v>
      </c>
      <c r="S425" s="69">
        <f t="shared" si="445"/>
        <v>0</v>
      </c>
    </row>
    <row r="426" spans="1:19" x14ac:dyDescent="0.45">
      <c r="A426" s="9" t="str">
        <v>WN303</v>
      </c>
      <c r="B426" t="s">
        <v>289</v>
      </c>
      <c r="C426" s="9" t="s">
        <v>3</v>
      </c>
      <c r="E426" s="173">
        <f t="shared" si="444"/>
        <v>2216113.3522696081</v>
      </c>
      <c r="F426" s="172">
        <f>IF($B$3="Prices",(F162*F33),IF($B$3="Costs",'Re-scaled copper costs'!V154,"Error"))</f>
        <v>2216113.3522696081</v>
      </c>
      <c r="G426" s="172">
        <f>IF($B$3="Prices",(G162*G33),IF($B$3="Costs",'Re-scaled copper costs'!W154,"Error"))</f>
        <v>1631150.1398873064</v>
      </c>
      <c r="H426" s="172">
        <f>IF($B$3="Prices",(H162*H33),IF($B$3="Costs",'Re-scaled copper costs'!X154,"Error"))</f>
        <v>752889.23912553815</v>
      </c>
      <c r="I426" s="24">
        <f>IF($B$3="Prices",(I162*I33),IF($B$3="Costs",'Top Down inputs'!G287,"Error"))</f>
        <v>386432.74146426143</v>
      </c>
      <c r="J426" s="24">
        <f>IF($B$3="Prices",(J162*J33),IF($B$3="Costs",'Top Down inputs'!H287,"Error"))</f>
        <v>144343.43284601858</v>
      </c>
      <c r="K426" s="24">
        <f>IF($B$3="Prices",(K162*K33),IF($B$3="Costs",'Top Down inputs'!I287,"Error"))</f>
        <v>7865.5479741841073</v>
      </c>
      <c r="L426" s="24">
        <f>IF($B$3="Prices",(L162*L33),IF($B$3="Costs",'Top Down inputs'!J287,"Error"))</f>
        <v>0</v>
      </c>
      <c r="M426" s="24">
        <f>IF($B$3="Prices",(M162*M33),IF($B$3="Costs",'Top Down inputs'!K287,"Error"))</f>
        <v>0</v>
      </c>
      <c r="N426" s="24">
        <f>IF($B$3="Prices",(N162*N33),IF($B$3="Costs",'Top Down inputs'!L287,"Error"))</f>
        <v>0</v>
      </c>
      <c r="O426" s="69">
        <f t="shared" si="445"/>
        <v>0</v>
      </c>
      <c r="P426" s="69">
        <f t="shared" si="445"/>
        <v>0</v>
      </c>
      <c r="Q426" s="69">
        <f t="shared" si="445"/>
        <v>0</v>
      </c>
      <c r="R426" s="69">
        <f t="shared" si="445"/>
        <v>0</v>
      </c>
      <c r="S426" s="69">
        <f t="shared" si="445"/>
        <v>0</v>
      </c>
    </row>
    <row r="427" spans="1:19" x14ac:dyDescent="0.45">
      <c r="A427" s="9" t="str">
        <v>WN337</v>
      </c>
      <c r="B427" t="s">
        <v>290</v>
      </c>
      <c r="C427" s="9" t="s">
        <v>3</v>
      </c>
      <c r="E427" s="173">
        <f t="shared" si="444"/>
        <v>1624672.1134064414</v>
      </c>
      <c r="F427" s="172">
        <f>IF($B$3="Prices",(F163*F34),IF($B$3="Costs",'Re-scaled copper costs'!V155,"Error"))</f>
        <v>1624672.1134064414</v>
      </c>
      <c r="G427" s="172">
        <f>IF($B$3="Prices",(G163*G34),IF($B$3="Costs",'Re-scaled copper costs'!W155,"Error"))</f>
        <v>976807.13029874489</v>
      </c>
      <c r="H427" s="172">
        <f>IF($B$3="Prices",(H163*H34),IF($B$3="Costs",'Re-scaled copper costs'!X155,"Error"))</f>
        <v>396571.34389646002</v>
      </c>
      <c r="I427" s="24">
        <f>IF($B$3="Prices",(I163*I34),IF($B$3="Costs",'Top Down inputs'!G288,"Error"))</f>
        <v>142943.90616184782</v>
      </c>
      <c r="J427" s="24">
        <f>IF($B$3="Prices",(J163*J34),IF($B$3="Costs",'Top Down inputs'!H288,"Error"))</f>
        <v>53895.990750795027</v>
      </c>
      <c r="K427" s="24">
        <f>IF($B$3="Prices",(K163*K34),IF($B$3="Costs",'Top Down inputs'!I288,"Error"))</f>
        <v>2950.5232894862656</v>
      </c>
      <c r="L427" s="24">
        <f>IF($B$3="Prices",(L163*L34),IF($B$3="Costs",'Top Down inputs'!J288,"Error"))</f>
        <v>0</v>
      </c>
      <c r="M427" s="24">
        <f>IF($B$3="Prices",(M163*M34),IF($B$3="Costs",'Top Down inputs'!K288,"Error"))</f>
        <v>0</v>
      </c>
      <c r="N427" s="24">
        <f>IF($B$3="Prices",(N163*N34),IF($B$3="Costs",'Top Down inputs'!L288,"Error"))</f>
        <v>0</v>
      </c>
      <c r="O427" s="69">
        <f t="shared" si="445"/>
        <v>0</v>
      </c>
      <c r="P427" s="69">
        <f t="shared" si="445"/>
        <v>0</v>
      </c>
      <c r="Q427" s="69">
        <f t="shared" si="445"/>
        <v>0</v>
      </c>
      <c r="R427" s="69">
        <f t="shared" si="445"/>
        <v>0</v>
      </c>
      <c r="S427" s="69">
        <f t="shared" si="445"/>
        <v>0</v>
      </c>
    </row>
    <row r="428" spans="1:19" x14ac:dyDescent="0.45">
      <c r="A428" s="9" t="str">
        <v>WX313</v>
      </c>
      <c r="B428" t="s">
        <v>291</v>
      </c>
      <c r="C428" s="9" t="s">
        <v>3</v>
      </c>
      <c r="E428" s="173">
        <f t="shared" si="444"/>
        <v>1893322.4677408645</v>
      </c>
      <c r="F428" s="172">
        <f>IF($B$3="Prices",(F164*F35),IF($B$3="Costs",'Re-scaled copper costs'!V156,"Error"))</f>
        <v>1893322.4677408645</v>
      </c>
      <c r="G428" s="172">
        <f>IF($B$3="Prices",(G164*G35),IF($B$3="Costs",'Re-scaled copper costs'!W156,"Error"))</f>
        <v>979929.26658734051</v>
      </c>
      <c r="H428" s="172">
        <f>IF($B$3="Prices",(H164*H35),IF($B$3="Costs",'Re-scaled copper costs'!X156,"Error"))</f>
        <v>376387.6181603212</v>
      </c>
      <c r="I428" s="24">
        <f>IF($B$3="Prices",(I164*I35),IF($B$3="Costs",'Top Down inputs'!G289,"Error"))</f>
        <v>255976.82699536116</v>
      </c>
      <c r="J428" s="24">
        <f>IF($B$3="Prices",(J164*J35),IF($B$3="Costs",'Top Down inputs'!H289,"Error"))</f>
        <v>97185.861531733404</v>
      </c>
      <c r="K428" s="24">
        <f>IF($B$3="Prices",(K164*K35),IF($B$3="Costs",'Top Down inputs'!I289,"Error"))</f>
        <v>5635.4664411440535</v>
      </c>
      <c r="L428" s="24">
        <f>IF($B$3="Prices",(L164*L35),IF($B$3="Costs",'Top Down inputs'!J289,"Error"))</f>
        <v>0</v>
      </c>
      <c r="M428" s="24">
        <f>IF($B$3="Prices",(M164*M35),IF($B$3="Costs",'Top Down inputs'!K289,"Error"))</f>
        <v>0</v>
      </c>
      <c r="N428" s="24">
        <f>IF($B$3="Prices",(N164*N35),IF($B$3="Costs",'Top Down inputs'!L289,"Error"))</f>
        <v>0</v>
      </c>
      <c r="O428" s="69">
        <f t="shared" si="445"/>
        <v>0</v>
      </c>
      <c r="P428" s="69">
        <f t="shared" si="445"/>
        <v>0</v>
      </c>
      <c r="Q428" s="69">
        <f t="shared" si="445"/>
        <v>0</v>
      </c>
      <c r="R428" s="69">
        <f t="shared" si="445"/>
        <v>0</v>
      </c>
      <c r="S428" s="69">
        <f t="shared" si="445"/>
        <v>0</v>
      </c>
    </row>
    <row r="429" spans="1:19" x14ac:dyDescent="0.45">
      <c r="A429" s="9" t="str">
        <v>WX339</v>
      </c>
      <c r="B429" t="s">
        <v>292</v>
      </c>
      <c r="C429" s="9" t="s">
        <v>3</v>
      </c>
      <c r="E429" s="173">
        <f t="shared" si="444"/>
        <v>4288241.7480213763</v>
      </c>
      <c r="F429" s="172">
        <f>IF($B$3="Prices",(F165*F36),IF($B$3="Costs",'Re-scaled copper costs'!V157,"Error"))</f>
        <v>4288241.7480213763</v>
      </c>
      <c r="G429" s="172">
        <f>IF($B$3="Prices",(G165*G36),IF($B$3="Costs",'Re-scaled copper costs'!W157,"Error"))</f>
        <v>2399260.4621679187</v>
      </c>
      <c r="H429" s="172">
        <f>IF($B$3="Prices",(H165*H36),IF($B$3="Costs",'Re-scaled copper costs'!X157,"Error"))</f>
        <v>932083.27619044972</v>
      </c>
      <c r="I429" s="24">
        <f>IF($B$3="Prices",(I165*I36),IF($B$3="Costs",'Top Down inputs'!G290,"Error"))</f>
        <v>560492.06689498376</v>
      </c>
      <c r="J429" s="24">
        <f>IF($B$3="Prices",(J165*J36),IF($B$3="Costs",'Top Down inputs'!H290,"Error"))</f>
        <v>214825.98511448689</v>
      </c>
      <c r="K429" s="24">
        <f>IF($B$3="Prices",(K165*K36),IF($B$3="Costs",'Top Down inputs'!I290,"Error"))</f>
        <v>12498.452414683314</v>
      </c>
      <c r="L429" s="24">
        <f>IF($B$3="Prices",(L165*L36),IF($B$3="Costs",'Top Down inputs'!J290,"Error"))</f>
        <v>0</v>
      </c>
      <c r="M429" s="24">
        <f>IF($B$3="Prices",(M165*M36),IF($B$3="Costs",'Top Down inputs'!K290,"Error"))</f>
        <v>0</v>
      </c>
      <c r="N429" s="24">
        <f>IF($B$3="Prices",(N165*N36),IF($B$3="Costs",'Top Down inputs'!L290,"Error"))</f>
        <v>0</v>
      </c>
      <c r="O429" s="69">
        <f t="shared" si="445"/>
        <v>0</v>
      </c>
      <c r="P429" s="69">
        <f t="shared" si="445"/>
        <v>0</v>
      </c>
      <c r="Q429" s="69">
        <f t="shared" si="445"/>
        <v>0</v>
      </c>
      <c r="R429" s="69">
        <f t="shared" si="445"/>
        <v>0</v>
      </c>
      <c r="S429" s="69">
        <f t="shared" si="445"/>
        <v>0</v>
      </c>
    </row>
    <row r="430" spans="1:19" x14ac:dyDescent="0.45">
      <c r="A430" s="9" t="str">
        <v>WN332</v>
      </c>
      <c r="B430" t="s">
        <v>293</v>
      </c>
      <c r="C430" s="9" t="s">
        <v>275</v>
      </c>
      <c r="E430" s="173">
        <f t="shared" si="444"/>
        <v>1078036.0973707745</v>
      </c>
      <c r="F430" s="172">
        <f>IF($B$3="Prices",(F166*F37),IF($B$3="Costs",'Re-scaled copper costs'!V158,"Error"))</f>
        <v>1078036.0973707745</v>
      </c>
      <c r="G430" s="172">
        <f>IF($B$3="Prices",(G166*G37),IF($B$3="Costs",'Re-scaled copper costs'!W158,"Error"))</f>
        <v>1728213.1371978035</v>
      </c>
      <c r="H430" s="172">
        <f>IF($B$3="Prices",(H166*H37),IF($B$3="Costs",'Re-scaled copper costs'!X158,"Error"))</f>
        <v>1329143.0319734751</v>
      </c>
      <c r="I430" s="24">
        <f>IF($B$3="Prices",(I166*I37),IF($B$3="Costs",'Top Down inputs'!G291,"Error"))</f>
        <v>913244.39377394295</v>
      </c>
      <c r="J430" s="24">
        <f>IF($B$3="Prices",(J166*J37),IF($B$3="Costs",'Top Down inputs'!H291,"Error"))</f>
        <v>1166244.8434749057</v>
      </c>
      <c r="K430" s="24">
        <f>IF($B$3="Prices",(K166*K37),IF($B$3="Costs",'Top Down inputs'!I291,"Error"))</f>
        <v>1277214.5592787368</v>
      </c>
      <c r="L430" s="24">
        <f>IF($B$3="Prices",(L166*L37),IF($B$3="Costs",'Top Down inputs'!J291,"Error"))</f>
        <v>1484763.7674236901</v>
      </c>
      <c r="M430" s="24">
        <f>IF($B$3="Prices",(M166*M37),IF($B$3="Costs",'Top Down inputs'!K291,"Error"))</f>
        <v>1771160.9588857079</v>
      </c>
      <c r="N430" s="24">
        <f>IF($B$3="Prices",(N166*N37),IF($B$3="Costs",'Top Down inputs'!L291,"Error"))</f>
        <v>2201403.0568188792</v>
      </c>
      <c r="O430" s="69">
        <f t="shared" si="445"/>
        <v>2197428.0622603232</v>
      </c>
      <c r="P430" s="69">
        <f t="shared" si="445"/>
        <v>2193176.3566275905</v>
      </c>
      <c r="Q430" s="69">
        <f t="shared" si="445"/>
        <v>0</v>
      </c>
      <c r="R430" s="69">
        <f t="shared" si="445"/>
        <v>0</v>
      </c>
      <c r="S430" s="69">
        <f t="shared" si="445"/>
        <v>0</v>
      </c>
    </row>
    <row r="431" spans="1:19" x14ac:dyDescent="0.45">
      <c r="A431" s="9" t="str">
        <v>WX334</v>
      </c>
      <c r="B431" t="s">
        <v>295</v>
      </c>
      <c r="C431" s="9" t="s">
        <v>275</v>
      </c>
      <c r="E431" s="173">
        <f t="shared" si="444"/>
        <v>593027.26959419169</v>
      </c>
      <c r="F431" s="172">
        <f>IF($B$3="Prices",(F167*F38),IF($B$3="Costs",'Re-scaled copper costs'!V159,"Error"))</f>
        <v>593027.26959419169</v>
      </c>
      <c r="G431" s="172">
        <f>IF($B$3="Prices",(G167*G38),IF($B$3="Costs",'Re-scaled copper costs'!W159,"Error"))</f>
        <v>974476.66002418194</v>
      </c>
      <c r="H431" s="172">
        <f>IF($B$3="Prices",(H167*H38),IF($B$3="Costs",'Re-scaled copper costs'!X159,"Error"))</f>
        <v>1715274.6758329235</v>
      </c>
      <c r="I431" s="24">
        <f>IF($B$3="Prices",(I167*I38),IF($B$3="Costs",'Top Down inputs'!G292,"Error"))</f>
        <v>1582920.3957755512</v>
      </c>
      <c r="J431" s="24">
        <f>IF($B$3="Prices",(J167*J38),IF($B$3="Costs",'Top Down inputs'!H292,"Error"))</f>
        <v>1948247.8457948756</v>
      </c>
      <c r="K431" s="24">
        <f>IF($B$3="Prices",(K167*K38),IF($B$3="Costs",'Top Down inputs'!I292,"Error"))</f>
        <v>2100381.7815631921</v>
      </c>
      <c r="L431" s="24">
        <f>IF($B$3="Prices",(L167*L38),IF($B$3="Costs",'Top Down inputs'!J292,"Error"))</f>
        <v>2363408.988126684</v>
      </c>
      <c r="M431" s="24">
        <f>IF($B$3="Prices",(M167*M38),IF($B$3="Costs",'Top Down inputs'!K292,"Error"))</f>
        <v>2713400.2548258933</v>
      </c>
      <c r="N431" s="24">
        <f>IF($B$3="Prices",(N167*N38),IF($B$3="Costs",'Top Down inputs'!L292,"Error"))</f>
        <v>3273325.8784408406</v>
      </c>
      <c r="O431" s="69">
        <f t="shared" si="445"/>
        <v>3267415.3512818632</v>
      </c>
      <c r="P431" s="69">
        <f t="shared" si="445"/>
        <v>3261093.3749259091</v>
      </c>
      <c r="Q431" s="69">
        <f t="shared" si="445"/>
        <v>0</v>
      </c>
      <c r="R431" s="69">
        <f t="shared" si="445"/>
        <v>0</v>
      </c>
      <c r="S431" s="69">
        <f t="shared" si="445"/>
        <v>0</v>
      </c>
    </row>
    <row r="432" spans="1:19" x14ac:dyDescent="0.45">
      <c r="A432" s="9" t="str">
        <v>WN333</v>
      </c>
      <c r="B432" t="s">
        <v>296</v>
      </c>
      <c r="C432" s="9" t="s">
        <v>3</v>
      </c>
      <c r="E432" s="173">
        <f t="shared" si="444"/>
        <v>226790.57915259601</v>
      </c>
      <c r="F432" s="172">
        <f>IF($B$3="Prices",(F168*F39),IF($B$3="Costs",'Re-scaled copper costs'!V160,"Error"))</f>
        <v>226790.57915259601</v>
      </c>
      <c r="G432" s="172">
        <f>IF($B$3="Prices",(G168*G39),IF($B$3="Costs",'Re-scaled copper costs'!W160,"Error"))</f>
        <v>410423.4850935014</v>
      </c>
      <c r="H432" s="172">
        <f>IF($B$3="Prices",(H168*H39),IF($B$3="Costs",'Re-scaled copper costs'!X160,"Error"))</f>
        <v>147699.16262523498</v>
      </c>
      <c r="I432" s="24">
        <f>IF($B$3="Prices",(I168*I39),IF($B$3="Costs",'Top Down inputs'!G293,"Error"))</f>
        <v>149357.96342501452</v>
      </c>
      <c r="J432" s="24">
        <f>IF($B$3="Prices",(J168*J39),IF($B$3="Costs",'Top Down inputs'!H293,"Error"))</f>
        <v>157353.12186051242</v>
      </c>
      <c r="K432" s="24">
        <f>IF($B$3="Prices",(K168*K39),IF($B$3="Costs",'Top Down inputs'!I293,"Error"))</f>
        <v>154664.86484666241</v>
      </c>
      <c r="L432" s="24">
        <f>IF($B$3="Prices",(L168*L39),IF($B$3="Costs",'Top Down inputs'!J293,"Error"))</f>
        <v>154207.78282962472</v>
      </c>
      <c r="M432" s="24">
        <f>IF($B$3="Prices",(M168*M39),IF($B$3="Costs",'Top Down inputs'!K293,"Error"))</f>
        <v>150837.01814599236</v>
      </c>
      <c r="N432" s="24">
        <f>IF($B$3="Prices",(N168*N39),IF($B$3="Costs",'Top Down inputs'!L293,"Error"))</f>
        <v>289786.02196784283</v>
      </c>
      <c r="O432" s="69">
        <f t="shared" si="445"/>
        <v>289262.76573954796</v>
      </c>
      <c r="P432" s="69">
        <f t="shared" si="445"/>
        <v>288703.08410465991</v>
      </c>
      <c r="Q432" s="69">
        <f t="shared" si="445"/>
        <v>0</v>
      </c>
      <c r="R432" s="69">
        <f t="shared" si="445"/>
        <v>0</v>
      </c>
      <c r="S432" s="69">
        <f t="shared" si="445"/>
        <v>0</v>
      </c>
    </row>
    <row r="433" spans="1:19" x14ac:dyDescent="0.45">
      <c r="A433" s="9" t="str">
        <v>WX335</v>
      </c>
      <c r="B433" t="s">
        <v>297</v>
      </c>
      <c r="C433" s="9" t="s">
        <v>3</v>
      </c>
      <c r="E433" s="173">
        <f t="shared" si="444"/>
        <v>132321.48417800805</v>
      </c>
      <c r="F433" s="172">
        <f>IF($B$3="Prices",(F169*F40),IF($B$3="Costs",'Re-scaled copper costs'!V161,"Error"))</f>
        <v>132321.48417800805</v>
      </c>
      <c r="G433" s="172">
        <f>IF($B$3="Prices",(G169*G40),IF($B$3="Costs",'Re-scaled copper costs'!W161,"Error"))</f>
        <v>96579.908025008437</v>
      </c>
      <c r="H433" s="172">
        <f>IF($B$3="Prices",(H169*H40),IF($B$3="Costs",'Re-scaled copper costs'!X161,"Error"))</f>
        <v>25997.825666234148</v>
      </c>
      <c r="I433" s="24">
        <f>IF($B$3="Prices",(I169*I40),IF($B$3="Costs",'Top Down inputs'!G294,"Error"))</f>
        <v>78386.368811965294</v>
      </c>
      <c r="J433" s="24">
        <f>IF($B$3="Prices",(J169*J40),IF($B$3="Costs",'Top Down inputs'!H294,"Error"))</f>
        <v>83902.089499677109</v>
      </c>
      <c r="K433" s="24">
        <f>IF($B$3="Prices",(K169*K40),IF($B$3="Costs",'Top Down inputs'!I294,"Error"))</f>
        <v>87642.490506162925</v>
      </c>
      <c r="L433" s="24">
        <f>IF($B$3="Prices",(L169*L40),IF($B$3="Costs",'Top Down inputs'!J294,"Error"))</f>
        <v>89346.577637357477</v>
      </c>
      <c r="M433" s="24">
        <f>IF($B$3="Prices",(M169*M40),IF($B$3="Costs",'Top Down inputs'!K294,"Error"))</f>
        <v>92210.535287252409</v>
      </c>
      <c r="N433" s="24">
        <f>IF($B$3="Prices",(N169*N40),IF($B$3="Costs",'Top Down inputs'!L294,"Error"))</f>
        <v>1347269.8056275847</v>
      </c>
      <c r="O433" s="69">
        <f t="shared" si="445"/>
        <v>1344837.0888519408</v>
      </c>
      <c r="P433" s="69">
        <f t="shared" si="445"/>
        <v>1342235.0234992765</v>
      </c>
      <c r="Q433" s="69">
        <f t="shared" si="445"/>
        <v>0</v>
      </c>
      <c r="R433" s="69">
        <f t="shared" si="445"/>
        <v>0</v>
      </c>
      <c r="S433" s="69">
        <f t="shared" si="445"/>
        <v>0</v>
      </c>
    </row>
    <row r="434" spans="1:19" x14ac:dyDescent="0.45">
      <c r="A434" s="9" t="str">
        <v>WN348</v>
      </c>
      <c r="B434" t="s">
        <v>298</v>
      </c>
      <c r="C434" s="9" t="s">
        <v>275</v>
      </c>
      <c r="E434" s="173">
        <f t="shared" si="444"/>
        <v>5420205.8911816645</v>
      </c>
      <c r="F434" s="172">
        <f>IF($B$3="Prices",(F170*F41),IF($B$3="Costs",'Re-scaled copper costs'!V162,"Error"))</f>
        <v>5420205.8911816645</v>
      </c>
      <c r="G434" s="172">
        <f>IF($B$3="Prices",(G170*G41),IF($B$3="Costs",'Re-scaled copper costs'!W162,"Error"))</f>
        <v>12840051.212597167</v>
      </c>
      <c r="H434" s="172">
        <f>IF($B$3="Prices",(H170*H41),IF($B$3="Costs",'Re-scaled copper costs'!X162,"Error"))</f>
        <v>24886368.426620509</v>
      </c>
      <c r="I434" s="24">
        <f>IF($B$3="Prices",(I170*I41),IF($B$3="Costs",'Top Down inputs'!G295,"Error"))</f>
        <v>40128807.812760018</v>
      </c>
      <c r="J434" s="24">
        <f>IF($B$3="Prices",(J170*J41),IF($B$3="Costs",'Top Down inputs'!H295,"Error"))</f>
        <v>52109957.385809466</v>
      </c>
      <c r="K434" s="24">
        <f>IF($B$3="Prices",(K170*K41),IF($B$3="Costs",'Top Down inputs'!I295,"Error"))</f>
        <v>76978847.360969067</v>
      </c>
      <c r="L434" s="24">
        <f>IF($B$3="Prices",(L170*L41),IF($B$3="Costs",'Top Down inputs'!J295,"Error"))</f>
        <v>76756769.044990793</v>
      </c>
      <c r="M434" s="24">
        <f>IF($B$3="Prices",(M170*M41),IF($B$3="Costs",'Top Down inputs'!K295,"Error"))</f>
        <v>59748484.183374129</v>
      </c>
      <c r="N434" s="24">
        <f>IF($B$3="Prices",(N170*N41),IF($B$3="Costs",'Top Down inputs'!L295,"Error"))</f>
        <v>35345139.433141597</v>
      </c>
      <c r="O434" s="69">
        <f t="shared" si="445"/>
        <v>0</v>
      </c>
      <c r="P434" s="69">
        <f t="shared" si="445"/>
        <v>0</v>
      </c>
      <c r="Q434" s="69">
        <f t="shared" si="445"/>
        <v>0</v>
      </c>
      <c r="R434" s="69">
        <f t="shared" si="445"/>
        <v>0</v>
      </c>
      <c r="S434" s="69">
        <f t="shared" si="445"/>
        <v>0</v>
      </c>
    </row>
    <row r="435" spans="1:19" x14ac:dyDescent="0.45">
      <c r="A435" s="9" t="str">
        <v>WN350</v>
      </c>
      <c r="B435" t="s">
        <v>300</v>
      </c>
      <c r="C435" s="9" t="s">
        <v>275</v>
      </c>
      <c r="E435" s="173">
        <f t="shared" si="444"/>
        <v>18078785.291532371</v>
      </c>
      <c r="F435" s="172">
        <f>IF($B$3="Prices",(F171*F42),IF($B$3="Costs",'Re-scaled copper costs'!V163,"Error"))</f>
        <v>18078785.291532371</v>
      </c>
      <c r="G435" s="172">
        <f>IF($B$3="Prices",(G171*G42),IF($B$3="Costs",'Re-scaled copper costs'!W163,"Error"))</f>
        <v>39513301.234225422</v>
      </c>
      <c r="H435" s="172">
        <f>IF($B$3="Prices",(H171*H42),IF($B$3="Costs",'Re-scaled copper costs'!X163,"Error"))</f>
        <v>73776919.902869374</v>
      </c>
      <c r="I435" s="24">
        <f>IF($B$3="Prices",(I171*I42),IF($B$3="Costs",'Top Down inputs'!G296,"Error"))</f>
        <v>89982850.841782153</v>
      </c>
      <c r="J435" s="24">
        <f>IF($B$3="Prices",(J171*J42),IF($B$3="Costs",'Top Down inputs'!H296,"Error"))</f>
        <v>113640311.1448461</v>
      </c>
      <c r="K435" s="24">
        <f>IF($B$3="Prices",(K171*K42),IF($B$3="Costs",'Top Down inputs'!I296,"Error"))</f>
        <v>117845190.75184563</v>
      </c>
      <c r="L435" s="24">
        <f>IF($B$3="Prices",(L171*L42),IF($B$3="Costs",'Top Down inputs'!J296,"Error"))</f>
        <v>107937789.1739904</v>
      </c>
      <c r="M435" s="24">
        <f>IF($B$3="Prices",(M171*M42),IF($B$3="Costs",'Top Down inputs'!K296,"Error"))</f>
        <v>106454541.46586366</v>
      </c>
      <c r="N435" s="24">
        <f>IF($B$3="Prices",(N171*N42),IF($B$3="Costs",'Top Down inputs'!L296,"Error"))</f>
        <v>109689379.51716483</v>
      </c>
      <c r="O435" s="69">
        <f t="shared" si="445"/>
        <v>84093716.443391562</v>
      </c>
      <c r="P435" s="69">
        <f t="shared" si="445"/>
        <v>19170898.065199014</v>
      </c>
      <c r="Q435" s="69">
        <f t="shared" si="445"/>
        <v>0</v>
      </c>
      <c r="R435" s="69">
        <f t="shared" si="445"/>
        <v>0</v>
      </c>
      <c r="S435" s="69">
        <f t="shared" si="445"/>
        <v>0</v>
      </c>
    </row>
    <row r="436" spans="1:19" x14ac:dyDescent="0.45">
      <c r="A436" s="9" t="str">
        <v>WX349</v>
      </c>
      <c r="B436" t="s">
        <v>301</v>
      </c>
      <c r="C436" s="9" t="s">
        <v>275</v>
      </c>
      <c r="E436" s="173">
        <f t="shared" si="444"/>
        <v>3144206.8287478699</v>
      </c>
      <c r="F436" s="172">
        <f>IF($B$3="Prices",(F172*F43),IF($B$3="Costs",'Re-scaled copper costs'!V164,"Error"))</f>
        <v>3144206.8287478699</v>
      </c>
      <c r="G436" s="172">
        <f>IF($B$3="Prices",(G172*G43),IF($B$3="Costs",'Re-scaled copper costs'!W164,"Error"))</f>
        <v>9394592.0158300586</v>
      </c>
      <c r="H436" s="172">
        <f>IF($B$3="Prices",(H172*H43),IF($B$3="Costs",'Re-scaled copper costs'!X164,"Error"))</f>
        <v>15113133.768425595</v>
      </c>
      <c r="I436" s="24">
        <f>IF($B$3="Prices",(I172*I43),IF($B$3="Costs",'Top Down inputs'!G297,"Error"))</f>
        <v>25834077.568293218</v>
      </c>
      <c r="J436" s="24">
        <f>IF($B$3="Prices",(J172*J43),IF($B$3="Costs",'Top Down inputs'!H297,"Error"))</f>
        <v>34140871.733412512</v>
      </c>
      <c r="K436" s="24">
        <f>IF($B$3="Prices",(K172*K43),IF($B$3="Costs",'Top Down inputs'!I297,"Error"))</f>
        <v>50417132.683848172</v>
      </c>
      <c r="L436" s="24">
        <f>IF($B$3="Prices",(L172*L43),IF($B$3="Costs",'Top Down inputs'!J297,"Error"))</f>
        <v>51001527.343576156</v>
      </c>
      <c r="M436" s="24">
        <f>IF($B$3="Prices",(M172*M43),IF($B$3="Costs",'Top Down inputs'!K297,"Error"))</f>
        <v>38897876.51890932</v>
      </c>
      <c r="N436" s="24">
        <f>IF($B$3="Prices",(N172*N43),IF($B$3="Costs",'Top Down inputs'!L297,"Error"))</f>
        <v>23168592.478109531</v>
      </c>
      <c r="O436" s="69">
        <f t="shared" si="445"/>
        <v>0</v>
      </c>
      <c r="P436" s="69">
        <f t="shared" si="445"/>
        <v>0</v>
      </c>
      <c r="Q436" s="69">
        <f t="shared" si="445"/>
        <v>0</v>
      </c>
      <c r="R436" s="69">
        <f t="shared" si="445"/>
        <v>0</v>
      </c>
      <c r="S436" s="69">
        <f t="shared" si="445"/>
        <v>0</v>
      </c>
    </row>
    <row r="437" spans="1:19" x14ac:dyDescent="0.45">
      <c r="A437" s="9" t="str">
        <v>WX351</v>
      </c>
      <c r="B437" t="s">
        <v>302</v>
      </c>
      <c r="C437" s="9" t="s">
        <v>275</v>
      </c>
      <c r="E437" s="173">
        <f t="shared" si="444"/>
        <v>10050385.358118236</v>
      </c>
      <c r="F437" s="172">
        <f>IF($B$3="Prices",(F173*F44),IF($B$3="Costs",'Re-scaled copper costs'!V165,"Error"))</f>
        <v>10050385.358118236</v>
      </c>
      <c r="G437" s="172">
        <f>IF($B$3="Prices",(G173*G44),IF($B$3="Costs",'Re-scaled copper costs'!W165,"Error"))</f>
        <v>23451591.556125566</v>
      </c>
      <c r="H437" s="172">
        <f>IF($B$3="Prices",(H173*H44),IF($B$3="Costs",'Re-scaled copper costs'!X165,"Error"))</f>
        <v>38701588.214058593</v>
      </c>
      <c r="I437" s="24">
        <f>IF($B$3="Prices",(I173*I44),IF($B$3="Costs",'Top Down inputs'!G298,"Error"))</f>
        <v>53014000.823264852</v>
      </c>
      <c r="J437" s="24">
        <f>IF($B$3="Prices",(J173*J44),IF($B$3="Costs",'Top Down inputs'!H298,"Error"))</f>
        <v>67989643.154133543</v>
      </c>
      <c r="K437" s="24">
        <f>IF($B$3="Prices",(K173*K44),IF($B$3="Costs",'Top Down inputs'!I298,"Error"))</f>
        <v>71328301.466009378</v>
      </c>
      <c r="L437" s="24">
        <f>IF($B$3="Prices",(L173*L44),IF($B$3="Costs",'Top Down inputs'!J298,"Error"))</f>
        <v>65465082.710408151</v>
      </c>
      <c r="M437" s="24">
        <f>IF($B$3="Prices",(M173*M44),IF($B$3="Costs",'Top Down inputs'!K298,"Error"))</f>
        <v>64989983.600289062</v>
      </c>
      <c r="N437" s="24">
        <f>IF($B$3="Prices",(N173*N44),IF($B$3="Costs",'Top Down inputs'!L298,"Error"))</f>
        <v>66889933.920405738</v>
      </c>
      <c r="O437" s="69">
        <f t="shared" si="445"/>
        <v>51281383.492004931</v>
      </c>
      <c r="P437" s="69">
        <f t="shared" si="445"/>
        <v>11690649.636461189</v>
      </c>
      <c r="Q437" s="69">
        <f t="shared" si="445"/>
        <v>0</v>
      </c>
      <c r="R437" s="69">
        <f t="shared" si="445"/>
        <v>0</v>
      </c>
      <c r="S437" s="69">
        <f t="shared" si="445"/>
        <v>0</v>
      </c>
    </row>
    <row r="438" spans="1:19" x14ac:dyDescent="0.45">
      <c r="A438" s="9" t="str">
        <v>WX355</v>
      </c>
      <c r="B438" t="s">
        <v>303</v>
      </c>
      <c r="C438" s="9" t="s">
        <v>3</v>
      </c>
      <c r="E438" s="173">
        <f t="shared" si="444"/>
        <v>10374445.316489698</v>
      </c>
      <c r="F438" s="172">
        <f>IF($B$3="Prices",(F174*F45),IF($B$3="Costs",'Re-scaled copper costs'!V166,"Error"))</f>
        <v>10374445.316489698</v>
      </c>
      <c r="G438" s="172">
        <f>IF($B$3="Prices",(G174*G45),IF($B$3="Costs",'Re-scaled copper costs'!W166,"Error"))</f>
        <v>12866684.313038666</v>
      </c>
      <c r="H438" s="172">
        <f>IF($B$3="Prices",(H174*H45),IF($B$3="Costs",'Re-scaled copper costs'!X166,"Error"))</f>
        <v>10301295.66227887</v>
      </c>
      <c r="I438" s="24">
        <f>IF($B$3="Prices",(I174*I45),IF($B$3="Costs",'Top Down inputs'!G299,"Error"))</f>
        <v>15416990.414490825</v>
      </c>
      <c r="J438" s="24">
        <f>IF($B$3="Prices",(J174*J45),IF($B$3="Costs",'Top Down inputs'!H299,"Error"))</f>
        <v>14641764.646064838</v>
      </c>
      <c r="K438" s="24">
        <f>IF($B$3="Prices",(K174*K45),IF($B$3="Costs",'Top Down inputs'!I299,"Error"))</f>
        <v>10109855.530921828</v>
      </c>
      <c r="L438" s="24">
        <f>IF($B$3="Prices",(L174*L45),IF($B$3="Costs",'Top Down inputs'!J299,"Error"))</f>
        <v>9419903.3070054743</v>
      </c>
      <c r="M438" s="24">
        <f>IF($B$3="Prices",(M174*M45),IF($B$3="Costs",'Top Down inputs'!K299,"Error"))</f>
        <v>7436038.2570831226</v>
      </c>
      <c r="N438" s="24">
        <f>IF($B$3="Prices",(N174*N45),IF($B$3="Costs",'Top Down inputs'!L299,"Error"))</f>
        <v>0</v>
      </c>
      <c r="O438" s="69">
        <f t="shared" si="445"/>
        <v>0</v>
      </c>
      <c r="P438" s="69">
        <f t="shared" si="445"/>
        <v>0</v>
      </c>
      <c r="Q438" s="69">
        <f t="shared" si="445"/>
        <v>0</v>
      </c>
      <c r="R438" s="69">
        <f t="shared" si="445"/>
        <v>0</v>
      </c>
      <c r="S438" s="69">
        <f t="shared" si="445"/>
        <v>0</v>
      </c>
    </row>
    <row r="439" spans="1:19" x14ac:dyDescent="0.45">
      <c r="A439" s="9" t="str">
        <v>WN354</v>
      </c>
      <c r="B439" t="s">
        <v>304</v>
      </c>
      <c r="C439" s="9" t="s">
        <v>3</v>
      </c>
      <c r="E439" s="173">
        <f t="shared" si="444"/>
        <v>13410072.90125308</v>
      </c>
      <c r="F439" s="172">
        <f>IF($B$3="Prices",(F175*F46),IF($B$3="Costs",'Re-scaled copper costs'!V167,"Error"))</f>
        <v>13410072.90125308</v>
      </c>
      <c r="G439" s="172">
        <f>IF($B$3="Prices",(G175*G46),IF($B$3="Costs",'Re-scaled copper costs'!W167,"Error"))</f>
        <v>26727568.339860979</v>
      </c>
      <c r="H439" s="172">
        <f>IF($B$3="Prices",(H175*H46),IF($B$3="Costs",'Re-scaled copper costs'!X167,"Error"))</f>
        <v>15229899.320922961</v>
      </c>
      <c r="I439" s="24">
        <f>IF($B$3="Prices",(I175*I46),IF($B$3="Costs",'Top Down inputs'!G300,"Error"))</f>
        <v>24690475.958468977</v>
      </c>
      <c r="J439" s="24">
        <f>IF($B$3="Prices",(J175*J46),IF($B$3="Costs",'Top Down inputs'!H300,"Error"))</f>
        <v>23448488.81446936</v>
      </c>
      <c r="K439" s="24">
        <f>IF($B$3="Prices",(K175*K46),IF($B$3="Costs",'Top Down inputs'!I300,"Error"))</f>
        <v>16148827.30276214</v>
      </c>
      <c r="L439" s="24">
        <f>IF($B$3="Prices",(L175*L46),IF($B$3="Costs",'Top Down inputs'!J300,"Error"))</f>
        <v>15035430.804142492</v>
      </c>
      <c r="M439" s="24">
        <f>IF($B$3="Prices",(M175*M46),IF($B$3="Costs",'Top Down inputs'!K300,"Error"))</f>
        <v>11876740.426593706</v>
      </c>
      <c r="N439" s="24">
        <f>IF($B$3="Prices",(N175*N46),IF($B$3="Costs",'Top Down inputs'!L300,"Error"))</f>
        <v>0</v>
      </c>
      <c r="O439" s="69">
        <f t="shared" si="445"/>
        <v>0</v>
      </c>
      <c r="P439" s="69">
        <f t="shared" si="445"/>
        <v>0</v>
      </c>
      <c r="Q439" s="69">
        <f t="shared" si="445"/>
        <v>0</v>
      </c>
      <c r="R439" s="69">
        <f t="shared" si="445"/>
        <v>0</v>
      </c>
      <c r="S439" s="69">
        <f t="shared" si="445"/>
        <v>0</v>
      </c>
    </row>
    <row r="440" spans="1:19" x14ac:dyDescent="0.45">
      <c r="A440" s="9" t="str">
        <v>WN158</v>
      </c>
      <c r="B440" t="s">
        <v>305</v>
      </c>
      <c r="C440" s="9" t="s">
        <v>275</v>
      </c>
      <c r="E440" s="173">
        <f t="shared" si="444"/>
        <v>454696.20194191765</v>
      </c>
      <c r="F440" s="172">
        <f>IF($B$3="Prices",(F176*F47),IF($B$3="Costs",'Re-scaled copper costs'!V168,"Error"))</f>
        <v>454696.20194191765</v>
      </c>
      <c r="G440" s="172">
        <f>IF($B$3="Prices",(G176*G47),IF($B$3="Costs",'Re-scaled copper costs'!W168,"Error"))</f>
        <v>389869.91958925663</v>
      </c>
      <c r="H440" s="172">
        <f>IF($B$3="Prices",(H176*H47),IF($B$3="Costs",'Re-scaled copper costs'!X168,"Error"))</f>
        <v>472950.78468088928</v>
      </c>
      <c r="I440" s="24">
        <f>IF($B$3="Prices",(I176*I47),IF($B$3="Costs",'Top Down inputs'!G301,"Error"))</f>
        <v>973871.6050904314</v>
      </c>
      <c r="J440" s="24">
        <f>IF($B$3="Prices",(J176*J47),IF($B$3="Costs",'Top Down inputs'!H301,"Error"))</f>
        <v>850429.20377827738</v>
      </c>
      <c r="K440" s="24">
        <f>IF($B$3="Prices",(K176*K47),IF($B$3="Costs",'Top Down inputs'!I301,"Error"))</f>
        <v>759743.31100531155</v>
      </c>
      <c r="L440" s="24">
        <f>IF($B$3="Prices",(L176*L47),IF($B$3="Costs",'Top Down inputs'!J301,"Error"))</f>
        <v>587669.51600056665</v>
      </c>
      <c r="M440" s="24">
        <f>IF($B$3="Prices",(M176*M47),IF($B$3="Costs",'Top Down inputs'!K301,"Error"))</f>
        <v>443474.58118158602</v>
      </c>
      <c r="N440" s="24">
        <f>IF($B$3="Prices",(N176*N47),IF($B$3="Costs",'Top Down inputs'!L301,"Error"))</f>
        <v>334078.15586770629</v>
      </c>
      <c r="O440" s="69">
        <f t="shared" si="445"/>
        <v>0</v>
      </c>
      <c r="P440" s="69">
        <f t="shared" si="445"/>
        <v>0</v>
      </c>
      <c r="Q440" s="69">
        <f t="shared" si="445"/>
        <v>0</v>
      </c>
      <c r="R440" s="69">
        <f t="shared" si="445"/>
        <v>0</v>
      </c>
      <c r="S440" s="69">
        <f t="shared" si="445"/>
        <v>0</v>
      </c>
    </row>
    <row r="441" spans="1:19" x14ac:dyDescent="0.45">
      <c r="A441" s="9" t="str">
        <v>WX135</v>
      </c>
      <c r="B441" t="s">
        <v>306</v>
      </c>
      <c r="C441" s="9" t="s">
        <v>275</v>
      </c>
      <c r="E441" s="173">
        <f t="shared" si="444"/>
        <v>146233.89894194217</v>
      </c>
      <c r="F441" s="172">
        <f>IF($B$3="Prices",(F177*F48),IF($B$3="Costs",'Re-scaled copper costs'!V169,"Error"))</f>
        <v>146233.89894194217</v>
      </c>
      <c r="G441" s="172">
        <f>IF($B$3="Prices",(G177*G48),IF($B$3="Costs",'Re-scaled copper costs'!W169,"Error"))</f>
        <v>95683.63350447001</v>
      </c>
      <c r="H441" s="172">
        <f>IF($B$3="Prices",(H177*H48),IF($B$3="Costs",'Re-scaled copper costs'!X169,"Error"))</f>
        <v>108677.89778969991</v>
      </c>
      <c r="I441" s="24">
        <f>IF($B$3="Prices",(I177*I48),IF($B$3="Costs",'Top Down inputs'!G302,"Error"))</f>
        <v>121210.61844311467</v>
      </c>
      <c r="J441" s="24">
        <f>IF($B$3="Prices",(J177*J48),IF($B$3="Costs",'Top Down inputs'!H302,"Error"))</f>
        <v>105885.48207851085</v>
      </c>
      <c r="K441" s="24">
        <f>IF($B$3="Prices",(K177*K48),IF($B$3="Costs",'Top Down inputs'!I302,"Error"))</f>
        <v>92468.388937367883</v>
      </c>
      <c r="L441" s="24">
        <f>IF($B$3="Prices",(L177*L48),IF($B$3="Costs",'Top Down inputs'!J302,"Error"))</f>
        <v>71135.25269349906</v>
      </c>
      <c r="M441" s="24">
        <f>IF($B$3="Prices",(M177*M48),IF($B$3="Costs",'Top Down inputs'!K302,"Error"))</f>
        <v>53298.645466874863</v>
      </c>
      <c r="N441" s="24">
        <f>IF($B$3="Prices",(N177*N48),IF($B$3="Costs",'Top Down inputs'!L302,"Error"))</f>
        <v>39608.523646170695</v>
      </c>
      <c r="O441" s="69">
        <f t="shared" si="445"/>
        <v>0</v>
      </c>
      <c r="P441" s="69">
        <f t="shared" si="445"/>
        <v>0</v>
      </c>
      <c r="Q441" s="69">
        <f t="shared" si="445"/>
        <v>0</v>
      </c>
      <c r="R441" s="69">
        <f t="shared" si="445"/>
        <v>0</v>
      </c>
      <c r="S441" s="69">
        <f t="shared" si="445"/>
        <v>0</v>
      </c>
    </row>
    <row r="442" spans="1:19" x14ac:dyDescent="0.45">
      <c r="A442" s="9" t="str">
        <v>WN138</v>
      </c>
      <c r="B442" t="s">
        <v>307</v>
      </c>
      <c r="C442" s="9" t="s">
        <v>3</v>
      </c>
      <c r="E442" s="173">
        <f t="shared" si="444"/>
        <v>204779.12402842095</v>
      </c>
      <c r="F442" s="172">
        <f>IF($B$3="Prices",(F178*F49),IF($B$3="Costs",'Re-scaled copper costs'!V170,"Error"))</f>
        <v>204779.12402842095</v>
      </c>
      <c r="G442" s="172">
        <f>IF($B$3="Prices",(G178*G49),IF($B$3="Costs",'Re-scaled copper costs'!W170,"Error"))</f>
        <v>398811.88601833087</v>
      </c>
      <c r="H442" s="172">
        <f>IF($B$3="Prices",(H178*H49),IF($B$3="Costs",'Re-scaled copper costs'!X170,"Error"))</f>
        <v>263604.0512983409</v>
      </c>
      <c r="I442" s="24">
        <f>IF($B$3="Prices",(I178*I49),IF($B$3="Costs",'Top Down inputs'!G303,"Error"))</f>
        <v>410112.69443804293</v>
      </c>
      <c r="J442" s="24">
        <f>IF($B$3="Prices",(J178*J49),IF($B$3="Costs",'Top Down inputs'!H303,"Error"))</f>
        <v>299556.87431954511</v>
      </c>
      <c r="K442" s="24">
        <f>IF($B$3="Prices",(K178*K49),IF($B$3="Costs",'Top Down inputs'!I303,"Error"))</f>
        <v>204003.87155106704</v>
      </c>
      <c r="L442" s="24">
        <f>IF($B$3="Prices",(L178*L49),IF($B$3="Costs",'Top Down inputs'!J303,"Error"))</f>
        <v>130202.97741392517</v>
      </c>
      <c r="M442" s="24">
        <f>IF($B$3="Prices",(M178*M49),IF($B$3="Costs",'Top Down inputs'!K303,"Error"))</f>
        <v>77605.304380013433</v>
      </c>
      <c r="N442" s="24">
        <f>IF($B$3="Prices",(N178*N49),IF($B$3="Costs",'Top Down inputs'!L303,"Error"))</f>
        <v>58458.243080078966</v>
      </c>
      <c r="O442" s="69">
        <f t="shared" si="445"/>
        <v>0</v>
      </c>
      <c r="P442" s="69">
        <f t="shared" si="445"/>
        <v>0</v>
      </c>
      <c r="Q442" s="69">
        <f t="shared" si="445"/>
        <v>0</v>
      </c>
      <c r="R442" s="69">
        <f t="shared" si="445"/>
        <v>0</v>
      </c>
      <c r="S442" s="69">
        <f t="shared" si="445"/>
        <v>0</v>
      </c>
    </row>
    <row r="443" spans="1:19" x14ac:dyDescent="0.45">
      <c r="A443" s="9" t="str">
        <v>WX134</v>
      </c>
      <c r="B443" t="s">
        <v>308</v>
      </c>
      <c r="C443" s="9" t="s">
        <v>3</v>
      </c>
      <c r="E443" s="173">
        <f t="shared" si="444"/>
        <v>18582.059611740791</v>
      </c>
      <c r="F443" s="172">
        <f>IF($B$3="Prices",(F179*F50),IF($B$3="Costs",'Re-scaled copper costs'!V171,"Error"))</f>
        <v>18582.059611740791</v>
      </c>
      <c r="G443" s="172">
        <f>IF($B$3="Prices",(G179*G50),IF($B$3="Costs",'Re-scaled copper costs'!W171,"Error"))</f>
        <v>4448.8030392629316</v>
      </c>
      <c r="H443" s="172">
        <f>IF($B$3="Prices",(H179*H50),IF($B$3="Costs",'Re-scaled copper costs'!X171,"Error"))</f>
        <v>720.58510184895215</v>
      </c>
      <c r="I443" s="24">
        <f>IF($B$3="Prices",(I179*I50),IF($B$3="Costs",'Top Down inputs'!G304,"Error"))</f>
        <v>1305.2486705333686</v>
      </c>
      <c r="J443" s="24">
        <f>IF($B$3="Prices",(J179*J50),IF($B$3="Costs",'Top Down inputs'!H304,"Error"))</f>
        <v>984.97913970059415</v>
      </c>
      <c r="K443" s="24">
        <f>IF($B$3="Prices",(K179*K50),IF($B$3="Costs",'Top Down inputs'!I304,"Error"))</f>
        <v>736.05996637065653</v>
      </c>
      <c r="L443" s="24">
        <f>IF($B$3="Prices",(L179*L50),IF($B$3="Costs",'Top Down inputs'!J304,"Error"))</f>
        <v>499.27869552469463</v>
      </c>
      <c r="M443" s="24">
        <f>IF($B$3="Prices",(M179*M50),IF($B$3="Costs",'Top Down inputs'!K304,"Error"))</f>
        <v>319.27038271317957</v>
      </c>
      <c r="N443" s="24">
        <f>IF($B$3="Prices",(N179*N50),IF($B$3="Costs",'Top Down inputs'!L304,"Error"))</f>
        <v>432.43307133871923</v>
      </c>
      <c r="O443" s="69">
        <f t="shared" si="445"/>
        <v>0</v>
      </c>
      <c r="P443" s="69">
        <f t="shared" si="445"/>
        <v>0</v>
      </c>
      <c r="Q443" s="69">
        <f t="shared" si="445"/>
        <v>0</v>
      </c>
      <c r="R443" s="69">
        <f t="shared" si="445"/>
        <v>0</v>
      </c>
      <c r="S443" s="69">
        <f t="shared" si="445"/>
        <v>0</v>
      </c>
    </row>
    <row r="444" spans="1:19" x14ac:dyDescent="0.45">
      <c r="A444" s="9" t="str">
        <v>SL121</v>
      </c>
      <c r="B444" t="s">
        <v>309</v>
      </c>
      <c r="C444" s="9" t="s">
        <v>275</v>
      </c>
      <c r="E444" s="173">
        <f t="shared" si="444"/>
        <v>2802252.5999390627</v>
      </c>
      <c r="F444" s="172">
        <f>IF($B$3="Prices",(F180*F51),IF($B$3="Costs",'Re-scaled copper costs'!V172,"Error"))</f>
        <v>2802252.5999390627</v>
      </c>
      <c r="G444" s="172">
        <f>IF($B$3="Prices",(G180*G51),IF($B$3="Costs",'Re-scaled copper costs'!W172,"Error"))</f>
        <v>5873310.4195630681</v>
      </c>
      <c r="H444" s="172">
        <f>IF($B$3="Prices",(H180*H51),IF($B$3="Costs",'Re-scaled copper costs'!X172,"Error"))</f>
        <v>7247547.1648813579</v>
      </c>
      <c r="I444" s="24">
        <f>IF($B$3="Prices",(I180*I51),IF($B$3="Costs",'Top Down inputs'!G305,"Error"))</f>
        <v>4829456.2888404755</v>
      </c>
      <c r="J444" s="24">
        <f>IF($B$3="Prices",(J180*J51),IF($B$3="Costs",'Top Down inputs'!H305,"Error"))</f>
        <v>3890131.2910762532</v>
      </c>
      <c r="K444" s="24">
        <f>IF($B$3="Prices",(K180*K51),IF($B$3="Costs",'Top Down inputs'!I305,"Error"))</f>
        <v>2679221.3522114907</v>
      </c>
      <c r="L444" s="24">
        <f>IF($B$3="Prices",(L180*L51),IF($B$3="Costs",'Top Down inputs'!J305,"Error"))</f>
        <v>1932695.2625626321</v>
      </c>
      <c r="M444" s="24">
        <f>IF($B$3="Prices",(M180*M51),IF($B$3="Costs",'Top Down inputs'!K305,"Error"))</f>
        <v>1167778.0251058394</v>
      </c>
      <c r="N444" s="24">
        <f>IF($B$3="Prices",(N180*N51),IF($B$3="Costs",'Top Down inputs'!L305,"Error"))</f>
        <v>326819.98184832808</v>
      </c>
      <c r="O444" s="69">
        <f t="shared" si="445"/>
        <v>85465.454345077713</v>
      </c>
      <c r="P444" s="69">
        <f t="shared" si="445"/>
        <v>66091.302953266073</v>
      </c>
      <c r="Q444" s="69">
        <f t="shared" si="445"/>
        <v>0</v>
      </c>
      <c r="R444" s="69">
        <f t="shared" si="445"/>
        <v>0</v>
      </c>
      <c r="S444" s="69">
        <f t="shared" si="445"/>
        <v>0</v>
      </c>
    </row>
    <row r="445" spans="1:19" x14ac:dyDescent="0.45">
      <c r="A445" s="9" t="str">
        <v>SL122</v>
      </c>
      <c r="B445" t="s">
        <v>310</v>
      </c>
      <c r="C445" s="9" t="s">
        <v>275</v>
      </c>
      <c r="E445" s="173">
        <f t="shared" si="444"/>
        <v>41252244.928042106</v>
      </c>
      <c r="F445" s="172">
        <f>IF($B$3="Prices",(F181*F52),IF($B$3="Costs",'Re-scaled copper costs'!V173,"Error"))</f>
        <v>41252244.928042106</v>
      </c>
      <c r="G445" s="172">
        <f>IF($B$3="Prices",(G181*G52),IF($B$3="Costs",'Re-scaled copper costs'!W173,"Error"))</f>
        <v>57242868.661920473</v>
      </c>
      <c r="H445" s="172">
        <f>IF($B$3="Prices",(H181*H52),IF($B$3="Costs",'Re-scaled copper costs'!X173,"Error"))</f>
        <v>61757321.177830093</v>
      </c>
      <c r="I445" s="24">
        <f>IF($B$3="Prices",(I181*I52),IF($B$3="Costs",'Top Down inputs'!G306,"Error"))</f>
        <v>54038603.386613451</v>
      </c>
      <c r="J445" s="24">
        <f>IF($B$3="Prices",(J181*J52),IF($B$3="Costs",'Top Down inputs'!H306,"Error"))</f>
        <v>44696624.805400059</v>
      </c>
      <c r="K445" s="24">
        <f>IF($B$3="Prices",(K181*K52),IF($B$3="Costs",'Top Down inputs'!I306,"Error"))</f>
        <v>30876114.810364522</v>
      </c>
      <c r="L445" s="24">
        <f>IF($B$3="Prices",(L181*L52),IF($B$3="Costs",'Top Down inputs'!J306,"Error"))</f>
        <v>22382588.770174362</v>
      </c>
      <c r="M445" s="24">
        <f>IF($B$3="Prices",(M181*M52),IF($B$3="Costs",'Top Down inputs'!K306,"Error"))</f>
        <v>13589598.521858389</v>
      </c>
      <c r="N445" s="24">
        <f>IF($B$3="Prices",(N181*N52),IF($B$3="Costs",'Top Down inputs'!L306,"Error"))</f>
        <v>3817281.7315105014</v>
      </c>
      <c r="O445" s="69">
        <f t="shared" si="445"/>
        <v>998242.87273265736</v>
      </c>
      <c r="P445" s="69">
        <f t="shared" si="445"/>
        <v>771951.34137273149</v>
      </c>
      <c r="Q445" s="69">
        <f t="shared" si="445"/>
        <v>0</v>
      </c>
      <c r="R445" s="69">
        <f t="shared" si="445"/>
        <v>0</v>
      </c>
      <c r="S445" s="69">
        <f t="shared" si="445"/>
        <v>0</v>
      </c>
    </row>
    <row r="446" spans="1:19" x14ac:dyDescent="0.45">
      <c r="A446" s="9" t="str">
        <v>SL150</v>
      </c>
      <c r="B446" t="s">
        <v>311</v>
      </c>
      <c r="C446" s="9" t="s">
        <v>275</v>
      </c>
      <c r="E446" s="173">
        <f t="shared" si="444"/>
        <v>5735435.8187252935</v>
      </c>
      <c r="F446" s="172">
        <f>IF($B$3="Prices",(F182*F53),IF($B$3="Costs",'Re-scaled copper costs'!V174,"Error"))</f>
        <v>5735435.8187252935</v>
      </c>
      <c r="G446" s="172">
        <f>IF($B$3="Prices",(G182*G53),IF($B$3="Costs",'Re-scaled copper costs'!W174,"Error"))</f>
        <v>8791253.6330076698</v>
      </c>
      <c r="H446" s="172">
        <f>IF($B$3="Prices",(H182*H53),IF($B$3="Costs",'Re-scaled copper costs'!X174,"Error"))</f>
        <v>9697847.0757153071</v>
      </c>
      <c r="I446" s="24">
        <f>IF($B$3="Prices",(I182*I53),IF($B$3="Costs",'Top Down inputs'!G307,"Error"))</f>
        <v>7941692.4434405658</v>
      </c>
      <c r="J446" s="24">
        <f>IF($B$3="Prices",(J182*J53),IF($B$3="Costs",'Top Down inputs'!H307,"Error"))</f>
        <v>6478669.4834648464</v>
      </c>
      <c r="K446" s="24">
        <f>IF($B$3="Prices",(K182*K53),IF($B$3="Costs",'Top Down inputs'!I307,"Error"))</f>
        <v>4466340.4778038673</v>
      </c>
      <c r="L446" s="24">
        <f>IF($B$3="Prices",(L182*L53),IF($B$3="Costs",'Top Down inputs'!J307,"Error"))</f>
        <v>3270159.3961388599</v>
      </c>
      <c r="M446" s="24">
        <f>IF($B$3="Prices",(M182*M53),IF($B$3="Costs",'Top Down inputs'!K307,"Error"))</f>
        <v>1980546.8215541006</v>
      </c>
      <c r="N446" s="24">
        <f>IF($B$3="Prices",(N182*N53),IF($B$3="Costs",'Top Down inputs'!L307,"Error"))</f>
        <v>559290.34646462277</v>
      </c>
      <c r="O446" s="69">
        <f t="shared" si="445"/>
        <v>146257.89800575329</v>
      </c>
      <c r="P446" s="69">
        <f t="shared" si="445"/>
        <v>113102.71641892761</v>
      </c>
      <c r="Q446" s="69">
        <f t="shared" si="445"/>
        <v>0</v>
      </c>
      <c r="R446" s="69">
        <f t="shared" si="445"/>
        <v>0</v>
      </c>
      <c r="S446" s="69">
        <f t="shared" si="445"/>
        <v>0</v>
      </c>
    </row>
    <row r="447" spans="1:19" x14ac:dyDescent="0.45">
      <c r="A447" s="9" t="str">
        <v>SL151</v>
      </c>
      <c r="B447" t="s">
        <v>312</v>
      </c>
      <c r="C447" s="9" t="s">
        <v>275</v>
      </c>
      <c r="E447" s="173">
        <f t="shared" si="444"/>
        <v>17695337.587177724</v>
      </c>
      <c r="F447" s="172">
        <f>IF($B$3="Prices",(F183*F54),IF($B$3="Costs",'Re-scaled copper costs'!V175,"Error"))</f>
        <v>17695337.587177724</v>
      </c>
      <c r="G447" s="172">
        <f>IF($B$3="Prices",(G183*G54),IF($B$3="Costs",'Re-scaled copper costs'!W175,"Error"))</f>
        <v>19089253.532778595</v>
      </c>
      <c r="H447" s="172">
        <f>IF($B$3="Prices",(H183*H54),IF($B$3="Costs",'Re-scaled copper costs'!X175,"Error"))</f>
        <v>22374972.226356335</v>
      </c>
      <c r="I447" s="24">
        <f>IF($B$3="Prices",(I183*I54),IF($B$3="Costs",'Top Down inputs'!G308,"Error"))</f>
        <v>14188228.127103237</v>
      </c>
      <c r="J447" s="24">
        <f>IF($B$3="Prices",(J183*J54),IF($B$3="Costs",'Top Down inputs'!H308,"Error"))</f>
        <v>11751856.227014318</v>
      </c>
      <c r="K447" s="24">
        <f>IF($B$3="Prices",(K183*K54),IF($B$3="Costs",'Top Down inputs'!I308,"Error"))</f>
        <v>8025316.8731595054</v>
      </c>
      <c r="L447" s="24">
        <f>IF($B$3="Prices",(L183*L54),IF($B$3="Costs",'Top Down inputs'!J308,"Error"))</f>
        <v>5955519.7510029478</v>
      </c>
      <c r="M447" s="24">
        <f>IF($B$3="Prices",(M183*M54),IF($B$3="Costs",'Top Down inputs'!K308,"Error"))</f>
        <v>3512185.3653191472</v>
      </c>
      <c r="N447" s="24">
        <f>IF($B$3="Prices",(N183*N54),IF($B$3="Costs",'Top Down inputs'!L308,"Error"))</f>
        <v>992924.19194637774</v>
      </c>
      <c r="O447" s="69">
        <f t="shared" si="445"/>
        <v>259655.84085461099</v>
      </c>
      <c r="P447" s="69">
        <f t="shared" si="445"/>
        <v>200794.49612725896</v>
      </c>
      <c r="Q447" s="69">
        <f t="shared" si="445"/>
        <v>0</v>
      </c>
      <c r="R447" s="69">
        <f t="shared" si="445"/>
        <v>0</v>
      </c>
      <c r="S447" s="69">
        <f t="shared" si="445"/>
        <v>0</v>
      </c>
    </row>
    <row r="448" spans="1:19" x14ac:dyDescent="0.45">
      <c r="A448" s="9" t="str">
        <v>SL111</v>
      </c>
      <c r="B448" t="s">
        <v>313</v>
      </c>
      <c r="C448" s="9" t="s">
        <v>3</v>
      </c>
      <c r="E448" s="173">
        <f t="shared" si="444"/>
        <v>13450.514350227108</v>
      </c>
      <c r="F448" s="172">
        <f>IF($B$3="Prices",(F184*F55),IF($B$3="Costs",'Re-scaled copper costs'!V176,"Error"))</f>
        <v>13450.514350227108</v>
      </c>
      <c r="G448" s="172">
        <f>IF($B$3="Prices",(G184*G55),IF($B$3="Costs",'Re-scaled copper costs'!W176,"Error"))</f>
        <v>9742.8563732409293</v>
      </c>
      <c r="H448" s="172">
        <f>IF($B$3="Prices",(H184*H55),IF($B$3="Costs",'Re-scaled copper costs'!X176,"Error"))</f>
        <v>5158.2489222620216</v>
      </c>
      <c r="I448" s="24">
        <f>IF($B$3="Prices",(I184*I55),IF($B$3="Costs",'Top Down inputs'!G309,"Error"))</f>
        <v>3865.4917439965366</v>
      </c>
      <c r="J448" s="24">
        <f>IF($B$3="Prices",(J184*J55),IF($B$3="Costs",'Top Down inputs'!H309,"Error"))</f>
        <v>2271.3613339082203</v>
      </c>
      <c r="K448" s="24">
        <f>IF($B$3="Prices",(K184*K55),IF($B$3="Costs",'Top Down inputs'!I309,"Error"))</f>
        <v>1337.3791231538439</v>
      </c>
      <c r="L448" s="24">
        <f>IF($B$3="Prices",(L184*L55),IF($B$3="Costs",'Top Down inputs'!J309,"Error"))</f>
        <v>849.45565305145578</v>
      </c>
      <c r="M448" s="24">
        <f>IF($B$3="Prices",(M184*M55),IF($B$3="Costs",'Top Down inputs'!K309,"Error"))</f>
        <v>426.51393253794424</v>
      </c>
      <c r="N448" s="24">
        <f>IF($B$3="Prices",(N184*N55),IF($B$3="Costs",'Top Down inputs'!L309,"Error"))</f>
        <v>283.37706922605128</v>
      </c>
      <c r="O448" s="69">
        <f t="shared" si="445"/>
        <v>0</v>
      </c>
      <c r="P448" s="69">
        <f t="shared" si="445"/>
        <v>0</v>
      </c>
      <c r="Q448" s="69">
        <f t="shared" si="445"/>
        <v>0</v>
      </c>
      <c r="R448" s="69">
        <f t="shared" si="445"/>
        <v>0</v>
      </c>
      <c r="S448" s="69">
        <f t="shared" si="445"/>
        <v>0</v>
      </c>
    </row>
    <row r="449" spans="1:19" x14ac:dyDescent="0.45">
      <c r="A449" s="9" t="str">
        <v>SL112</v>
      </c>
      <c r="B449" t="s">
        <v>314</v>
      </c>
      <c r="C449" s="9" t="s">
        <v>3</v>
      </c>
      <c r="E449" s="173">
        <f t="shared" si="444"/>
        <v>240608.3847691158</v>
      </c>
      <c r="F449" s="172">
        <f>IF($B$3="Prices",(F185*F56),IF($B$3="Costs",'Re-scaled copper costs'!V177,"Error"))</f>
        <v>240608.3847691158</v>
      </c>
      <c r="G449" s="172">
        <f>IF($B$3="Prices",(G185*G56),IF($B$3="Costs",'Re-scaled copper costs'!W177,"Error"))</f>
        <v>134016.24863073262</v>
      </c>
      <c r="H449" s="172">
        <f>IF($B$3="Prices",(H185*H56),IF($B$3="Costs",'Re-scaled copper costs'!X177,"Error"))</f>
        <v>60809.042695945274</v>
      </c>
      <c r="I449" s="24">
        <f>IF($B$3="Prices",(I185*I56),IF($B$3="Costs",'Top Down inputs'!G310,"Error"))</f>
        <v>36108.737975085191</v>
      </c>
      <c r="J449" s="24">
        <f>IF($B$3="Prices",(J185*J56),IF($B$3="Costs",'Top Down inputs'!H310,"Error"))</f>
        <v>21233.736610277512</v>
      </c>
      <c r="K449" s="24">
        <f>IF($B$3="Prices",(K185*K56),IF($B$3="Costs",'Top Down inputs'!I310,"Error"))</f>
        <v>12514.047863540529</v>
      </c>
      <c r="L449" s="24">
        <f>IF($B$3="Prices",(L185*L56),IF($B$3="Costs",'Top Down inputs'!J310,"Error"))</f>
        <v>7948.8857047783222</v>
      </c>
      <c r="M449" s="24">
        <f>IF($B$3="Prices",(M185*M56),IF($B$3="Costs",'Top Down inputs'!K310,"Error"))</f>
        <v>3994.6674666490194</v>
      </c>
      <c r="N449" s="24">
        <f>IF($B$3="Prices",(N185*N56),IF($B$3="Costs",'Top Down inputs'!L310,"Error"))</f>
        <v>2740.4633800364027</v>
      </c>
      <c r="O449" s="69">
        <f t="shared" si="445"/>
        <v>0</v>
      </c>
      <c r="P449" s="69">
        <f t="shared" si="445"/>
        <v>0</v>
      </c>
      <c r="Q449" s="69">
        <f t="shared" si="445"/>
        <v>0</v>
      </c>
      <c r="R449" s="69">
        <f t="shared" si="445"/>
        <v>0</v>
      </c>
      <c r="S449" s="69">
        <f t="shared" si="445"/>
        <v>0</v>
      </c>
    </row>
    <row r="450" spans="1:19" x14ac:dyDescent="0.45">
      <c r="A450" s="9" t="str">
        <v>SL140</v>
      </c>
      <c r="B450" t="s">
        <v>315</v>
      </c>
      <c r="C450" s="9" t="s">
        <v>3</v>
      </c>
      <c r="E450" s="173">
        <f t="shared" si="444"/>
        <v>115214.1092160827</v>
      </c>
      <c r="F450" s="172">
        <f>IF($B$3="Prices",(F186*F57),IF($B$3="Costs",'Re-scaled copper costs'!V178,"Error"))</f>
        <v>115214.1092160827</v>
      </c>
      <c r="G450" s="172">
        <f>IF($B$3="Prices",(G186*G57),IF($B$3="Costs",'Re-scaled copper costs'!W178,"Error"))</f>
        <v>17129.065567882124</v>
      </c>
      <c r="H450" s="172">
        <f>IF($B$3="Prices",(H186*H57),IF($B$3="Costs",'Re-scaled copper costs'!X178,"Error"))</f>
        <v>3154.9110140368634</v>
      </c>
      <c r="I450" s="24">
        <f>IF($B$3="Prices",(I186*I57),IF($B$3="Costs",'Top Down inputs'!G311,"Error"))</f>
        <v>2626.0287270634881</v>
      </c>
      <c r="J450" s="24">
        <f>IF($B$3="Prices",(J186*J57),IF($B$3="Costs",'Top Down inputs'!H311,"Error"))</f>
        <v>1544.142732610391</v>
      </c>
      <c r="K450" s="24">
        <f>IF($B$3="Prices",(K186*K57),IF($B$3="Costs",'Top Down inputs'!I311,"Error"))</f>
        <v>909.91934912829845</v>
      </c>
      <c r="L450" s="24">
        <f>IF($B$3="Prices",(L186*L57),IF($B$3="Costs",'Top Down inputs'!J311,"Error"))</f>
        <v>577.94293220449811</v>
      </c>
      <c r="M450" s="24">
        <f>IF($B$3="Prices",(M186*M57),IF($B$3="Costs",'Top Down inputs'!K311,"Error"))</f>
        <v>290.37455044453475</v>
      </c>
      <c r="N450" s="24">
        <f>IF($B$3="Prices",(N186*N57),IF($B$3="Costs",'Top Down inputs'!L311,"Error"))</f>
        <v>197.23042617223032</v>
      </c>
      <c r="O450" s="69">
        <f t="shared" si="445"/>
        <v>0</v>
      </c>
      <c r="P450" s="69">
        <f t="shared" si="445"/>
        <v>0</v>
      </c>
      <c r="Q450" s="69">
        <f t="shared" si="445"/>
        <v>0</v>
      </c>
      <c r="R450" s="69">
        <f t="shared" si="445"/>
        <v>0</v>
      </c>
      <c r="S450" s="69">
        <f t="shared" si="445"/>
        <v>0</v>
      </c>
    </row>
    <row r="451" spans="1:19" x14ac:dyDescent="0.45">
      <c r="A451" s="9" t="str">
        <v>SL144</v>
      </c>
      <c r="B451" t="s">
        <v>316</v>
      </c>
      <c r="C451" s="9" t="s">
        <v>3</v>
      </c>
      <c r="E451" s="173">
        <f t="shared" si="444"/>
        <v>47989.80727846524</v>
      </c>
      <c r="F451" s="172">
        <f>IF($B$3="Prices",(F187*F58),IF($B$3="Costs",'Re-scaled copper costs'!V179,"Error"))</f>
        <v>47989.80727846524</v>
      </c>
      <c r="G451" s="172">
        <f>IF($B$3="Prices",(G187*G58),IF($B$3="Costs",'Re-scaled copper costs'!W179,"Error"))</f>
        <v>15192.051726471916</v>
      </c>
      <c r="H451" s="172">
        <f>IF($B$3="Prices",(H187*H58),IF($B$3="Costs",'Re-scaled copper costs'!X179,"Error"))</f>
        <v>5743.0217787390893</v>
      </c>
      <c r="I451" s="24">
        <f>IF($B$3="Prices",(I187*I58),IF($B$3="Costs",'Top Down inputs'!G312,"Error"))</f>
        <v>3807.8913716002148</v>
      </c>
      <c r="J451" s="24">
        <f>IF($B$3="Prices",(J187*J58),IF($B$3="Costs",'Top Down inputs'!H312,"Error"))</f>
        <v>2239.2989503626486</v>
      </c>
      <c r="K451" s="24">
        <f>IF($B$3="Prices",(K187*K58),IF($B$3="Costs",'Top Down inputs'!I312,"Error"))</f>
        <v>1320.3603286647597</v>
      </c>
      <c r="L451" s="24">
        <f>IF($B$3="Prices",(L187*L58),IF($B$3="Costs",'Top Down inputs'!J312,"Error"))</f>
        <v>838.8502478662374</v>
      </c>
      <c r="M451" s="24">
        <f>IF($B$3="Prices",(M187*M58),IF($B$3="Costs",'Top Down inputs'!K312,"Error"))</f>
        <v>421.64982143105607</v>
      </c>
      <c r="N451" s="24">
        <f>IF($B$3="Prices",(N187*N58),IF($B$3="Costs",'Top Down inputs'!L312,"Error"))</f>
        <v>291.80351215847497</v>
      </c>
      <c r="O451" s="69">
        <f t="shared" si="445"/>
        <v>0</v>
      </c>
      <c r="P451" s="69">
        <f t="shared" si="445"/>
        <v>0</v>
      </c>
      <c r="Q451" s="69">
        <f t="shared" si="445"/>
        <v>0</v>
      </c>
      <c r="R451" s="69">
        <f t="shared" si="445"/>
        <v>0</v>
      </c>
      <c r="S451" s="69">
        <f t="shared" si="445"/>
        <v>0</v>
      </c>
    </row>
    <row r="452" spans="1:19" ht="14.65" thickBot="1" x14ac:dyDescent="0.5">
      <c r="E452" s="20">
        <f>SUM(E412:E451)</f>
        <v>265201798.26230627</v>
      </c>
      <c r="F452" s="20">
        <f t="shared" ref="F452:S452" si="446">SUM(F412:F451)</f>
        <v>265201798.26230627</v>
      </c>
      <c r="G452" s="20">
        <f t="shared" si="446"/>
        <v>386168594.03094828</v>
      </c>
      <c r="H452" s="20">
        <f t="shared" si="446"/>
        <v>448443041.18456435</v>
      </c>
      <c r="I452" s="20">
        <f t="shared" si="446"/>
        <v>438595643.16942316</v>
      </c>
      <c r="J452" s="20">
        <f t="shared" si="446"/>
        <v>439417362.55078048</v>
      </c>
      <c r="K452" s="20">
        <f t="shared" si="446"/>
        <v>409877671.50207472</v>
      </c>
      <c r="L452" s="20">
        <f t="shared" si="446"/>
        <v>375675256.83700836</v>
      </c>
      <c r="M452" s="20">
        <f t="shared" si="446"/>
        <v>325708212.17707556</v>
      </c>
      <c r="N452" s="20">
        <f t="shared" si="446"/>
        <v>259391417.14608413</v>
      </c>
      <c r="O452" s="20">
        <f t="shared" si="446"/>
        <v>152023102.5245201</v>
      </c>
      <c r="P452" s="20">
        <f t="shared" si="446"/>
        <v>47179520.130530633</v>
      </c>
      <c r="Q452" s="20">
        <f t="shared" si="446"/>
        <v>0</v>
      </c>
      <c r="R452" s="20">
        <f t="shared" si="446"/>
        <v>0</v>
      </c>
      <c r="S452" s="20">
        <f t="shared" si="446"/>
        <v>0</v>
      </c>
    </row>
    <row r="453" spans="1:19" ht="14.65" thickTop="1" x14ac:dyDescent="0.45"/>
    <row r="454" spans="1:19" x14ac:dyDescent="0.45">
      <c r="B454" t="s">
        <v>381</v>
      </c>
      <c r="D454" s="146">
        <f>AVERAGE(E454:S454)</f>
        <v>6.2167982248295992E-2</v>
      </c>
      <c r="E454" s="94">
        <f>IF(E452=0,0,(SUMIF($C$412:$C$451,"Connections",E412:E451)+E440+E441)/E452)</f>
        <v>0.14507641539424035</v>
      </c>
      <c r="F454" s="94">
        <f t="shared" ref="F454:S454" si="447">IF(F452=0,0,(SUMIF($C$412:$C$451,"Connections",F412:F451)+F440+F441)/F452)</f>
        <v>0.14507641539424035</v>
      </c>
      <c r="G454" s="94">
        <f t="shared" si="447"/>
        <v>0.12779739110951863</v>
      </c>
      <c r="H454" s="94">
        <f t="shared" si="447"/>
        <v>6.9114722475607335E-2</v>
      </c>
      <c r="I454" s="94">
        <f t="shared" si="447"/>
        <v>0.10127085775390618</v>
      </c>
      <c r="J454" s="94">
        <f t="shared" si="447"/>
        <v>9.256541851771663E-2</v>
      </c>
      <c r="K454" s="94">
        <f t="shared" si="447"/>
        <v>6.7662027921903664E-2</v>
      </c>
      <c r="L454" s="94">
        <f t="shared" si="447"/>
        <v>6.8095503220873974E-2</v>
      </c>
      <c r="M454" s="94">
        <f t="shared" si="447"/>
        <v>6.2029624681289461E-2</v>
      </c>
      <c r="N454" s="94">
        <f t="shared" si="447"/>
        <v>8.5135613617542145E-3</v>
      </c>
      <c r="O454" s="94">
        <f t="shared" si="447"/>
        <v>1.0749023190918774E-2</v>
      </c>
      <c r="P454" s="94">
        <f t="shared" si="447"/>
        <v>3.4568772702470323E-2</v>
      </c>
      <c r="Q454" s="94">
        <f t="shared" si="447"/>
        <v>0</v>
      </c>
      <c r="R454" s="94">
        <f t="shared" si="447"/>
        <v>0</v>
      </c>
      <c r="S454" s="94">
        <f t="shared" si="447"/>
        <v>0</v>
      </c>
    </row>
    <row r="494" spans="1:4" x14ac:dyDescent="0.45">
      <c r="A494" s="23"/>
      <c r="C494" s="11"/>
      <c r="D494" s="11"/>
    </row>
    <row r="495" spans="1:4" x14ac:dyDescent="0.45">
      <c r="A495" s="9"/>
      <c r="B495" s="9"/>
      <c r="C495" s="9"/>
      <c r="D495" s="54"/>
    </row>
    <row r="496" spans="1:4" x14ac:dyDescent="0.45">
      <c r="A496" s="9"/>
      <c r="B496" s="9"/>
      <c r="C496" s="9"/>
      <c r="D496" s="54"/>
    </row>
    <row r="497" spans="1:20" x14ac:dyDescent="0.45">
      <c r="A497" s="9"/>
      <c r="B497" s="9"/>
      <c r="C497" s="9"/>
      <c r="D497" s="54"/>
    </row>
    <row r="498" spans="1:20" x14ac:dyDescent="0.45">
      <c r="A498" s="9"/>
      <c r="B498" s="9"/>
      <c r="C498" s="9"/>
      <c r="D498" s="54"/>
    </row>
    <row r="499" spans="1:20" x14ac:dyDescent="0.45">
      <c r="A499" s="9"/>
      <c r="B499" s="9"/>
      <c r="C499" s="9"/>
      <c r="D499" s="54"/>
    </row>
    <row r="500" spans="1:20" x14ac:dyDescent="0.45">
      <c r="A500" s="9"/>
      <c r="B500" s="9"/>
      <c r="C500" s="9"/>
      <c r="D500" s="54"/>
    </row>
    <row r="501" spans="1:20" x14ac:dyDescent="0.45">
      <c r="A501" s="9"/>
      <c r="B501" s="9"/>
      <c r="C501" s="9"/>
      <c r="D501" s="54"/>
    </row>
    <row r="502" spans="1:20" x14ac:dyDescent="0.45">
      <c r="A502" s="9"/>
      <c r="B502" s="9"/>
      <c r="C502" s="9"/>
      <c r="D502" s="54"/>
    </row>
    <row r="504" spans="1:20" x14ac:dyDescent="0.45">
      <c r="C504" s="11" t="s">
        <v>391</v>
      </c>
      <c r="I504" s="5" t="s">
        <v>392</v>
      </c>
    </row>
    <row r="505" spans="1:20" x14ac:dyDescent="0.45">
      <c r="A505" t="s">
        <v>361</v>
      </c>
      <c r="B505" t="s">
        <v>274</v>
      </c>
      <c r="C505" s="9" t="str">
        <f t="shared" ref="C505:C544" si="448">C192</f>
        <v>Legacy</v>
      </c>
      <c r="D505" s="116">
        <v>0.82790794568414749</v>
      </c>
      <c r="I505" s="24">
        <f t="shared" ref="I505:N516" si="449">IF(I19=0,0,I236/I19)</f>
        <v>138.53734809133113</v>
      </c>
      <c r="J505" s="24">
        <f t="shared" si="449"/>
        <v>183.70072814391591</v>
      </c>
      <c r="K505" s="24">
        <f t="shared" si="449"/>
        <v>207.53626146612399</v>
      </c>
      <c r="L505" s="24">
        <f t="shared" si="449"/>
        <v>231.65169510355349</v>
      </c>
      <c r="M505" s="24">
        <f t="shared" si="449"/>
        <v>266.17454575736207</v>
      </c>
      <c r="N505" s="24">
        <f t="shared" si="449"/>
        <v>324.14465671672929</v>
      </c>
      <c r="O505" s="24"/>
      <c r="P505" s="24"/>
      <c r="Q505" s="24"/>
      <c r="R505" s="24"/>
      <c r="S505" s="24"/>
    </row>
    <row r="506" spans="1:20" x14ac:dyDescent="0.45">
      <c r="A506" t="s">
        <v>362</v>
      </c>
      <c r="B506" t="s">
        <v>276</v>
      </c>
      <c r="C506" s="9" t="str">
        <f t="shared" si="448"/>
        <v>Legacy</v>
      </c>
      <c r="D506" s="116">
        <v>0.83642213573467916</v>
      </c>
      <c r="I506" s="24">
        <f t="shared" si="449"/>
        <v>141.22120246750586</v>
      </c>
      <c r="J506" s="24">
        <f t="shared" si="449"/>
        <v>184.41240855061324</v>
      </c>
      <c r="K506" s="24">
        <f t="shared" si="449"/>
        <v>208.56158825125837</v>
      </c>
      <c r="L506" s="24">
        <f t="shared" si="449"/>
        <v>229.49382811818012</v>
      </c>
      <c r="M506" s="24">
        <f t="shared" si="449"/>
        <v>259.65242430720195</v>
      </c>
      <c r="N506" s="24">
        <f t="shared" si="449"/>
        <v>313.50028982120665</v>
      </c>
      <c r="O506" s="24"/>
      <c r="P506" s="24"/>
      <c r="Q506" s="24"/>
      <c r="R506" s="24"/>
      <c r="S506" s="24"/>
    </row>
    <row r="507" spans="1:20" x14ac:dyDescent="0.45">
      <c r="A507" t="s">
        <v>363</v>
      </c>
      <c r="B507" t="s">
        <v>277</v>
      </c>
      <c r="C507" s="9" t="str">
        <f t="shared" si="448"/>
        <v>Legacy</v>
      </c>
      <c r="D507" s="116">
        <v>0.66745539695888667</v>
      </c>
      <c r="I507" s="24">
        <f t="shared" si="449"/>
        <v>110.99924131529923</v>
      </c>
      <c r="J507" s="24">
        <f t="shared" si="449"/>
        <v>155.15206924031835</v>
      </c>
      <c r="K507" s="24">
        <f t="shared" si="449"/>
        <v>184.62346391144538</v>
      </c>
      <c r="L507" s="24">
        <f t="shared" si="449"/>
        <v>209.0173314288545</v>
      </c>
      <c r="M507" s="24">
        <f t="shared" si="449"/>
        <v>243.62133101330113</v>
      </c>
      <c r="N507" s="24">
        <f t="shared" si="449"/>
        <v>301.51164298708454</v>
      </c>
      <c r="O507" s="24"/>
      <c r="P507" s="24"/>
      <c r="Q507" s="24"/>
      <c r="R507" s="24"/>
      <c r="S507" s="24"/>
    </row>
    <row r="508" spans="1:20" x14ac:dyDescent="0.45">
      <c r="A508" t="s">
        <v>364</v>
      </c>
      <c r="B508" t="s">
        <v>278</v>
      </c>
      <c r="C508" s="9" t="str">
        <f t="shared" si="448"/>
        <v>Legacy</v>
      </c>
      <c r="D508" s="116">
        <v>0.673016358247294</v>
      </c>
      <c r="I508" s="24">
        <f t="shared" si="449"/>
        <v>101.22487139174578</v>
      </c>
      <c r="J508" s="24">
        <f t="shared" si="449"/>
        <v>145.16548888672475</v>
      </c>
      <c r="K508" s="24">
        <f t="shared" si="449"/>
        <v>165.71940881138761</v>
      </c>
      <c r="L508" s="24">
        <f t="shared" si="449"/>
        <v>185.87706494317976</v>
      </c>
      <c r="M508" s="24">
        <f t="shared" si="449"/>
        <v>212.95499158155963</v>
      </c>
      <c r="N508" s="24">
        <f t="shared" si="449"/>
        <v>263.80034946733645</v>
      </c>
      <c r="O508" s="24"/>
      <c r="P508" s="24"/>
      <c r="Q508" s="24"/>
      <c r="R508" s="24"/>
      <c r="S508" s="24"/>
    </row>
    <row r="509" spans="1:20" x14ac:dyDescent="0.45">
      <c r="A509" t="s">
        <v>324</v>
      </c>
      <c r="B509" t="s">
        <v>279</v>
      </c>
      <c r="C509" s="9" t="str">
        <f t="shared" si="448"/>
        <v>Legacy</v>
      </c>
      <c r="D509" s="116">
        <v>0.96740491494219616</v>
      </c>
      <c r="I509" s="24">
        <f t="shared" si="449"/>
        <v>21.891887208810644</v>
      </c>
      <c r="J509" s="24">
        <f t="shared" si="449"/>
        <v>21.865547175820126</v>
      </c>
      <c r="K509" s="24">
        <f t="shared" si="449"/>
        <v>22.827218507041163</v>
      </c>
      <c r="L509" s="24">
        <f t="shared" si="449"/>
        <v>23.369773060815714</v>
      </c>
      <c r="M509" s="24">
        <f t="shared" si="449"/>
        <v>24.006651351356549</v>
      </c>
      <c r="N509" s="24">
        <f t="shared" si="449"/>
        <v>58.379222888139701</v>
      </c>
      <c r="O509" s="24"/>
      <c r="P509" s="24"/>
      <c r="Q509" s="24"/>
      <c r="R509" s="24"/>
      <c r="S509" s="24"/>
    </row>
    <row r="510" spans="1:20" x14ac:dyDescent="0.45">
      <c r="A510" t="s">
        <v>325</v>
      </c>
      <c r="B510" t="s">
        <v>280</v>
      </c>
      <c r="C510" s="9" t="str">
        <f t="shared" si="448"/>
        <v>Legacy</v>
      </c>
      <c r="D510" s="116">
        <v>0.99665816948728081</v>
      </c>
      <c r="I510" s="24">
        <f t="shared" si="449"/>
        <v>0</v>
      </c>
      <c r="J510" s="24">
        <f t="shared" si="449"/>
        <v>0</v>
      </c>
      <c r="K510" s="24">
        <f t="shared" si="449"/>
        <v>0</v>
      </c>
      <c r="L510" s="24">
        <f t="shared" si="449"/>
        <v>0</v>
      </c>
      <c r="M510" s="24">
        <f t="shared" si="449"/>
        <v>0</v>
      </c>
      <c r="N510" s="24">
        <f t="shared" si="449"/>
        <v>0</v>
      </c>
      <c r="O510" s="24"/>
      <c r="P510" s="24"/>
      <c r="Q510" s="24"/>
      <c r="R510" s="24"/>
      <c r="S510" s="24"/>
    </row>
    <row r="511" spans="1:20" x14ac:dyDescent="0.45">
      <c r="A511" t="s">
        <v>365</v>
      </c>
      <c r="B511" t="s">
        <v>281</v>
      </c>
      <c r="C511" s="9" t="str">
        <f t="shared" si="448"/>
        <v>FTTC</v>
      </c>
      <c r="D511" s="116">
        <v>0.87077568189705279</v>
      </c>
      <c r="I511" s="24">
        <f t="shared" si="449"/>
        <v>65.489914897946761</v>
      </c>
      <c r="J511" s="24">
        <f t="shared" si="449"/>
        <v>77.045343697720071</v>
      </c>
      <c r="K511" s="24">
        <f t="shared" si="449"/>
        <v>83.299279113976866</v>
      </c>
      <c r="L511" s="24">
        <f t="shared" si="449"/>
        <v>0</v>
      </c>
      <c r="M511" s="24">
        <f t="shared" si="449"/>
        <v>0</v>
      </c>
      <c r="N511" s="24">
        <f t="shared" si="449"/>
        <v>0</v>
      </c>
      <c r="O511" s="24"/>
      <c r="P511" s="24"/>
      <c r="Q511" s="24"/>
      <c r="R511" s="24"/>
      <c r="S511" s="24"/>
      <c r="T511" s="51"/>
    </row>
    <row r="512" spans="1:20" x14ac:dyDescent="0.45">
      <c r="A512" t="s">
        <v>366</v>
      </c>
      <c r="B512" t="s">
        <v>282</v>
      </c>
      <c r="C512" s="9" t="str">
        <f t="shared" si="448"/>
        <v>FTTC</v>
      </c>
      <c r="D512" s="116">
        <v>0.87006293712040095</v>
      </c>
      <c r="I512" s="24">
        <f t="shared" si="449"/>
        <v>70.192015639551954</v>
      </c>
      <c r="J512" s="24">
        <f t="shared" si="449"/>
        <v>82.553237334959391</v>
      </c>
      <c r="K512" s="24">
        <f t="shared" si="449"/>
        <v>88.087602264535292</v>
      </c>
      <c r="L512" s="24">
        <f t="shared" si="449"/>
        <v>0</v>
      </c>
      <c r="M512" s="24">
        <f t="shared" si="449"/>
        <v>0</v>
      </c>
      <c r="N512" s="24">
        <f t="shared" si="449"/>
        <v>0</v>
      </c>
      <c r="O512" s="24"/>
      <c r="P512" s="24"/>
      <c r="Q512" s="24"/>
      <c r="R512" s="24"/>
      <c r="S512" s="24"/>
      <c r="T512" s="51"/>
    </row>
    <row r="513" spans="1:20" x14ac:dyDescent="0.45">
      <c r="A513" t="s">
        <v>367</v>
      </c>
      <c r="B513" t="s">
        <v>283</v>
      </c>
      <c r="C513" s="9" t="str">
        <f t="shared" si="448"/>
        <v>FTTC</v>
      </c>
      <c r="D513" s="116">
        <v>0.86788358201481719</v>
      </c>
      <c r="I513" s="24">
        <f t="shared" si="449"/>
        <v>63.745589209776121</v>
      </c>
      <c r="J513" s="24">
        <f t="shared" si="449"/>
        <v>74.205833637245547</v>
      </c>
      <c r="K513" s="24">
        <f t="shared" si="449"/>
        <v>79.934762530959262</v>
      </c>
      <c r="L513" s="24">
        <f t="shared" si="449"/>
        <v>0</v>
      </c>
      <c r="M513" s="24">
        <f t="shared" si="449"/>
        <v>0</v>
      </c>
      <c r="N513" s="24">
        <f t="shared" si="449"/>
        <v>0</v>
      </c>
      <c r="O513" s="24"/>
      <c r="P513" s="24"/>
      <c r="Q513" s="24"/>
      <c r="R513" s="24"/>
      <c r="S513" s="24"/>
      <c r="T513" s="51"/>
    </row>
    <row r="514" spans="1:20" x14ac:dyDescent="0.45">
      <c r="A514" t="s">
        <v>368</v>
      </c>
      <c r="B514" t="s">
        <v>284</v>
      </c>
      <c r="C514" s="9" t="str">
        <f t="shared" si="448"/>
        <v>FTTC</v>
      </c>
      <c r="D514" s="116">
        <v>0.86762772158563317</v>
      </c>
      <c r="I514" s="24">
        <f t="shared" si="449"/>
        <v>63.601101622380746</v>
      </c>
      <c r="J514" s="24">
        <f t="shared" si="449"/>
        <v>73.93867569718789</v>
      </c>
      <c r="K514" s="24">
        <f t="shared" si="449"/>
        <v>78.660383009013714</v>
      </c>
      <c r="L514" s="24">
        <f t="shared" si="449"/>
        <v>0</v>
      </c>
      <c r="M514" s="24">
        <f t="shared" si="449"/>
        <v>0</v>
      </c>
      <c r="N514" s="24">
        <f t="shared" si="449"/>
        <v>0</v>
      </c>
      <c r="O514" s="24"/>
      <c r="P514" s="24"/>
      <c r="Q514" s="24"/>
      <c r="R514" s="24"/>
      <c r="S514" s="24"/>
      <c r="T514" s="51"/>
    </row>
    <row r="515" spans="1:20" x14ac:dyDescent="0.45">
      <c r="A515" t="s">
        <v>326</v>
      </c>
      <c r="B515" t="s">
        <v>285</v>
      </c>
      <c r="C515" s="9" t="str">
        <f t="shared" si="448"/>
        <v>FTTC</v>
      </c>
      <c r="D515" s="116">
        <v>0.99560885958281053</v>
      </c>
      <c r="I515" s="24">
        <f t="shared" si="449"/>
        <v>1744.0225975016388</v>
      </c>
      <c r="J515" s="24">
        <f t="shared" si="449"/>
        <v>1696.1288386101983</v>
      </c>
      <c r="K515" s="24">
        <f t="shared" si="449"/>
        <v>1627.6658460172059</v>
      </c>
      <c r="L515" s="24">
        <f t="shared" si="449"/>
        <v>0</v>
      </c>
      <c r="M515" s="24">
        <f t="shared" si="449"/>
        <v>0</v>
      </c>
      <c r="N515" s="24">
        <f t="shared" si="449"/>
        <v>0</v>
      </c>
      <c r="O515" s="24"/>
      <c r="P515" s="24"/>
      <c r="Q515" s="24"/>
      <c r="R515" s="24"/>
      <c r="S515" s="24"/>
      <c r="T515" s="51"/>
    </row>
    <row r="516" spans="1:20" x14ac:dyDescent="0.45">
      <c r="A516" t="s">
        <v>327</v>
      </c>
      <c r="B516" t="s">
        <v>286</v>
      </c>
      <c r="C516" s="9" t="str">
        <f t="shared" si="448"/>
        <v>FTTC</v>
      </c>
      <c r="D516" s="116">
        <v>0.9558422936174773</v>
      </c>
      <c r="I516" s="24">
        <f t="shared" si="449"/>
        <v>101.80027876681891</v>
      </c>
      <c r="J516" s="24">
        <f t="shared" si="449"/>
        <v>100.63988085398935</v>
      </c>
      <c r="K516" s="24">
        <f t="shared" si="449"/>
        <v>102.3745956461955</v>
      </c>
      <c r="L516" s="24">
        <f t="shared" si="449"/>
        <v>0</v>
      </c>
      <c r="M516" s="24">
        <f t="shared" si="449"/>
        <v>0</v>
      </c>
      <c r="N516" s="24">
        <f t="shared" si="449"/>
        <v>0</v>
      </c>
      <c r="O516" s="24"/>
      <c r="P516" s="24"/>
      <c r="Q516" s="24"/>
      <c r="R516" s="24"/>
      <c r="S516" s="24"/>
      <c r="T516" s="51"/>
    </row>
    <row r="517" spans="1:20" x14ac:dyDescent="0.45">
      <c r="A517" t="s">
        <v>328</v>
      </c>
      <c r="B517" t="s">
        <v>287</v>
      </c>
      <c r="C517" s="9" t="str">
        <f t="shared" si="448"/>
        <v>FTTC</v>
      </c>
      <c r="D517" s="116">
        <v>0.95583880745802363</v>
      </c>
    </row>
    <row r="518" spans="1:20" x14ac:dyDescent="0.45">
      <c r="A518" t="s">
        <v>329</v>
      </c>
      <c r="B518" t="s">
        <v>288</v>
      </c>
      <c r="C518" s="9" t="str">
        <f t="shared" si="448"/>
        <v>FTTC</v>
      </c>
      <c r="D518" s="116">
        <v>0.99560885958083356</v>
      </c>
      <c r="K518" s="51"/>
      <c r="L518" s="51"/>
      <c r="M518" s="51"/>
      <c r="N518" s="51"/>
      <c r="O518" s="51"/>
      <c r="P518" s="51"/>
      <c r="Q518" s="51"/>
      <c r="R518" s="51"/>
      <c r="S518" s="51"/>
    </row>
    <row r="519" spans="1:20" x14ac:dyDescent="0.45">
      <c r="A519" t="s">
        <v>330</v>
      </c>
      <c r="B519" t="s">
        <v>289</v>
      </c>
      <c r="C519" s="9" t="str">
        <f t="shared" si="448"/>
        <v>FTTC</v>
      </c>
      <c r="D519" s="116">
        <v>0.99471481283345997</v>
      </c>
      <c r="K519" s="51"/>
      <c r="L519" s="51"/>
      <c r="M519" s="51"/>
      <c r="N519" s="51"/>
      <c r="O519" s="51"/>
      <c r="P519" s="51"/>
      <c r="Q519" s="51"/>
      <c r="R519" s="51"/>
      <c r="S519" s="51"/>
    </row>
    <row r="520" spans="1:20" x14ac:dyDescent="0.45">
      <c r="A520" t="s">
        <v>331</v>
      </c>
      <c r="B520" t="s">
        <v>290</v>
      </c>
      <c r="C520" s="9" t="str">
        <f t="shared" si="448"/>
        <v>FTTC</v>
      </c>
      <c r="D520" s="116">
        <v>0.99471481283420027</v>
      </c>
      <c r="K520" s="51"/>
      <c r="L520" s="51"/>
      <c r="M520" s="51"/>
      <c r="N520" s="51"/>
      <c r="O520" s="51"/>
      <c r="P520" s="51"/>
      <c r="Q520" s="51"/>
      <c r="R520" s="51"/>
      <c r="S520" s="51"/>
    </row>
    <row r="521" spans="1:20" x14ac:dyDescent="0.45">
      <c r="A521" t="s">
        <v>332</v>
      </c>
      <c r="B521" t="s">
        <v>291</v>
      </c>
      <c r="C521" s="9" t="str">
        <f t="shared" si="448"/>
        <v>FTTC</v>
      </c>
      <c r="D521" s="116">
        <v>0.95104291819219222</v>
      </c>
      <c r="K521" s="51"/>
      <c r="L521" s="51"/>
      <c r="M521" s="51"/>
      <c r="N521" s="51"/>
      <c r="O521" s="51"/>
      <c r="P521" s="51"/>
      <c r="Q521" s="51"/>
      <c r="R521" s="51"/>
      <c r="S521" s="51"/>
    </row>
    <row r="522" spans="1:20" x14ac:dyDescent="0.45">
      <c r="A522" t="s">
        <v>333</v>
      </c>
      <c r="B522" t="s">
        <v>292</v>
      </c>
      <c r="C522" s="9" t="str">
        <f t="shared" si="448"/>
        <v>FTTC</v>
      </c>
      <c r="D522" s="116">
        <v>0.95104291819219211</v>
      </c>
      <c r="K522" s="51"/>
      <c r="L522" s="51"/>
      <c r="M522" s="51"/>
      <c r="N522" s="51"/>
      <c r="O522" s="51"/>
      <c r="P522" s="51"/>
      <c r="Q522" s="51"/>
      <c r="R522" s="51"/>
      <c r="S522" s="51"/>
    </row>
    <row r="523" spans="1:20" x14ac:dyDescent="0.45">
      <c r="A523" t="s">
        <v>369</v>
      </c>
      <c r="B523" t="s">
        <v>293</v>
      </c>
      <c r="C523" s="9" t="str">
        <f t="shared" si="448"/>
        <v>FTTC</v>
      </c>
      <c r="D523" s="116">
        <v>0.87427601297716984</v>
      </c>
    </row>
    <row r="524" spans="1:20" x14ac:dyDescent="0.45">
      <c r="A524" t="s">
        <v>370</v>
      </c>
      <c r="B524" t="s">
        <v>295</v>
      </c>
      <c r="C524" s="9" t="str">
        <f t="shared" si="448"/>
        <v>FTTC</v>
      </c>
      <c r="D524" s="116">
        <v>0.91051995112430517</v>
      </c>
    </row>
    <row r="525" spans="1:20" x14ac:dyDescent="0.45">
      <c r="A525" t="s">
        <v>334</v>
      </c>
      <c r="B525" t="s">
        <v>296</v>
      </c>
      <c r="C525" s="9" t="str">
        <f t="shared" si="448"/>
        <v>FTTC</v>
      </c>
      <c r="D525" s="116">
        <v>0.99541498526608418</v>
      </c>
    </row>
    <row r="526" spans="1:20" x14ac:dyDescent="0.45">
      <c r="A526" t="s">
        <v>335</v>
      </c>
      <c r="B526" t="s">
        <v>297</v>
      </c>
      <c r="C526" s="9" t="str">
        <f t="shared" si="448"/>
        <v>FTTC</v>
      </c>
      <c r="D526" s="116">
        <v>0.95574733613245422</v>
      </c>
    </row>
    <row r="527" spans="1:20" x14ac:dyDescent="0.45">
      <c r="A527" t="s">
        <v>371</v>
      </c>
      <c r="B527" t="s">
        <v>298</v>
      </c>
      <c r="C527" s="9" t="str">
        <f t="shared" si="448"/>
        <v>FTTC</v>
      </c>
      <c r="D527" s="116">
        <v>0.78357109068571074</v>
      </c>
    </row>
    <row r="528" spans="1:20" x14ac:dyDescent="0.45">
      <c r="A528" t="s">
        <v>372</v>
      </c>
      <c r="B528" t="s">
        <v>300</v>
      </c>
      <c r="C528" s="9" t="str">
        <f t="shared" si="448"/>
        <v>FTTC</v>
      </c>
      <c r="D528" s="116">
        <v>0.78384747323918769</v>
      </c>
    </row>
    <row r="529" spans="1:4" x14ac:dyDescent="0.45">
      <c r="A529" t="s">
        <v>373</v>
      </c>
      <c r="B529" t="s">
        <v>301</v>
      </c>
      <c r="C529" s="9" t="str">
        <f t="shared" si="448"/>
        <v>FTTC</v>
      </c>
      <c r="D529" s="116">
        <v>0.78329192800247849</v>
      </c>
    </row>
    <row r="530" spans="1:4" x14ac:dyDescent="0.45">
      <c r="A530" t="s">
        <v>374</v>
      </c>
      <c r="B530" t="s">
        <v>302</v>
      </c>
      <c r="C530" s="9" t="str">
        <f t="shared" si="448"/>
        <v>FTTC</v>
      </c>
      <c r="D530" s="116">
        <v>0.78354286912435345</v>
      </c>
    </row>
    <row r="531" spans="1:4" x14ac:dyDescent="0.45">
      <c r="A531" t="s">
        <v>336</v>
      </c>
      <c r="B531" t="s">
        <v>303</v>
      </c>
      <c r="C531" s="9" t="str">
        <f t="shared" si="448"/>
        <v>FTTC</v>
      </c>
      <c r="D531" s="116">
        <v>0.95384524690877448</v>
      </c>
    </row>
    <row r="532" spans="1:4" x14ac:dyDescent="0.45">
      <c r="A532" t="s">
        <v>337</v>
      </c>
      <c r="B532" t="s">
        <v>304</v>
      </c>
      <c r="C532" s="9" t="str">
        <f t="shared" si="448"/>
        <v>FTTC</v>
      </c>
      <c r="D532" s="116">
        <v>0.95429119982501953</v>
      </c>
    </row>
    <row r="533" spans="1:4" x14ac:dyDescent="0.45">
      <c r="A533" t="s">
        <v>375</v>
      </c>
      <c r="B533" t="s">
        <v>305</v>
      </c>
      <c r="C533" s="9" t="str">
        <f t="shared" si="448"/>
        <v>Legacy</v>
      </c>
      <c r="D533" s="116">
        <v>0.65612732283515418</v>
      </c>
    </row>
    <row r="534" spans="1:4" x14ac:dyDescent="0.45">
      <c r="A534" t="s">
        <v>376</v>
      </c>
      <c r="B534" t="s">
        <v>306</v>
      </c>
      <c r="C534" s="9" t="str">
        <f t="shared" si="448"/>
        <v>Legacy</v>
      </c>
      <c r="D534" s="116">
        <v>0.62406311504843537</v>
      </c>
    </row>
    <row r="535" spans="1:4" x14ac:dyDescent="0.45">
      <c r="A535" t="s">
        <v>338</v>
      </c>
      <c r="B535" t="s">
        <v>307</v>
      </c>
      <c r="C535" s="9" t="str">
        <f t="shared" si="448"/>
        <v>Legacy</v>
      </c>
      <c r="D535" s="116">
        <v>0.99160975497447912</v>
      </c>
    </row>
    <row r="536" spans="1:4" x14ac:dyDescent="0.45">
      <c r="A536" t="s">
        <v>339</v>
      </c>
      <c r="B536" t="s">
        <v>308</v>
      </c>
      <c r="C536" s="9" t="str">
        <f t="shared" si="448"/>
        <v>Legacy</v>
      </c>
      <c r="D536" s="116">
        <v>0.9683375644266542</v>
      </c>
    </row>
    <row r="537" spans="1:4" x14ac:dyDescent="0.45">
      <c r="A537" t="s">
        <v>377</v>
      </c>
      <c r="B537" t="s">
        <v>309</v>
      </c>
      <c r="C537" s="9" t="str">
        <f t="shared" si="448"/>
        <v>Legacy</v>
      </c>
      <c r="D537" s="116">
        <v>0.67054953520869887</v>
      </c>
    </row>
    <row r="538" spans="1:4" x14ac:dyDescent="0.45">
      <c r="A538" t="s">
        <v>378</v>
      </c>
      <c r="B538" t="s">
        <v>310</v>
      </c>
      <c r="C538" s="9" t="str">
        <f t="shared" si="448"/>
        <v>Legacy</v>
      </c>
      <c r="D538" s="116">
        <v>0.67661398420853036</v>
      </c>
    </row>
    <row r="539" spans="1:4" x14ac:dyDescent="0.45">
      <c r="A539" t="s">
        <v>379</v>
      </c>
      <c r="B539" t="s">
        <v>311</v>
      </c>
      <c r="C539" s="9" t="str">
        <f t="shared" si="448"/>
        <v>Legacy</v>
      </c>
      <c r="D539" s="116">
        <v>0.6704452280805091</v>
      </c>
    </row>
    <row r="540" spans="1:4" x14ac:dyDescent="0.45">
      <c r="A540" t="s">
        <v>380</v>
      </c>
      <c r="B540" t="s">
        <v>312</v>
      </c>
      <c r="C540" s="9" t="str">
        <f t="shared" si="448"/>
        <v>Legacy</v>
      </c>
      <c r="D540" s="116">
        <v>0.67661398420853014</v>
      </c>
    </row>
    <row r="541" spans="1:4" x14ac:dyDescent="0.45">
      <c r="A541" t="s">
        <v>340</v>
      </c>
      <c r="B541" t="s">
        <v>313</v>
      </c>
      <c r="C541" s="9" t="str">
        <f t="shared" si="448"/>
        <v>Legacy</v>
      </c>
      <c r="D541" s="116">
        <v>0.97635496901521479</v>
      </c>
    </row>
    <row r="542" spans="1:4" x14ac:dyDescent="0.45">
      <c r="A542" t="s">
        <v>341</v>
      </c>
      <c r="B542" t="s">
        <v>314</v>
      </c>
      <c r="C542" s="9" t="str">
        <f t="shared" si="448"/>
        <v>Legacy</v>
      </c>
      <c r="D542" s="116">
        <v>0.97688502719782133</v>
      </c>
    </row>
    <row r="543" spans="1:4" x14ac:dyDescent="0.45">
      <c r="A543" t="s">
        <v>342</v>
      </c>
      <c r="B543" t="s">
        <v>315</v>
      </c>
      <c r="C543" s="9" t="str">
        <f t="shared" si="448"/>
        <v>Legacy</v>
      </c>
      <c r="D543" s="116">
        <v>0.97672532390638112</v>
      </c>
    </row>
    <row r="544" spans="1:4" x14ac:dyDescent="0.45">
      <c r="A544" t="s">
        <v>343</v>
      </c>
      <c r="B544" t="s">
        <v>316</v>
      </c>
      <c r="C544" s="9" t="str">
        <f t="shared" si="448"/>
        <v>Legacy</v>
      </c>
      <c r="D544" s="116">
        <v>0.97635496901521457</v>
      </c>
    </row>
  </sheetData>
  <conditionalFormatting sqref="Y19:AM58">
    <cfRule type="cellIs" dxfId="0" priority="1" operator="lessThan">
      <formula>0</formula>
    </cfRule>
  </conditionalFormatting>
  <dataValidations count="5">
    <dataValidation type="list" allowBlank="1" showInputMessage="1" showErrorMessage="1" sqref="B2" xr:uid="{85A12604-E722-4786-96B3-AF6739A489EA}">
      <formula1>"Discounted, Headline"</formula1>
    </dataValidation>
    <dataValidation type="list" allowBlank="1" showInputMessage="1" showErrorMessage="1" sqref="C281:C320 C369:C408 C192:C232" xr:uid="{D8C44E81-E8CD-44F6-B632-11AA1AFB80B6}">
      <formula1>$C$12:$C$13</formula1>
    </dataValidation>
    <dataValidation type="list" allowBlank="1" showInputMessage="1" showErrorMessage="1" sqref="B3" xr:uid="{DD343410-346A-4C22-BCD6-7B304DFD6D6B}">
      <formula1>"Prices, Costs"</formula1>
    </dataValidation>
    <dataValidation type="list" allowBlank="1" showInputMessage="1" showErrorMessage="1" sqref="D19:D58 V63:V102 V106:V145 V148:V187 V191:V230" xr:uid="{7BBE20E2-DA47-4E49-86C9-78EF46B5D3A9}">
      <formula1>"Legacy, FTTC, G Fast, SOGEA"</formula1>
    </dataValidation>
    <dataValidation type="list" allowBlank="1" showInputMessage="1" showErrorMessage="1" sqref="C19:C58 U63:U102 U106:U145 U148:U187 U191:U230 C236:C275 C324:C363 C412:C451" xr:uid="{AC0897C6-6BD5-44E4-88CA-5D8E1905AE7E}">
      <formula1>"Rentals, Connections"</formula1>
    </dataValidation>
  </dataValidations>
  <pageMargins left="0.7" right="0.7" top="0.75" bottom="0.75" header="0.3" footer="0.3"/>
  <pageSetup paperSize="9" orientation="portrait" r:id="rId1"/>
  <headerFooter>
    <oddHeader>&amp;L&amp;"Calibri"&amp;12&amp;K000000 Classification: CONFIDENTIAL&amp;1#_x000D_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4539A-D1D2-4AA6-B566-46CC3E556094}">
  <dimension ref="A2:AI312"/>
  <sheetViews>
    <sheetView zoomScale="60" zoomScaleNormal="60" workbookViewId="0">
      <selection activeCell="C97" sqref="C97:Q97"/>
    </sheetView>
  </sheetViews>
  <sheetFormatPr defaultRowHeight="14.25" x14ac:dyDescent="0.45"/>
  <cols>
    <col min="1" max="1" width="11" bestFit="1" customWidth="1"/>
    <col min="2" max="2" width="56.265625" bestFit="1" customWidth="1"/>
    <col min="3" max="5" width="14.265625" customWidth="1"/>
    <col min="6" max="6" width="16.73046875" bestFit="1" customWidth="1"/>
    <col min="7" max="7" width="21.59765625" customWidth="1"/>
    <col min="8" max="8" width="13" customWidth="1"/>
    <col min="9" max="9" width="50.265625" customWidth="1"/>
    <col min="10" max="14" width="14" customWidth="1"/>
    <col min="15" max="15" width="13.73046875" customWidth="1"/>
    <col min="16" max="17" width="14.265625" customWidth="1"/>
    <col min="18" max="18" width="19" customWidth="1"/>
    <col min="19" max="19" width="14.265625" customWidth="1"/>
    <col min="20" max="20" width="57.86328125" bestFit="1" customWidth="1"/>
    <col min="21" max="33" width="14.265625" customWidth="1"/>
  </cols>
  <sheetData>
    <row r="2" spans="1:10" x14ac:dyDescent="0.45">
      <c r="A2" s="23" t="s">
        <v>393</v>
      </c>
      <c r="D2" t="s">
        <v>320</v>
      </c>
      <c r="E2" t="s">
        <v>347</v>
      </c>
      <c r="F2" t="s">
        <v>350</v>
      </c>
      <c r="H2" s="23" t="s">
        <v>394</v>
      </c>
      <c r="J2" t="s">
        <v>395</v>
      </c>
    </row>
    <row r="3" spans="1:10" x14ac:dyDescent="0.45">
      <c r="B3" s="49" t="s">
        <v>396</v>
      </c>
      <c r="D3">
        <v>3</v>
      </c>
      <c r="E3">
        <v>4</v>
      </c>
      <c r="F3">
        <v>5</v>
      </c>
      <c r="G3" s="39"/>
    </row>
    <row r="4" spans="1:10" ht="14.65" thickBot="1" x14ac:dyDescent="0.5">
      <c r="A4" s="78" t="s">
        <v>397</v>
      </c>
      <c r="D4" t="s">
        <v>453</v>
      </c>
    </row>
    <row r="5" spans="1:10" ht="14.65" thickBot="1" x14ac:dyDescent="0.5">
      <c r="A5" t="s">
        <v>361</v>
      </c>
      <c r="B5" t="s">
        <v>274</v>
      </c>
      <c r="C5" t="s">
        <v>398</v>
      </c>
      <c r="D5" s="114">
        <f>INDEX('[4]Outputs for Area 3 RAB'!$C$6:$E$10,MATCH($C5,'[4]Outputs for Area 3 RAB'!$B$6:$B$10,0),MATCH(D$2,'[4]Outputs for Area 3 RAB'!$C$5:$E$5,0))</f>
        <v>-0.02</v>
      </c>
      <c r="E5" s="48">
        <f>INDEX('[4]Outputs for Area 3 RAB'!$C$6:$E$10,MATCH($C5,'[4]Outputs for Area 3 RAB'!$B$6:$B$10,0),MATCH(E$2,'[4]Outputs for Area 3 RAB'!$C$5:$E$5,0))</f>
        <v>1.2500000000000001E-2</v>
      </c>
      <c r="F5" s="114">
        <f>INDEX('[4]Outputs for Area 3 RAB'!$C$6:$E$10,MATCH($C5,'[4]Outputs for Area 3 RAB'!$B$6:$B$10,0),MATCH(F$2,'[4]Outputs for Area 3 RAB'!$C$5:$E$5,0))</f>
        <v>-4.4999999999999998E-2</v>
      </c>
      <c r="H5" s="9" t="str" cm="1">
        <f t="array" ref="H5:H44">TD_service_codes</f>
        <v>WN127</v>
      </c>
      <c r="I5" t="s">
        <v>274</v>
      </c>
      <c r="J5" s="181">
        <f>INDEX([4]StartPrices!$M$10:$M$609,MATCH($H5,[4]StartPrices!$B$10:$B$609,0))</f>
        <v>106.00402944604521</v>
      </c>
    </row>
    <row r="6" spans="1:10" ht="14.65" thickBot="1" x14ac:dyDescent="0.5">
      <c r="A6" t="s">
        <v>362</v>
      </c>
      <c r="B6" t="s">
        <v>276</v>
      </c>
      <c r="C6" t="s">
        <v>398</v>
      </c>
      <c r="D6" s="48">
        <f>INDEX('[4]Outputs for Area 3 RAB'!$C$6:$E$10,MATCH($C6,'[4]Outputs for Area 3 RAB'!$B$6:$B$10,0),MATCH(D$2,'[4]Outputs for Area 3 RAB'!$C$5:$E$5,0))</f>
        <v>-0.02</v>
      </c>
      <c r="E6" s="48">
        <f>INDEX('[4]Outputs for Area 3 RAB'!$C$6:$E$10,MATCH($C6,'[4]Outputs for Area 3 RAB'!$B$6:$B$10,0),MATCH(E$2,'[4]Outputs for Area 3 RAB'!$C$5:$E$5,0))</f>
        <v>1.2500000000000001E-2</v>
      </c>
      <c r="F6" s="48">
        <f>INDEX('[4]Outputs for Area 3 RAB'!$C$6:$E$10,MATCH($C6,'[4]Outputs for Area 3 RAB'!$B$6:$B$10,0),MATCH(F$2,'[4]Outputs for Area 3 RAB'!$C$5:$E$5,0))</f>
        <v>-4.4999999999999998E-2</v>
      </c>
      <c r="H6" s="9" t="str">
        <v>WN346</v>
      </c>
      <c r="I6" t="s">
        <v>276</v>
      </c>
      <c r="J6" s="181">
        <f>INDEX([4]StartPrices!$M$10:$M$609,MATCH($H6,[4]StartPrices!$B$10:$B$609,0))</f>
        <v>126.75634291044327</v>
      </c>
    </row>
    <row r="7" spans="1:10" ht="14.65" thickBot="1" x14ac:dyDescent="0.5">
      <c r="A7" t="s">
        <v>363</v>
      </c>
      <c r="B7" t="s">
        <v>277</v>
      </c>
      <c r="C7" t="s">
        <v>398</v>
      </c>
      <c r="D7" s="48">
        <f>INDEX('[4]Outputs for Area 3 RAB'!$C$6:$E$10,MATCH($C7,'[4]Outputs for Area 3 RAB'!$B$6:$B$10,0),MATCH(D$2,'[4]Outputs for Area 3 RAB'!$C$5:$E$5,0))</f>
        <v>-0.02</v>
      </c>
      <c r="E7" s="48">
        <f>INDEX('[4]Outputs for Area 3 RAB'!$C$6:$E$10,MATCH($C7,'[4]Outputs for Area 3 RAB'!$B$6:$B$10,0),MATCH(E$2,'[4]Outputs for Area 3 RAB'!$C$5:$E$5,0))</f>
        <v>1.2500000000000001E-2</v>
      </c>
      <c r="F7" s="48">
        <f>INDEX('[4]Outputs for Area 3 RAB'!$C$6:$E$10,MATCH($C7,'[4]Outputs for Area 3 RAB'!$B$6:$B$10,0),MATCH(F$2,'[4]Outputs for Area 3 RAB'!$C$5:$E$5,0))</f>
        <v>-4.4999999999999998E-2</v>
      </c>
      <c r="H7" s="9" t="str">
        <v>WX130</v>
      </c>
      <c r="I7" t="s">
        <v>277</v>
      </c>
      <c r="J7" s="181">
        <f>INDEX([4]StartPrices!$M$10:$M$609,MATCH($H7,[4]StartPrices!$B$10:$B$609,0))</f>
        <v>114.56828052135394</v>
      </c>
    </row>
    <row r="8" spans="1:10" ht="14.65" thickBot="1" x14ac:dyDescent="0.5">
      <c r="A8" t="s">
        <v>364</v>
      </c>
      <c r="B8" t="s">
        <v>278</v>
      </c>
      <c r="C8" t="s">
        <v>398</v>
      </c>
      <c r="D8" s="48">
        <f>INDEX('[4]Outputs for Area 3 RAB'!$C$6:$E$10,MATCH($C8,'[4]Outputs for Area 3 RAB'!$B$6:$B$10,0),MATCH(D$2,'[4]Outputs for Area 3 RAB'!$C$5:$E$5,0))</f>
        <v>-0.02</v>
      </c>
      <c r="E8" s="48">
        <f>INDEX('[4]Outputs for Area 3 RAB'!$C$6:$E$10,MATCH($C8,'[4]Outputs for Area 3 RAB'!$B$6:$B$10,0),MATCH(E$2,'[4]Outputs for Area 3 RAB'!$C$5:$E$5,0))</f>
        <v>1.2500000000000001E-2</v>
      </c>
      <c r="F8" s="48">
        <f>INDEX('[4]Outputs for Area 3 RAB'!$C$6:$E$10,MATCH($C8,'[4]Outputs for Area 3 RAB'!$B$6:$B$10,0),MATCH(F$2,'[4]Outputs for Area 3 RAB'!$C$5:$E$5,0))</f>
        <v>-4.4999999999999998E-2</v>
      </c>
      <c r="H8" s="9" t="str">
        <v>WX347</v>
      </c>
      <c r="I8" t="s">
        <v>278</v>
      </c>
      <c r="J8" s="181">
        <f>INDEX([4]StartPrices!$M$10:$M$609,MATCH($H8,[4]StartPrices!$B$10:$B$609,0))</f>
        <v>112.01547879383767</v>
      </c>
    </row>
    <row r="9" spans="1:10" ht="14.65" thickBot="1" x14ac:dyDescent="0.5">
      <c r="A9" t="s">
        <v>324</v>
      </c>
      <c r="B9" t="s">
        <v>279</v>
      </c>
      <c r="C9" t="s">
        <v>399</v>
      </c>
      <c r="D9" s="48">
        <f>INDEX('[4]Outputs for Area 3 RAB'!$C$6:$E$10,MATCH($C9,'[4]Outputs for Area 3 RAB'!$B$6:$B$10,0),MATCH(D$2,'[4]Outputs for Area 3 RAB'!$C$5:$E$5,0))</f>
        <v>0.1825</v>
      </c>
      <c r="E9" s="48">
        <f>INDEX('[4]Outputs for Area 3 RAB'!$C$6:$E$10,MATCH($C9,'[4]Outputs for Area 3 RAB'!$B$6:$B$10,0),MATCH(E$2,'[4]Outputs for Area 3 RAB'!$C$5:$E$5,0))</f>
        <v>0.22</v>
      </c>
      <c r="F9" s="48">
        <f>INDEX('[4]Outputs for Area 3 RAB'!$C$6:$E$10,MATCH($C9,'[4]Outputs for Area 3 RAB'!$B$6:$B$10,0),MATCH(F$2,'[4]Outputs for Area 3 RAB'!$C$5:$E$5,0))</f>
        <v>0.16250000000000001</v>
      </c>
      <c r="H9" s="9" t="str">
        <v>WX129</v>
      </c>
      <c r="I9" t="s">
        <v>279</v>
      </c>
      <c r="J9" s="181">
        <f>INDEX([4]StartPrices!$M$10:$M$609,MATCH($H9,[4]StartPrices!$B$10:$B$609,0))</f>
        <v>30.719805199688171</v>
      </c>
    </row>
    <row r="10" spans="1:10" ht="14.65" thickBot="1" x14ac:dyDescent="0.5">
      <c r="A10" t="s">
        <v>325</v>
      </c>
      <c r="B10" t="s">
        <v>280</v>
      </c>
      <c r="C10" t="s">
        <v>399</v>
      </c>
      <c r="D10" s="48">
        <f>INDEX('[4]Outputs for Area 3 RAB'!$C$6:$E$10,MATCH($C10,'[4]Outputs for Area 3 RAB'!$B$6:$B$10,0),MATCH(D$2,'[4]Outputs for Area 3 RAB'!$C$5:$E$5,0))</f>
        <v>0.1825</v>
      </c>
      <c r="E10" s="48">
        <f>INDEX('[4]Outputs for Area 3 RAB'!$C$6:$E$10,MATCH($C10,'[4]Outputs for Area 3 RAB'!$B$6:$B$10,0),MATCH(E$2,'[4]Outputs for Area 3 RAB'!$C$5:$E$5,0))</f>
        <v>0.22</v>
      </c>
      <c r="F10" s="48">
        <f>INDEX('[4]Outputs for Area 3 RAB'!$C$6:$E$10,MATCH($C10,'[4]Outputs for Area 3 RAB'!$B$6:$B$10,0),MATCH(F$2,'[4]Outputs for Area 3 RAB'!$C$5:$E$5,0))</f>
        <v>0.16250000000000001</v>
      </c>
      <c r="H10" s="9" t="str">
        <v>WN123</v>
      </c>
      <c r="I10" t="s">
        <v>280</v>
      </c>
      <c r="J10" s="181">
        <f>INDEX([4]StartPrices!$M$10:$M$609,MATCH($H10,[4]StartPrices!$B$10:$B$609,0))</f>
        <v>32.135272426330651</v>
      </c>
    </row>
    <row r="11" spans="1:10" ht="14.65" thickBot="1" x14ac:dyDescent="0.5">
      <c r="A11" t="s">
        <v>365</v>
      </c>
      <c r="B11" t="s">
        <v>281</v>
      </c>
      <c r="C11" t="s">
        <v>400</v>
      </c>
      <c r="D11" s="48">
        <f>INDEX('[4]Outputs for Area 3 RAB'!$C$6:$E$10,MATCH($C11,'[4]Outputs for Area 3 RAB'!$B$6:$B$10,0),MATCH(D$2,'[4]Outputs for Area 3 RAB'!$C$5:$E$5,0))</f>
        <v>6.25E-2</v>
      </c>
      <c r="E11" s="48">
        <f>INDEX('[4]Outputs for Area 3 RAB'!$C$6:$E$10,MATCH($C11,'[4]Outputs for Area 3 RAB'!$B$6:$B$10,0),MATCH(E$2,'[4]Outputs for Area 3 RAB'!$C$5:$E$5,0))</f>
        <v>7.7499999999999999E-2</v>
      </c>
      <c r="F11" s="48">
        <f>INDEX('[4]Outputs for Area 3 RAB'!$C$6:$E$10,MATCH($C11,'[4]Outputs for Area 3 RAB'!$B$6:$B$10,0),MATCH(F$2,'[4]Outputs for Area 3 RAB'!$C$5:$E$5,0))</f>
        <v>0.05</v>
      </c>
      <c r="H11" s="9" t="str">
        <v>WN300</v>
      </c>
      <c r="I11" t="s">
        <v>281</v>
      </c>
      <c r="J11" s="181">
        <f>INDEX([4]StartPrices!$M$10:$M$609,MATCH($H11,[4]StartPrices!$B$10:$B$609,0))</f>
        <v>101.5041948226586</v>
      </c>
    </row>
    <row r="12" spans="1:10" ht="14.65" thickBot="1" x14ac:dyDescent="0.5">
      <c r="A12" t="s">
        <v>366</v>
      </c>
      <c r="B12" t="s">
        <v>282</v>
      </c>
      <c r="C12" t="s">
        <v>400</v>
      </c>
      <c r="D12" s="48">
        <f>INDEX('[4]Outputs for Area 3 RAB'!$C$6:$E$10,MATCH($C12,'[4]Outputs for Area 3 RAB'!$B$6:$B$10,0),MATCH(D$2,'[4]Outputs for Area 3 RAB'!$C$5:$E$5,0))</f>
        <v>6.25E-2</v>
      </c>
      <c r="E12" s="48">
        <f>INDEX('[4]Outputs for Area 3 RAB'!$C$6:$E$10,MATCH($C12,'[4]Outputs for Area 3 RAB'!$B$6:$B$10,0),MATCH(E$2,'[4]Outputs for Area 3 RAB'!$C$5:$E$5,0))</f>
        <v>7.7499999999999999E-2</v>
      </c>
      <c r="F12" s="48">
        <f>INDEX('[4]Outputs for Area 3 RAB'!$C$6:$E$10,MATCH($C12,'[4]Outputs for Area 3 RAB'!$B$6:$B$10,0),MATCH(F$2,'[4]Outputs for Area 3 RAB'!$C$5:$E$5,0))</f>
        <v>0.05</v>
      </c>
      <c r="H12" s="9" t="str">
        <v>WN301</v>
      </c>
      <c r="I12" t="s">
        <v>282</v>
      </c>
      <c r="J12" s="181">
        <f>INDEX([4]StartPrices!$M$10:$M$609,MATCH($H12,[4]StartPrices!$B$10:$B$609,0))</f>
        <v>76.48153761663508</v>
      </c>
    </row>
    <row r="13" spans="1:10" ht="14.65" thickBot="1" x14ac:dyDescent="0.5">
      <c r="A13" t="s">
        <v>367</v>
      </c>
      <c r="B13" t="s">
        <v>283</v>
      </c>
      <c r="C13" t="s">
        <v>400</v>
      </c>
      <c r="D13" s="48">
        <f>INDEX('[4]Outputs for Area 3 RAB'!$C$6:$E$10,MATCH($C13,'[4]Outputs for Area 3 RAB'!$B$6:$B$10,0),MATCH(D$2,'[4]Outputs for Area 3 RAB'!$C$5:$E$5,0))</f>
        <v>6.25E-2</v>
      </c>
      <c r="E13" s="48">
        <f>INDEX('[4]Outputs for Area 3 RAB'!$C$6:$E$10,MATCH($C13,'[4]Outputs for Area 3 RAB'!$B$6:$B$10,0),MATCH(E$2,'[4]Outputs for Area 3 RAB'!$C$5:$E$5,0))</f>
        <v>7.7499999999999999E-2</v>
      </c>
      <c r="F13" s="48">
        <f>INDEX('[4]Outputs for Area 3 RAB'!$C$6:$E$10,MATCH($C13,'[4]Outputs for Area 3 RAB'!$B$6:$B$10,0),MATCH(F$2,'[4]Outputs for Area 3 RAB'!$C$5:$E$5,0))</f>
        <v>0.05</v>
      </c>
      <c r="H13" s="9" t="str">
        <v>WX310</v>
      </c>
      <c r="I13" t="s">
        <v>283</v>
      </c>
      <c r="J13" s="181">
        <f>INDEX([4]StartPrices!$M$10:$M$609,MATCH($H13,[4]StartPrices!$B$10:$B$609,0))</f>
        <v>95.941131450521652</v>
      </c>
    </row>
    <row r="14" spans="1:10" ht="14.65" thickBot="1" x14ac:dyDescent="0.5">
      <c r="A14" t="s">
        <v>368</v>
      </c>
      <c r="B14" t="s">
        <v>284</v>
      </c>
      <c r="C14" t="s">
        <v>400</v>
      </c>
      <c r="D14" s="48">
        <f>INDEX('[4]Outputs for Area 3 RAB'!$C$6:$E$10,MATCH($C14,'[4]Outputs for Area 3 RAB'!$B$6:$B$10,0),MATCH(D$2,'[4]Outputs for Area 3 RAB'!$C$5:$E$5,0))</f>
        <v>6.25E-2</v>
      </c>
      <c r="E14" s="48">
        <f>INDEX('[4]Outputs for Area 3 RAB'!$C$6:$E$10,MATCH($C14,'[4]Outputs for Area 3 RAB'!$B$6:$B$10,0),MATCH(E$2,'[4]Outputs for Area 3 RAB'!$C$5:$E$5,0))</f>
        <v>7.7499999999999999E-2</v>
      </c>
      <c r="F14" s="48">
        <f>INDEX('[4]Outputs for Area 3 RAB'!$C$6:$E$10,MATCH($C14,'[4]Outputs for Area 3 RAB'!$B$6:$B$10,0),MATCH(F$2,'[4]Outputs for Area 3 RAB'!$C$5:$E$5,0))</f>
        <v>0.05</v>
      </c>
      <c r="H14" s="9" t="str">
        <v>WX311</v>
      </c>
      <c r="I14" t="s">
        <v>284</v>
      </c>
      <c r="J14" s="181">
        <f>INDEX([4]StartPrices!$M$10:$M$609,MATCH($H14,[4]StartPrices!$B$10:$B$609,0))</f>
        <v>73.80452327242628</v>
      </c>
    </row>
    <row r="15" spans="1:10" ht="14.65" thickBot="1" x14ac:dyDescent="0.5">
      <c r="A15" t="s">
        <v>326</v>
      </c>
      <c r="B15" t="s">
        <v>285</v>
      </c>
      <c r="C15" t="s">
        <v>401</v>
      </c>
      <c r="D15" s="48">
        <f>INDEX('[4]Outputs for Area 3 RAB'!$C$6:$E$10,MATCH($C15,'[4]Outputs for Area 3 RAB'!$B$6:$B$10,0),MATCH(D$2,'[4]Outputs for Area 3 RAB'!$C$5:$E$5,0))</f>
        <v>0.77500000000000002</v>
      </c>
      <c r="E15" s="48">
        <f>INDEX('[4]Outputs for Area 3 RAB'!$C$6:$E$10,MATCH($C15,'[4]Outputs for Area 3 RAB'!$B$6:$B$10,0),MATCH(E$2,'[4]Outputs for Area 3 RAB'!$C$5:$E$5,0))</f>
        <v>0.8075</v>
      </c>
      <c r="F15" s="48">
        <f>INDEX('[4]Outputs for Area 3 RAB'!$C$6:$E$10,MATCH($C15,'[4]Outputs for Area 3 RAB'!$B$6:$B$10,0),MATCH(F$2,'[4]Outputs for Area 3 RAB'!$C$5:$E$5,0))</f>
        <v>0.75249999999999995</v>
      </c>
      <c r="H15" s="9" t="str">
        <v>WN302</v>
      </c>
      <c r="I15" t="s">
        <v>285</v>
      </c>
      <c r="J15" s="181">
        <f>INDEX([4]StartPrices!$M$10:$M$609,MATCH($H15,[4]StartPrices!$B$10:$B$609,0))</f>
        <v>134.83433732710162</v>
      </c>
    </row>
    <row r="16" spans="1:10" ht="14.65" thickBot="1" x14ac:dyDescent="0.5">
      <c r="A16" t="s">
        <v>327</v>
      </c>
      <c r="B16" t="s">
        <v>286</v>
      </c>
      <c r="C16" t="s">
        <v>401</v>
      </c>
      <c r="D16" s="48">
        <f>INDEX('[4]Outputs for Area 3 RAB'!$C$6:$E$10,MATCH($C16,'[4]Outputs for Area 3 RAB'!$B$6:$B$10,0),MATCH(D$2,'[4]Outputs for Area 3 RAB'!$C$5:$E$5,0))</f>
        <v>0.77500000000000002</v>
      </c>
      <c r="E16" s="48">
        <f>INDEX('[4]Outputs for Area 3 RAB'!$C$6:$E$10,MATCH($C16,'[4]Outputs for Area 3 RAB'!$B$6:$B$10,0),MATCH(E$2,'[4]Outputs for Area 3 RAB'!$C$5:$E$5,0))</f>
        <v>0.8075</v>
      </c>
      <c r="F16" s="48">
        <f>INDEX('[4]Outputs for Area 3 RAB'!$C$6:$E$10,MATCH($C16,'[4]Outputs for Area 3 RAB'!$B$6:$B$10,0),MATCH(F$2,'[4]Outputs for Area 3 RAB'!$C$5:$E$5,0))</f>
        <v>0.75249999999999995</v>
      </c>
      <c r="H16" s="9" t="str">
        <v>WX312</v>
      </c>
      <c r="I16" t="s">
        <v>286</v>
      </c>
      <c r="J16" s="181">
        <f>INDEX([4]StartPrices!$M$10:$M$609,MATCH($H16,[4]StartPrices!$B$10:$B$609,0))</f>
        <v>138.36933890086303</v>
      </c>
    </row>
    <row r="17" spans="1:10" ht="14.65" thickBot="1" x14ac:dyDescent="0.5">
      <c r="A17" t="s">
        <v>328</v>
      </c>
      <c r="B17" t="s">
        <v>287</v>
      </c>
      <c r="C17" t="s">
        <v>401</v>
      </c>
      <c r="D17" s="48">
        <f>INDEX('[4]Outputs for Area 3 RAB'!$C$6:$E$10,MATCH($C17,'[4]Outputs for Area 3 RAB'!$B$6:$B$10,0),MATCH(D$2,'[4]Outputs for Area 3 RAB'!$C$5:$E$5,0))</f>
        <v>0.77500000000000002</v>
      </c>
      <c r="E17" s="48">
        <f>INDEX('[4]Outputs for Area 3 RAB'!$C$6:$E$10,MATCH($C17,'[4]Outputs for Area 3 RAB'!$B$6:$B$10,0),MATCH(E$2,'[4]Outputs for Area 3 RAB'!$C$5:$E$5,0))</f>
        <v>0.8075</v>
      </c>
      <c r="F17" s="48">
        <f>INDEX('[4]Outputs for Area 3 RAB'!$C$6:$E$10,MATCH($C17,'[4]Outputs for Area 3 RAB'!$B$6:$B$10,0),MATCH(F$2,'[4]Outputs for Area 3 RAB'!$C$5:$E$5,0))</f>
        <v>0.75249999999999995</v>
      </c>
      <c r="H17" s="9" t="str">
        <v>WX338</v>
      </c>
      <c r="I17" t="s">
        <v>287</v>
      </c>
      <c r="J17" s="181">
        <f>INDEX([4]StartPrices!$M$10:$M$609,MATCH($H17,[4]StartPrices!$B$10:$B$609,0))</f>
        <v>113.06836426883341</v>
      </c>
    </row>
    <row r="18" spans="1:10" ht="14.65" thickBot="1" x14ac:dyDescent="0.5">
      <c r="A18" t="s">
        <v>329</v>
      </c>
      <c r="B18" t="s">
        <v>288</v>
      </c>
      <c r="C18" t="s">
        <v>401</v>
      </c>
      <c r="D18" s="48">
        <f>INDEX('[4]Outputs for Area 3 RAB'!$C$6:$E$10,MATCH($C18,'[4]Outputs for Area 3 RAB'!$B$6:$B$10,0),MATCH(D$2,'[4]Outputs for Area 3 RAB'!$C$5:$E$5,0))</f>
        <v>0.77500000000000002</v>
      </c>
      <c r="E18" s="48">
        <f>INDEX('[4]Outputs for Area 3 RAB'!$C$6:$E$10,MATCH($C18,'[4]Outputs for Area 3 RAB'!$B$6:$B$10,0),MATCH(E$2,'[4]Outputs for Area 3 RAB'!$C$5:$E$5,0))</f>
        <v>0.8075</v>
      </c>
      <c r="F18" s="48">
        <f>INDEX('[4]Outputs for Area 3 RAB'!$C$6:$E$10,MATCH($C18,'[4]Outputs for Area 3 RAB'!$B$6:$B$10,0),MATCH(F$2,'[4]Outputs for Area 3 RAB'!$C$5:$E$5,0))</f>
        <v>0.75249999999999995</v>
      </c>
      <c r="H18" s="9" t="str">
        <v>WN336</v>
      </c>
      <c r="I18" t="s">
        <v>288</v>
      </c>
      <c r="J18" s="181">
        <f>INDEX([4]StartPrices!$M$10:$M$609,MATCH($H18,[4]StartPrices!$B$10:$B$609,0))</f>
        <v>132.2579521181901</v>
      </c>
    </row>
    <row r="19" spans="1:10" ht="14.65" thickBot="1" x14ac:dyDescent="0.5">
      <c r="A19" t="s">
        <v>330</v>
      </c>
      <c r="B19" t="s">
        <v>289</v>
      </c>
      <c r="C19" t="s">
        <v>401</v>
      </c>
      <c r="D19" s="48">
        <f>INDEX('[4]Outputs for Area 3 RAB'!$C$6:$E$10,MATCH($C19,'[4]Outputs for Area 3 RAB'!$B$6:$B$10,0),MATCH(D$2,'[4]Outputs for Area 3 RAB'!$C$5:$E$5,0))</f>
        <v>0.77500000000000002</v>
      </c>
      <c r="E19" s="48">
        <f>INDEX('[4]Outputs for Area 3 RAB'!$C$6:$E$10,MATCH($C19,'[4]Outputs for Area 3 RAB'!$B$6:$B$10,0),MATCH(E$2,'[4]Outputs for Area 3 RAB'!$C$5:$E$5,0))</f>
        <v>0.8075</v>
      </c>
      <c r="F19" s="48">
        <f>INDEX('[4]Outputs for Area 3 RAB'!$C$6:$E$10,MATCH($C19,'[4]Outputs for Area 3 RAB'!$B$6:$B$10,0),MATCH(F$2,'[4]Outputs for Area 3 RAB'!$C$5:$E$5,0))</f>
        <v>0.75249999999999995</v>
      </c>
      <c r="H19" s="9" t="str">
        <v>WN303</v>
      </c>
      <c r="I19" t="s">
        <v>289</v>
      </c>
      <c r="J19" s="181">
        <f>INDEX([4]StartPrices!$M$10:$M$609,MATCH($H19,[4]StartPrices!$B$10:$B$609,0))</f>
        <v>51.143231240501166</v>
      </c>
    </row>
    <row r="20" spans="1:10" ht="14.65" thickBot="1" x14ac:dyDescent="0.5">
      <c r="A20" t="s">
        <v>331</v>
      </c>
      <c r="B20" t="s">
        <v>290</v>
      </c>
      <c r="C20" t="s">
        <v>401</v>
      </c>
      <c r="D20" s="48">
        <f>INDEX('[4]Outputs for Area 3 RAB'!$C$6:$E$10,MATCH($C20,'[4]Outputs for Area 3 RAB'!$B$6:$B$10,0),MATCH(D$2,'[4]Outputs for Area 3 RAB'!$C$5:$E$5,0))</f>
        <v>0.77500000000000002</v>
      </c>
      <c r="E20" s="48">
        <f>INDEX('[4]Outputs for Area 3 RAB'!$C$6:$E$10,MATCH($C20,'[4]Outputs for Area 3 RAB'!$B$6:$B$10,0),MATCH(E$2,'[4]Outputs for Area 3 RAB'!$C$5:$E$5,0))</f>
        <v>0.8075</v>
      </c>
      <c r="F20" s="48">
        <f>INDEX('[4]Outputs for Area 3 RAB'!$C$6:$E$10,MATCH($C20,'[4]Outputs for Area 3 RAB'!$B$6:$B$10,0),MATCH(F$2,'[4]Outputs for Area 3 RAB'!$C$5:$E$5,0))</f>
        <v>0.75249999999999995</v>
      </c>
      <c r="H20" s="9" t="str">
        <v>WN337</v>
      </c>
      <c r="I20" t="s">
        <v>290</v>
      </c>
      <c r="J20" s="181">
        <f>INDEX([4]StartPrices!$M$10:$M$609,MATCH($H20,[4]StartPrices!$B$10:$B$609,0))</f>
        <v>62.621636942986612</v>
      </c>
    </row>
    <row r="21" spans="1:10" ht="14.65" thickBot="1" x14ac:dyDescent="0.5">
      <c r="A21" t="s">
        <v>332</v>
      </c>
      <c r="B21" t="s">
        <v>291</v>
      </c>
      <c r="C21" t="s">
        <v>401</v>
      </c>
      <c r="D21" s="48">
        <f>INDEX('[4]Outputs for Area 3 RAB'!$C$6:$E$10,MATCH($C21,'[4]Outputs for Area 3 RAB'!$B$6:$B$10,0),MATCH(D$2,'[4]Outputs for Area 3 RAB'!$C$5:$E$5,0))</f>
        <v>0.77500000000000002</v>
      </c>
      <c r="E21" s="48">
        <f>INDEX('[4]Outputs for Area 3 RAB'!$C$6:$E$10,MATCH($C21,'[4]Outputs for Area 3 RAB'!$B$6:$B$10,0),MATCH(E$2,'[4]Outputs for Area 3 RAB'!$C$5:$E$5,0))</f>
        <v>0.8075</v>
      </c>
      <c r="F21" s="48">
        <f>INDEX('[4]Outputs for Area 3 RAB'!$C$6:$E$10,MATCH($C21,'[4]Outputs for Area 3 RAB'!$B$6:$B$10,0),MATCH(F$2,'[4]Outputs for Area 3 RAB'!$C$5:$E$5,0))</f>
        <v>0.75249999999999995</v>
      </c>
      <c r="H21" s="9" t="str">
        <v>WX313</v>
      </c>
      <c r="I21" t="s">
        <v>291</v>
      </c>
      <c r="J21" s="181">
        <f>INDEX([4]StartPrices!$M$10:$M$609,MATCH($H21,[4]StartPrices!$B$10:$B$609,0))</f>
        <v>65.947920995064919</v>
      </c>
    </row>
    <row r="22" spans="1:10" ht="14.65" thickBot="1" x14ac:dyDescent="0.5">
      <c r="A22" t="s">
        <v>333</v>
      </c>
      <c r="B22" t="s">
        <v>292</v>
      </c>
      <c r="C22" t="s">
        <v>401</v>
      </c>
      <c r="D22" s="48">
        <f>INDEX('[4]Outputs for Area 3 RAB'!$C$6:$E$10,MATCH($C22,'[4]Outputs for Area 3 RAB'!$B$6:$B$10,0),MATCH(D$2,'[4]Outputs for Area 3 RAB'!$C$5:$E$5,0))</f>
        <v>0.77500000000000002</v>
      </c>
      <c r="E22" s="48">
        <f>INDEX('[4]Outputs for Area 3 RAB'!$C$6:$E$10,MATCH($C22,'[4]Outputs for Area 3 RAB'!$B$6:$B$10,0),MATCH(E$2,'[4]Outputs for Area 3 RAB'!$C$5:$E$5,0))</f>
        <v>0.8075</v>
      </c>
      <c r="F22" s="48">
        <f>INDEX('[4]Outputs for Area 3 RAB'!$C$6:$E$10,MATCH($C22,'[4]Outputs for Area 3 RAB'!$B$6:$B$10,0),MATCH(F$2,'[4]Outputs for Area 3 RAB'!$C$5:$E$5,0))</f>
        <v>0.75249999999999995</v>
      </c>
      <c r="H22" s="9" t="str">
        <v>WX339</v>
      </c>
      <c r="I22" t="s">
        <v>292</v>
      </c>
      <c r="J22" s="181">
        <f>INDEX([4]StartPrices!$M$10:$M$609,MATCH($H22,[4]StartPrices!$B$10:$B$609,0))</f>
        <v>70.850041926422477</v>
      </c>
    </row>
    <row r="23" spans="1:10" ht="14.65" thickBot="1" x14ac:dyDescent="0.5">
      <c r="A23" t="s">
        <v>369</v>
      </c>
      <c r="B23" t="s">
        <v>293</v>
      </c>
      <c r="C23" t="s">
        <v>400</v>
      </c>
      <c r="D23" s="48">
        <f>INDEX('[4]Outputs for Area 3 RAB'!$C$6:$E$10,MATCH($C23,'[4]Outputs for Area 3 RAB'!$B$6:$B$10,0),MATCH(D$2,'[4]Outputs for Area 3 RAB'!$C$5:$E$5,0))</f>
        <v>6.25E-2</v>
      </c>
      <c r="E23" s="48">
        <f>INDEX('[4]Outputs for Area 3 RAB'!$C$6:$E$10,MATCH($C23,'[4]Outputs for Area 3 RAB'!$B$6:$B$10,0),MATCH(E$2,'[4]Outputs for Area 3 RAB'!$C$5:$E$5,0))</f>
        <v>7.7499999999999999E-2</v>
      </c>
      <c r="F23" s="48">
        <f>INDEX('[4]Outputs for Area 3 RAB'!$C$6:$E$10,MATCH($C23,'[4]Outputs for Area 3 RAB'!$B$6:$B$10,0),MATCH(F$2,'[4]Outputs for Area 3 RAB'!$C$5:$E$5,0))</f>
        <v>0.05</v>
      </c>
      <c r="H23" s="9" t="str">
        <v>WN332</v>
      </c>
      <c r="I23" t="s">
        <v>293</v>
      </c>
      <c r="J23" s="181">
        <f>INDEX([4]StartPrices!$M$10:$M$609,MATCH($H23,[4]StartPrices!$B$10:$B$609,0))</f>
        <v>245.27387871200315</v>
      </c>
    </row>
    <row r="24" spans="1:10" ht="14.65" thickBot="1" x14ac:dyDescent="0.5">
      <c r="A24" t="s">
        <v>370</v>
      </c>
      <c r="B24" t="s">
        <v>295</v>
      </c>
      <c r="C24" t="s">
        <v>400</v>
      </c>
      <c r="D24" s="48">
        <f>INDEX('[4]Outputs for Area 3 RAB'!$C$6:$E$10,MATCH($C24,'[4]Outputs for Area 3 RAB'!$B$6:$B$10,0),MATCH(D$2,'[4]Outputs for Area 3 RAB'!$C$5:$E$5,0))</f>
        <v>6.25E-2</v>
      </c>
      <c r="E24" s="48">
        <f>INDEX('[4]Outputs for Area 3 RAB'!$C$6:$E$10,MATCH($C24,'[4]Outputs for Area 3 RAB'!$B$6:$B$10,0),MATCH(E$2,'[4]Outputs for Area 3 RAB'!$C$5:$E$5,0))</f>
        <v>7.7499999999999999E-2</v>
      </c>
      <c r="F24" s="48">
        <f>INDEX('[4]Outputs for Area 3 RAB'!$C$6:$E$10,MATCH($C24,'[4]Outputs for Area 3 RAB'!$B$6:$B$10,0),MATCH(F$2,'[4]Outputs for Area 3 RAB'!$C$5:$E$5,0))</f>
        <v>0.05</v>
      </c>
      <c r="H24" s="9" t="str">
        <v>WX334</v>
      </c>
      <c r="I24" t="s">
        <v>295</v>
      </c>
      <c r="J24" s="181">
        <f>INDEX([4]StartPrices!$M$10:$M$609,MATCH($H24,[4]StartPrices!$B$10:$B$609,0))</f>
        <v>269.66974727421166</v>
      </c>
    </row>
    <row r="25" spans="1:10" ht="14.65" thickBot="1" x14ac:dyDescent="0.5">
      <c r="A25" t="s">
        <v>334</v>
      </c>
      <c r="B25" t="s">
        <v>296</v>
      </c>
      <c r="C25" t="s">
        <v>401</v>
      </c>
      <c r="D25" s="48">
        <f>INDEX('[4]Outputs for Area 3 RAB'!$C$6:$E$10,MATCH($C25,'[4]Outputs for Area 3 RAB'!$B$6:$B$10,0),MATCH(D$2,'[4]Outputs for Area 3 RAB'!$C$5:$E$5,0))</f>
        <v>0.77500000000000002</v>
      </c>
      <c r="E25" s="48">
        <f>INDEX('[4]Outputs for Area 3 RAB'!$C$6:$E$10,MATCH($C25,'[4]Outputs for Area 3 RAB'!$B$6:$B$10,0),MATCH(E$2,'[4]Outputs for Area 3 RAB'!$C$5:$E$5,0))</f>
        <v>0.8075</v>
      </c>
      <c r="F25" s="48">
        <f>INDEX('[4]Outputs for Area 3 RAB'!$C$6:$E$10,MATCH($C25,'[4]Outputs for Area 3 RAB'!$B$6:$B$10,0),MATCH(F$2,'[4]Outputs for Area 3 RAB'!$C$5:$E$5,0))</f>
        <v>0.75249999999999995</v>
      </c>
      <c r="H25" s="9" t="str">
        <v>WN333</v>
      </c>
      <c r="I25" t="s">
        <v>296</v>
      </c>
      <c r="J25" s="181">
        <f>INDEX([4]StartPrices!$M$10:$M$609,MATCH($H25,[4]StartPrices!$B$10:$B$609,0))</f>
        <v>90.781608109842495</v>
      </c>
    </row>
    <row r="26" spans="1:10" ht="14.65" thickBot="1" x14ac:dyDescent="0.5">
      <c r="A26" t="s">
        <v>335</v>
      </c>
      <c r="B26" t="s">
        <v>297</v>
      </c>
      <c r="C26" t="s">
        <v>401</v>
      </c>
      <c r="D26" s="48">
        <f>INDEX('[4]Outputs for Area 3 RAB'!$C$6:$E$10,MATCH($C26,'[4]Outputs for Area 3 RAB'!$B$6:$B$10,0),MATCH(D$2,'[4]Outputs for Area 3 RAB'!$C$5:$E$5,0))</f>
        <v>0.77500000000000002</v>
      </c>
      <c r="E26" s="48">
        <f>INDEX('[4]Outputs for Area 3 RAB'!$C$6:$E$10,MATCH($C26,'[4]Outputs for Area 3 RAB'!$B$6:$B$10,0),MATCH(E$2,'[4]Outputs for Area 3 RAB'!$C$5:$E$5,0))</f>
        <v>0.8075</v>
      </c>
      <c r="F26" s="48">
        <f>INDEX('[4]Outputs for Area 3 RAB'!$C$6:$E$10,MATCH($C26,'[4]Outputs for Area 3 RAB'!$B$6:$B$10,0),MATCH(F$2,'[4]Outputs for Area 3 RAB'!$C$5:$E$5,0))</f>
        <v>0.75249999999999995</v>
      </c>
      <c r="H26" s="9" t="str">
        <v>WX335</v>
      </c>
      <c r="I26" t="s">
        <v>297</v>
      </c>
      <c r="J26" s="181">
        <f>INDEX([4]StartPrices!$M$10:$M$609,MATCH($H26,[4]StartPrices!$B$10:$B$609,0))</f>
        <v>124.87956057246144</v>
      </c>
    </row>
    <row r="27" spans="1:10" ht="14.65" thickBot="1" x14ac:dyDescent="0.5">
      <c r="A27" t="s">
        <v>371</v>
      </c>
      <c r="B27" t="s">
        <v>298</v>
      </c>
      <c r="C27" t="s">
        <v>400</v>
      </c>
      <c r="D27" s="48">
        <f>INDEX('[4]Outputs for Area 3 RAB'!$C$6:$E$10,MATCH($C27,'[4]Outputs for Area 3 RAB'!$B$6:$B$10,0),MATCH(D$2,'[4]Outputs for Area 3 RAB'!$C$5:$E$5,0))</f>
        <v>6.25E-2</v>
      </c>
      <c r="E27" s="48">
        <f>INDEX('[4]Outputs for Area 3 RAB'!$C$6:$E$10,MATCH($C27,'[4]Outputs for Area 3 RAB'!$B$6:$B$10,0),MATCH(E$2,'[4]Outputs for Area 3 RAB'!$C$5:$E$5,0))</f>
        <v>7.7499999999999999E-2</v>
      </c>
      <c r="F27" s="48">
        <f>INDEX('[4]Outputs for Area 3 RAB'!$C$6:$E$10,MATCH($C27,'[4]Outputs for Area 3 RAB'!$B$6:$B$10,0),MATCH(F$2,'[4]Outputs for Area 3 RAB'!$C$5:$E$5,0))</f>
        <v>0.05</v>
      </c>
      <c r="H27" s="9" t="str">
        <v>WN348</v>
      </c>
      <c r="I27" t="s">
        <v>298</v>
      </c>
      <c r="J27" s="181">
        <f>INDEX([4]StartPrices!$M$10:$M$609,MATCH($H27,[4]StartPrices!$B$10:$B$609,0))</f>
        <v>195.73180917550027</v>
      </c>
    </row>
    <row r="28" spans="1:10" ht="14.65" thickBot="1" x14ac:dyDescent="0.5">
      <c r="A28" t="s">
        <v>372</v>
      </c>
      <c r="B28" t="s">
        <v>300</v>
      </c>
      <c r="C28" t="s">
        <v>400</v>
      </c>
      <c r="D28" s="48">
        <f>INDEX('[4]Outputs for Area 3 RAB'!$C$6:$E$10,MATCH($C28,'[4]Outputs for Area 3 RAB'!$B$6:$B$10,0),MATCH(D$2,'[4]Outputs for Area 3 RAB'!$C$5:$E$5,0))</f>
        <v>6.25E-2</v>
      </c>
      <c r="E28" s="48">
        <f>INDEX('[4]Outputs for Area 3 RAB'!$C$6:$E$10,MATCH($C28,'[4]Outputs for Area 3 RAB'!$B$6:$B$10,0),MATCH(E$2,'[4]Outputs for Area 3 RAB'!$C$5:$E$5,0))</f>
        <v>7.7499999999999999E-2</v>
      </c>
      <c r="F28" s="48">
        <f>INDEX('[4]Outputs for Area 3 RAB'!$C$6:$E$10,MATCH($C28,'[4]Outputs for Area 3 RAB'!$B$6:$B$10,0),MATCH(F$2,'[4]Outputs for Area 3 RAB'!$C$5:$E$5,0))</f>
        <v>0.05</v>
      </c>
      <c r="H28" s="9" t="str">
        <v>WN350</v>
      </c>
      <c r="I28" t="s">
        <v>300</v>
      </c>
      <c r="J28" s="181">
        <f>INDEX([4]StartPrices!$M$10:$M$609,MATCH($H28,[4]StartPrices!$B$10:$B$609,0))</f>
        <v>239.59286733930909</v>
      </c>
    </row>
    <row r="29" spans="1:10" ht="14.65" thickBot="1" x14ac:dyDescent="0.5">
      <c r="A29" t="s">
        <v>373</v>
      </c>
      <c r="B29" t="s">
        <v>301</v>
      </c>
      <c r="C29" t="s">
        <v>400</v>
      </c>
      <c r="D29" s="48">
        <f>INDEX('[4]Outputs for Area 3 RAB'!$C$6:$E$10,MATCH($C29,'[4]Outputs for Area 3 RAB'!$B$6:$B$10,0),MATCH(D$2,'[4]Outputs for Area 3 RAB'!$C$5:$E$5,0))</f>
        <v>6.25E-2</v>
      </c>
      <c r="E29" s="48">
        <f>INDEX('[4]Outputs for Area 3 RAB'!$C$6:$E$10,MATCH($C29,'[4]Outputs for Area 3 RAB'!$B$6:$B$10,0),MATCH(E$2,'[4]Outputs for Area 3 RAB'!$C$5:$E$5,0))</f>
        <v>7.7499999999999999E-2</v>
      </c>
      <c r="F29" s="48">
        <f>INDEX('[4]Outputs for Area 3 RAB'!$C$6:$E$10,MATCH($C29,'[4]Outputs for Area 3 RAB'!$B$6:$B$10,0),MATCH(F$2,'[4]Outputs for Area 3 RAB'!$C$5:$E$5,0))</f>
        <v>0.05</v>
      </c>
      <c r="H29" s="9" t="str">
        <v>WX349</v>
      </c>
      <c r="I29" t="s">
        <v>301</v>
      </c>
      <c r="J29" s="181">
        <f>INDEX([4]StartPrices!$M$10:$M$609,MATCH($H29,[4]StartPrices!$B$10:$B$609,0))</f>
        <v>206.63763215189991</v>
      </c>
    </row>
    <row r="30" spans="1:10" ht="14.65" thickBot="1" x14ac:dyDescent="0.5">
      <c r="A30" t="s">
        <v>374</v>
      </c>
      <c r="B30" t="s">
        <v>302</v>
      </c>
      <c r="C30" t="s">
        <v>400</v>
      </c>
      <c r="D30" s="48">
        <f>INDEX('[4]Outputs for Area 3 RAB'!$C$6:$E$10,MATCH($C30,'[4]Outputs for Area 3 RAB'!$B$6:$B$10,0),MATCH(D$2,'[4]Outputs for Area 3 RAB'!$C$5:$E$5,0))</f>
        <v>6.25E-2</v>
      </c>
      <c r="E30" s="48">
        <f>INDEX('[4]Outputs for Area 3 RAB'!$C$6:$E$10,MATCH($C30,'[4]Outputs for Area 3 RAB'!$B$6:$B$10,0),MATCH(E$2,'[4]Outputs for Area 3 RAB'!$C$5:$E$5,0))</f>
        <v>7.7499999999999999E-2</v>
      </c>
      <c r="F30" s="48">
        <f>INDEX('[4]Outputs for Area 3 RAB'!$C$6:$E$10,MATCH($C30,'[4]Outputs for Area 3 RAB'!$B$6:$B$10,0),MATCH(F$2,'[4]Outputs for Area 3 RAB'!$C$5:$E$5,0))</f>
        <v>0.05</v>
      </c>
      <c r="H30" s="9" t="str">
        <v>WX351</v>
      </c>
      <c r="I30" t="s">
        <v>302</v>
      </c>
      <c r="J30" s="181">
        <f>INDEX([4]StartPrices!$M$10:$M$609,MATCH($H30,[4]StartPrices!$B$10:$B$609,0))</f>
        <v>195.08322466403129</v>
      </c>
    </row>
    <row r="31" spans="1:10" ht="14.65" thickBot="1" x14ac:dyDescent="0.5">
      <c r="A31" t="s">
        <v>336</v>
      </c>
      <c r="B31" t="s">
        <v>303</v>
      </c>
      <c r="C31" t="s">
        <v>401</v>
      </c>
      <c r="D31" s="48">
        <f>INDEX('[4]Outputs for Area 3 RAB'!$C$6:$E$10,MATCH($C31,'[4]Outputs for Area 3 RAB'!$B$6:$B$10,0),MATCH(D$2,'[4]Outputs for Area 3 RAB'!$C$5:$E$5,0))</f>
        <v>0.77500000000000002</v>
      </c>
      <c r="E31" s="48">
        <f>INDEX('[4]Outputs for Area 3 RAB'!$C$6:$E$10,MATCH($C31,'[4]Outputs for Area 3 RAB'!$B$6:$B$10,0),MATCH(E$2,'[4]Outputs for Area 3 RAB'!$C$5:$E$5,0))</f>
        <v>0.8075</v>
      </c>
      <c r="F31" s="48">
        <f>INDEX('[4]Outputs for Area 3 RAB'!$C$6:$E$10,MATCH($C31,'[4]Outputs for Area 3 RAB'!$B$6:$B$10,0),MATCH(F$2,'[4]Outputs for Area 3 RAB'!$C$5:$E$5,0))</f>
        <v>0.75249999999999995</v>
      </c>
      <c r="H31" s="9" t="str">
        <v>WX355</v>
      </c>
      <c r="I31" t="s">
        <v>303</v>
      </c>
      <c r="J31" s="181">
        <f>INDEX([4]StartPrices!$M$10:$M$609,MATCH($H31,[4]StartPrices!$B$10:$B$609,0))</f>
        <v>43.939755783498072</v>
      </c>
    </row>
    <row r="32" spans="1:10" ht="14.65" thickBot="1" x14ac:dyDescent="0.5">
      <c r="A32" t="s">
        <v>337</v>
      </c>
      <c r="B32" t="s">
        <v>304</v>
      </c>
      <c r="C32" t="s">
        <v>401</v>
      </c>
      <c r="D32" s="48">
        <f>INDEX('[4]Outputs for Area 3 RAB'!$C$6:$E$10,MATCH($C32,'[4]Outputs for Area 3 RAB'!$B$6:$B$10,0),MATCH(D$2,'[4]Outputs for Area 3 RAB'!$C$5:$E$5,0))</f>
        <v>0.77500000000000002</v>
      </c>
      <c r="E32" s="48">
        <f>INDEX('[4]Outputs for Area 3 RAB'!$C$6:$E$10,MATCH($C32,'[4]Outputs for Area 3 RAB'!$B$6:$B$10,0),MATCH(E$2,'[4]Outputs for Area 3 RAB'!$C$5:$E$5,0))</f>
        <v>0.8075</v>
      </c>
      <c r="F32" s="48">
        <f>INDEX('[4]Outputs for Area 3 RAB'!$C$6:$E$10,MATCH($C32,'[4]Outputs for Area 3 RAB'!$B$6:$B$10,0),MATCH(F$2,'[4]Outputs for Area 3 RAB'!$C$5:$E$5,0))</f>
        <v>0.75249999999999995</v>
      </c>
      <c r="H32" s="9" t="str">
        <v>WN354</v>
      </c>
      <c r="I32" t="s">
        <v>304</v>
      </c>
      <c r="J32" s="181">
        <f>INDEX([4]StartPrices!$M$10:$M$609,MATCH($H32,[4]StartPrices!$B$10:$B$609,0))</f>
        <v>40.8060592040068</v>
      </c>
    </row>
    <row r="33" spans="1:10" ht="14.65" thickBot="1" x14ac:dyDescent="0.5">
      <c r="A33" t="s">
        <v>375</v>
      </c>
      <c r="B33" t="s">
        <v>305</v>
      </c>
      <c r="C33" t="s">
        <v>398</v>
      </c>
      <c r="D33" s="48">
        <f>INDEX('[4]Outputs for Area 3 RAB'!$C$6:$E$10,MATCH($C33,'[4]Outputs for Area 3 RAB'!$B$6:$B$10,0),MATCH(D$2,'[4]Outputs for Area 3 RAB'!$C$5:$E$5,0))</f>
        <v>-0.02</v>
      </c>
      <c r="E33" s="48">
        <f>INDEX('[4]Outputs for Area 3 RAB'!$C$6:$E$10,MATCH($C33,'[4]Outputs for Area 3 RAB'!$B$6:$B$10,0),MATCH(E$2,'[4]Outputs for Area 3 RAB'!$C$5:$E$5,0))</f>
        <v>1.2500000000000001E-2</v>
      </c>
      <c r="F33" s="48">
        <f>INDEX('[4]Outputs for Area 3 RAB'!$C$6:$E$10,MATCH($C33,'[4]Outputs for Area 3 RAB'!$B$6:$B$10,0),MATCH(F$2,'[4]Outputs for Area 3 RAB'!$C$5:$E$5,0))</f>
        <v>-4.4999999999999998E-2</v>
      </c>
      <c r="H33" s="9" t="str">
        <v>WN158</v>
      </c>
      <c r="I33" t="s">
        <v>305</v>
      </c>
      <c r="J33" s="181">
        <f>INDEX([4]StartPrices!$M$10:$M$609,MATCH($H33,[4]StartPrices!$B$10:$B$609,0))</f>
        <v>8.3977883976993688</v>
      </c>
    </row>
    <row r="34" spans="1:10" ht="14.65" thickBot="1" x14ac:dyDescent="0.5">
      <c r="A34" t="s">
        <v>376</v>
      </c>
      <c r="B34" t="s">
        <v>306</v>
      </c>
      <c r="C34" t="s">
        <v>398</v>
      </c>
      <c r="D34" s="48">
        <f>INDEX('[4]Outputs for Area 3 RAB'!$C$6:$E$10,MATCH($C34,'[4]Outputs for Area 3 RAB'!$B$6:$B$10,0),MATCH(D$2,'[4]Outputs for Area 3 RAB'!$C$5:$E$5,0))</f>
        <v>-0.02</v>
      </c>
      <c r="E34" s="48">
        <f>INDEX('[4]Outputs for Area 3 RAB'!$C$6:$E$10,MATCH($C34,'[4]Outputs for Area 3 RAB'!$B$6:$B$10,0),MATCH(E$2,'[4]Outputs for Area 3 RAB'!$C$5:$E$5,0))</f>
        <v>1.2500000000000001E-2</v>
      </c>
      <c r="F34" s="48">
        <f>INDEX('[4]Outputs for Area 3 RAB'!$C$6:$E$10,MATCH($C34,'[4]Outputs for Area 3 RAB'!$B$6:$B$10,0),MATCH(F$2,'[4]Outputs for Area 3 RAB'!$C$5:$E$5,0))</f>
        <v>-4.4999999999999998E-2</v>
      </c>
      <c r="H34" s="9" t="str">
        <v>WX135</v>
      </c>
      <c r="I34" t="s">
        <v>306</v>
      </c>
      <c r="J34" s="181">
        <f>INDEX([4]StartPrices!$M$10:$M$609,MATCH($H34,[4]StartPrices!$B$10:$B$609,0))</f>
        <v>7.9250145687798224</v>
      </c>
    </row>
    <row r="35" spans="1:10" ht="14.65" thickBot="1" x14ac:dyDescent="0.5">
      <c r="A35" t="s">
        <v>338</v>
      </c>
      <c r="B35" t="s">
        <v>307</v>
      </c>
      <c r="C35" t="s">
        <v>399</v>
      </c>
      <c r="D35" s="48">
        <f>INDEX('[4]Outputs for Area 3 RAB'!$C$6:$E$10,MATCH($C35,'[4]Outputs for Area 3 RAB'!$B$6:$B$10,0),MATCH(D$2,'[4]Outputs for Area 3 RAB'!$C$5:$E$5,0))</f>
        <v>0.1825</v>
      </c>
      <c r="E35" s="48">
        <f>INDEX('[4]Outputs for Area 3 RAB'!$C$6:$E$10,MATCH($C35,'[4]Outputs for Area 3 RAB'!$B$6:$B$10,0),MATCH(E$2,'[4]Outputs for Area 3 RAB'!$C$5:$E$5,0))</f>
        <v>0.22</v>
      </c>
      <c r="F35" s="48">
        <f>INDEX('[4]Outputs for Area 3 RAB'!$C$6:$E$10,MATCH($C35,'[4]Outputs for Area 3 RAB'!$B$6:$B$10,0),MATCH(F$2,'[4]Outputs for Area 3 RAB'!$C$5:$E$5,0))</f>
        <v>0.16250000000000001</v>
      </c>
      <c r="H35" s="9" t="str">
        <v>WN138</v>
      </c>
      <c r="I35" t="s">
        <v>307</v>
      </c>
      <c r="J35" s="181">
        <f>INDEX([4]StartPrices!$M$10:$M$609,MATCH($H35,[4]StartPrices!$B$10:$B$609,0))</f>
        <v>40.601248747803666</v>
      </c>
    </row>
    <row r="36" spans="1:10" ht="14.65" thickBot="1" x14ac:dyDescent="0.5">
      <c r="A36" t="s">
        <v>339</v>
      </c>
      <c r="B36" t="s">
        <v>308</v>
      </c>
      <c r="C36" t="s">
        <v>399</v>
      </c>
      <c r="D36" s="48">
        <f>INDEX('[4]Outputs for Area 3 RAB'!$C$6:$E$10,MATCH($C36,'[4]Outputs for Area 3 RAB'!$B$6:$B$10,0),MATCH(D$2,'[4]Outputs for Area 3 RAB'!$C$5:$E$5,0))</f>
        <v>0.1825</v>
      </c>
      <c r="E36" s="48">
        <f>INDEX('[4]Outputs for Area 3 RAB'!$C$6:$E$10,MATCH($C36,'[4]Outputs for Area 3 RAB'!$B$6:$B$10,0),MATCH(E$2,'[4]Outputs for Area 3 RAB'!$C$5:$E$5,0))</f>
        <v>0.22</v>
      </c>
      <c r="F36" s="48">
        <f>INDEX('[4]Outputs for Area 3 RAB'!$C$6:$E$10,MATCH($C36,'[4]Outputs for Area 3 RAB'!$B$6:$B$10,0),MATCH(F$2,'[4]Outputs for Area 3 RAB'!$C$5:$E$5,0))</f>
        <v>0.16250000000000001</v>
      </c>
      <c r="H36" s="9" t="str">
        <v>WX134</v>
      </c>
      <c r="I36" t="s">
        <v>308</v>
      </c>
      <c r="J36" s="181">
        <f>INDEX([4]StartPrices!$M$10:$M$609,MATCH($H36,[4]StartPrices!$B$10:$B$609,0))</f>
        <v>43.86753958921328</v>
      </c>
    </row>
    <row r="37" spans="1:10" ht="14.65" thickBot="1" x14ac:dyDescent="0.5">
      <c r="A37" t="s">
        <v>377</v>
      </c>
      <c r="B37" t="s">
        <v>309</v>
      </c>
      <c r="C37" t="s">
        <v>402</v>
      </c>
      <c r="D37" s="48">
        <f>INDEX('[4]Outputs for Area 3 RAB'!$C$6:$E$10,MATCH($C37,'[4]Outputs for Area 3 RAB'!$B$6:$B$10,0),MATCH(D$2,'[4]Outputs for Area 3 RAB'!$C$5:$E$5,0))</f>
        <v>-0.1075</v>
      </c>
      <c r="E37" s="48">
        <f>INDEX('[4]Outputs for Area 3 RAB'!$C$6:$E$10,MATCH($C37,'[4]Outputs for Area 3 RAB'!$B$6:$B$10,0),MATCH(E$2,'[4]Outputs for Area 3 RAB'!$C$5:$E$5,0))</f>
        <v>-7.7499999999999999E-2</v>
      </c>
      <c r="F37" s="48">
        <f>INDEX('[4]Outputs for Area 3 RAB'!$C$6:$E$10,MATCH($C37,'[4]Outputs for Area 3 RAB'!$B$6:$B$10,0),MATCH(F$2,'[4]Outputs for Area 3 RAB'!$C$5:$E$5,0))</f>
        <v>-0.13</v>
      </c>
      <c r="H37" s="9" t="str">
        <v>SL121</v>
      </c>
      <c r="I37" t="s">
        <v>309</v>
      </c>
      <c r="J37" s="181">
        <f>INDEX([4]StartPrices!$M$10:$M$609,MATCH($H37,[4]StartPrices!$B$10:$B$609,0))</f>
        <v>147.55273340376269</v>
      </c>
    </row>
    <row r="38" spans="1:10" ht="14.65" thickBot="1" x14ac:dyDescent="0.5">
      <c r="A38" t="s">
        <v>378</v>
      </c>
      <c r="B38" t="s">
        <v>310</v>
      </c>
      <c r="C38" t="s">
        <v>402</v>
      </c>
      <c r="D38" s="48">
        <f>INDEX('[4]Outputs for Area 3 RAB'!$C$6:$E$10,MATCH($C38,'[4]Outputs for Area 3 RAB'!$B$6:$B$10,0),MATCH(D$2,'[4]Outputs for Area 3 RAB'!$C$5:$E$5,0))</f>
        <v>-0.1075</v>
      </c>
      <c r="E38" s="48">
        <f>INDEX('[4]Outputs for Area 3 RAB'!$C$6:$E$10,MATCH($C38,'[4]Outputs for Area 3 RAB'!$B$6:$B$10,0),MATCH(E$2,'[4]Outputs for Area 3 RAB'!$C$5:$E$5,0))</f>
        <v>-7.7499999999999999E-2</v>
      </c>
      <c r="F38" s="48">
        <f>INDEX('[4]Outputs for Area 3 RAB'!$C$6:$E$10,MATCH($C38,'[4]Outputs for Area 3 RAB'!$B$6:$B$10,0),MATCH(F$2,'[4]Outputs for Area 3 RAB'!$C$5:$E$5,0))</f>
        <v>-0.13</v>
      </c>
      <c r="H38" s="9" t="str">
        <v>SL122</v>
      </c>
      <c r="I38" t="s">
        <v>310</v>
      </c>
      <c r="J38" s="181">
        <f>INDEX([4]StartPrices!$M$10:$M$609,MATCH($H38,[4]StartPrices!$B$10:$B$609,0))</f>
        <v>133.64346960507805</v>
      </c>
    </row>
    <row r="39" spans="1:10" ht="14.65" thickBot="1" x14ac:dyDescent="0.5">
      <c r="A39" t="s">
        <v>379</v>
      </c>
      <c r="B39" t="s">
        <v>311</v>
      </c>
      <c r="C39" t="s">
        <v>402</v>
      </c>
      <c r="D39" s="48">
        <f>INDEX('[4]Outputs for Area 3 RAB'!$C$6:$E$10,MATCH($C39,'[4]Outputs for Area 3 RAB'!$B$6:$B$10,0),MATCH(D$2,'[4]Outputs for Area 3 RAB'!$C$5:$E$5,0))</f>
        <v>-0.1075</v>
      </c>
      <c r="E39" s="48">
        <f>INDEX('[4]Outputs for Area 3 RAB'!$C$6:$E$10,MATCH($C39,'[4]Outputs for Area 3 RAB'!$B$6:$B$10,0),MATCH(E$2,'[4]Outputs for Area 3 RAB'!$C$5:$E$5,0))</f>
        <v>-7.7499999999999999E-2</v>
      </c>
      <c r="F39" s="48">
        <f>INDEX('[4]Outputs for Area 3 RAB'!$C$6:$E$10,MATCH($C39,'[4]Outputs for Area 3 RAB'!$B$6:$B$10,0),MATCH(F$2,'[4]Outputs for Area 3 RAB'!$C$5:$E$5,0))</f>
        <v>-0.13</v>
      </c>
      <c r="H39" s="9" t="str">
        <v>SL150</v>
      </c>
      <c r="I39" t="s">
        <v>311</v>
      </c>
      <c r="J39" s="181">
        <f>INDEX([4]StartPrices!$M$10:$M$609,MATCH($H39,[4]StartPrices!$B$10:$B$609,0))</f>
        <v>156.09471455003035</v>
      </c>
    </row>
    <row r="40" spans="1:10" ht="14.65" thickBot="1" x14ac:dyDescent="0.5">
      <c r="A40" t="s">
        <v>380</v>
      </c>
      <c r="B40" t="s">
        <v>312</v>
      </c>
      <c r="C40" t="s">
        <v>402</v>
      </c>
      <c r="D40" s="48">
        <f>INDEX('[4]Outputs for Area 3 RAB'!$C$6:$E$10,MATCH($C40,'[4]Outputs for Area 3 RAB'!$B$6:$B$10,0),MATCH(D$2,'[4]Outputs for Area 3 RAB'!$C$5:$E$5,0))</f>
        <v>-0.1075</v>
      </c>
      <c r="E40" s="48">
        <f>INDEX('[4]Outputs for Area 3 RAB'!$C$6:$E$10,MATCH($C40,'[4]Outputs for Area 3 RAB'!$B$6:$B$10,0),MATCH(E$2,'[4]Outputs for Area 3 RAB'!$C$5:$E$5,0))</f>
        <v>-7.7499999999999999E-2</v>
      </c>
      <c r="F40" s="48">
        <f>INDEX('[4]Outputs for Area 3 RAB'!$C$6:$E$10,MATCH($C40,'[4]Outputs for Area 3 RAB'!$B$6:$B$10,0),MATCH(F$2,'[4]Outputs for Area 3 RAB'!$C$5:$E$5,0))</f>
        <v>-0.13</v>
      </c>
      <c r="H40" s="9" t="str">
        <v>SL151</v>
      </c>
      <c r="I40" t="s">
        <v>312</v>
      </c>
      <c r="J40" s="181">
        <f>INDEX([4]StartPrices!$M$10:$M$609,MATCH($H40,[4]StartPrices!$B$10:$B$609,0))</f>
        <v>109.53594538756687</v>
      </c>
    </row>
    <row r="41" spans="1:10" ht="14.65" thickBot="1" x14ac:dyDescent="0.5">
      <c r="A41" t="s">
        <v>340</v>
      </c>
      <c r="B41" t="s">
        <v>313</v>
      </c>
      <c r="C41" t="s">
        <v>402</v>
      </c>
      <c r="D41" s="48">
        <f>INDEX('[4]Outputs for Area 3 RAB'!$C$6:$E$10,MATCH($C41,'[4]Outputs for Area 3 RAB'!$B$6:$B$10,0),MATCH(D$2,'[4]Outputs for Area 3 RAB'!$C$5:$E$5,0))</f>
        <v>-0.1075</v>
      </c>
      <c r="E41" s="48">
        <f>INDEX('[4]Outputs for Area 3 RAB'!$C$6:$E$10,MATCH($C41,'[4]Outputs for Area 3 RAB'!$B$6:$B$10,0),MATCH(E$2,'[4]Outputs for Area 3 RAB'!$C$5:$E$5,0))</f>
        <v>-7.7499999999999999E-2</v>
      </c>
      <c r="F41" s="48">
        <f>INDEX('[4]Outputs for Area 3 RAB'!$C$6:$E$10,MATCH($C41,'[4]Outputs for Area 3 RAB'!$B$6:$B$10,0),MATCH(F$2,'[4]Outputs for Area 3 RAB'!$C$5:$E$5,0))</f>
        <v>-0.13</v>
      </c>
      <c r="H41" s="9" t="str">
        <v>SL111</v>
      </c>
      <c r="I41" t="s">
        <v>313</v>
      </c>
      <c r="J41" s="181">
        <f>INDEX([4]StartPrices!$M$10:$M$609,MATCH($H41,[4]StartPrices!$B$10:$B$609,0))</f>
        <v>110.26801331076219</v>
      </c>
    </row>
    <row r="42" spans="1:10" ht="14.65" thickBot="1" x14ac:dyDescent="0.5">
      <c r="A42" t="s">
        <v>341</v>
      </c>
      <c r="B42" t="s">
        <v>314</v>
      </c>
      <c r="C42" t="s">
        <v>402</v>
      </c>
      <c r="D42" s="48">
        <f>INDEX('[4]Outputs for Area 3 RAB'!$C$6:$E$10,MATCH($C42,'[4]Outputs for Area 3 RAB'!$B$6:$B$10,0),MATCH(D$2,'[4]Outputs for Area 3 RAB'!$C$5:$E$5,0))</f>
        <v>-0.1075</v>
      </c>
      <c r="E42" s="48">
        <f>INDEX('[4]Outputs for Area 3 RAB'!$C$6:$E$10,MATCH($C42,'[4]Outputs for Area 3 RAB'!$B$6:$B$10,0),MATCH(E$2,'[4]Outputs for Area 3 RAB'!$C$5:$E$5,0))</f>
        <v>-7.7499999999999999E-2</v>
      </c>
      <c r="F42" s="48">
        <f>INDEX('[4]Outputs for Area 3 RAB'!$C$6:$E$10,MATCH($C42,'[4]Outputs for Area 3 RAB'!$B$6:$B$10,0),MATCH(F$2,'[4]Outputs for Area 3 RAB'!$C$5:$E$5,0))</f>
        <v>-0.13</v>
      </c>
      <c r="H42" s="9" t="str">
        <v>SL112</v>
      </c>
      <c r="I42" t="s">
        <v>314</v>
      </c>
      <c r="J42" s="181">
        <f>INDEX([4]StartPrices!$M$10:$M$609,MATCH($H42,[4]StartPrices!$B$10:$B$609,0))</f>
        <v>36.847672720234911</v>
      </c>
    </row>
    <row r="43" spans="1:10" ht="14.65" thickBot="1" x14ac:dyDescent="0.5">
      <c r="A43" t="s">
        <v>342</v>
      </c>
      <c r="B43" t="s">
        <v>315</v>
      </c>
      <c r="C43" t="s">
        <v>402</v>
      </c>
      <c r="D43" s="48">
        <f>INDEX('[4]Outputs for Area 3 RAB'!$C$6:$E$10,MATCH($C43,'[4]Outputs for Area 3 RAB'!$B$6:$B$10,0),MATCH(D$2,'[4]Outputs for Area 3 RAB'!$C$5:$E$5,0))</f>
        <v>-0.1075</v>
      </c>
      <c r="E43" s="48">
        <f>INDEX('[4]Outputs for Area 3 RAB'!$C$6:$E$10,MATCH($C43,'[4]Outputs for Area 3 RAB'!$B$6:$B$10,0),MATCH(E$2,'[4]Outputs for Area 3 RAB'!$C$5:$E$5,0))</f>
        <v>-7.7499999999999999E-2</v>
      </c>
      <c r="F43" s="48">
        <f>INDEX('[4]Outputs for Area 3 RAB'!$C$6:$E$10,MATCH($C43,'[4]Outputs for Area 3 RAB'!$B$6:$B$10,0),MATCH(F$2,'[4]Outputs for Area 3 RAB'!$C$5:$E$5,0))</f>
        <v>-0.13</v>
      </c>
      <c r="H43" s="9" t="str">
        <v>SL140</v>
      </c>
      <c r="I43" t="s">
        <v>315</v>
      </c>
      <c r="J43" s="181">
        <f>INDEX([4]StartPrices!$M$10:$M$609,MATCH($H43,[4]StartPrices!$B$10:$B$609,0))</f>
        <v>36.723830190564748</v>
      </c>
    </row>
    <row r="44" spans="1:10" x14ac:dyDescent="0.45">
      <c r="A44" t="s">
        <v>343</v>
      </c>
      <c r="B44" t="s">
        <v>316</v>
      </c>
      <c r="C44" t="s">
        <v>402</v>
      </c>
      <c r="D44" s="48">
        <f>INDEX('[4]Outputs for Area 3 RAB'!$C$6:$E$10,MATCH($C44,'[4]Outputs for Area 3 RAB'!$B$6:$B$10,0),MATCH(D$2,'[4]Outputs for Area 3 RAB'!$C$5:$E$5,0))</f>
        <v>-0.1075</v>
      </c>
      <c r="E44" s="48">
        <f>INDEX('[4]Outputs for Area 3 RAB'!$C$6:$E$10,MATCH($C44,'[4]Outputs for Area 3 RAB'!$B$6:$B$10,0),MATCH(E$2,'[4]Outputs for Area 3 RAB'!$C$5:$E$5,0))</f>
        <v>-7.7499999999999999E-2</v>
      </c>
      <c r="F44" s="48">
        <f>INDEX('[4]Outputs for Area 3 RAB'!$C$6:$E$10,MATCH($C44,'[4]Outputs for Area 3 RAB'!$B$6:$B$10,0),MATCH(F$2,'[4]Outputs for Area 3 RAB'!$C$5:$E$5,0))</f>
        <v>-0.13</v>
      </c>
      <c r="H44" s="9" t="str">
        <v>SL144</v>
      </c>
      <c r="I44" t="s">
        <v>316</v>
      </c>
      <c r="J44" s="181">
        <f>INDEX([4]StartPrices!$M$10:$M$609,MATCH($H44,[4]StartPrices!$B$10:$B$609,0))</f>
        <v>102.99056562753798</v>
      </c>
    </row>
    <row r="46" spans="1:10" x14ac:dyDescent="0.45">
      <c r="F46" s="39"/>
    </row>
    <row r="47" spans="1:10" x14ac:dyDescent="0.45">
      <c r="A47" s="23" t="s">
        <v>403</v>
      </c>
      <c r="D47" t="s">
        <v>320</v>
      </c>
      <c r="E47" t="s">
        <v>347</v>
      </c>
      <c r="F47" t="s">
        <v>350</v>
      </c>
      <c r="H47" s="23" t="s">
        <v>404</v>
      </c>
      <c r="J47" t="s">
        <v>395</v>
      </c>
    </row>
    <row r="48" spans="1:10" x14ac:dyDescent="0.45">
      <c r="B48" s="49" t="s">
        <v>396</v>
      </c>
      <c r="D48">
        <v>3</v>
      </c>
      <c r="E48">
        <v>4</v>
      </c>
      <c r="F48">
        <v>5</v>
      </c>
      <c r="G48" s="39"/>
    </row>
    <row r="49" spans="1:17" ht="14.65" thickBot="1" x14ac:dyDescent="0.5">
      <c r="A49" s="10"/>
      <c r="D49" t="s">
        <v>453</v>
      </c>
    </row>
    <row r="50" spans="1:17" ht="14.65" thickBot="1" x14ac:dyDescent="0.5">
      <c r="A50" s="9" t="str" cm="1">
        <f t="array" ref="A50:A89">TD_service_codes</f>
        <v>WN127</v>
      </c>
      <c r="B50" t="s">
        <v>274</v>
      </c>
      <c r="C50" t="s">
        <v>398</v>
      </c>
      <c r="D50" s="48">
        <f>INDEX('[4]Outputs for Area 3 RAB'!$H$6:$J$10,MATCH($C50,'[4]Outputs for Area 3 RAB'!$B$6:$B$10,0),MATCH(D$47,'[4]Outputs for Area 3 RAB'!$H$5:$J$5,0))</f>
        <v>-0.02</v>
      </c>
      <c r="E50" s="48">
        <f>INDEX('[4]Outputs for Area 3 RAB'!$H$6:$J$10,MATCH($C50,'[4]Outputs for Area 3 RAB'!$B$6:$B$10,0),MATCH(E$47,'[4]Outputs for Area 3 RAB'!$H$5:$J$5,0))</f>
        <v>1.2500000000000001E-2</v>
      </c>
      <c r="F50" s="48">
        <f>INDEX('[4]Outputs for Area 3 RAB'!$H$6:$J$10,MATCH($C50,'[4]Outputs for Area 3 RAB'!$B$6:$B$10,0),MATCH(F$47,'[4]Outputs for Area 3 RAB'!$H$5:$J$5,0))</f>
        <v>-4.4999999999999998E-2</v>
      </c>
      <c r="H50" s="9" t="str" cm="1">
        <f t="array" ref="H50:H89">TD_service_codes</f>
        <v>WN127</v>
      </c>
      <c r="I50" t="s">
        <v>274</v>
      </c>
      <c r="J50" s="181">
        <f>INDEX([4]StartPrices!$Y$10:$Y$609,MATCH($H50,[4]StartPrices!$B$10:$B$609,0))</f>
        <v>110.06830674793559</v>
      </c>
      <c r="L50" s="21"/>
      <c r="M50" s="12"/>
      <c r="N50" s="12"/>
      <c r="O50" s="12"/>
      <c r="P50" s="12"/>
      <c r="Q50" s="26"/>
    </row>
    <row r="51" spans="1:17" ht="14.65" thickBot="1" x14ac:dyDescent="0.5">
      <c r="A51" s="9" t="str">
        <v>WN346</v>
      </c>
      <c r="B51" t="s">
        <v>276</v>
      </c>
      <c r="C51" t="s">
        <v>398</v>
      </c>
      <c r="D51" s="48">
        <f>INDEX('[4]Outputs for Area 3 RAB'!$H$6:$J$10,MATCH($C51,'[4]Outputs for Area 3 RAB'!$B$6:$B$10,0),MATCH(D$47,'[4]Outputs for Area 3 RAB'!$H$5:$J$5,0))</f>
        <v>-0.02</v>
      </c>
      <c r="E51" s="48">
        <f>INDEX('[4]Outputs for Area 3 RAB'!$H$6:$J$10,MATCH($C51,'[4]Outputs for Area 3 RAB'!$B$6:$B$10,0),MATCH(E$47,'[4]Outputs for Area 3 RAB'!$H$5:$J$5,0))</f>
        <v>1.2500000000000001E-2</v>
      </c>
      <c r="F51" s="48">
        <f>INDEX('[4]Outputs for Area 3 RAB'!$H$6:$J$10,MATCH($C51,'[4]Outputs for Area 3 RAB'!$B$6:$B$10,0),MATCH(F$47,'[4]Outputs for Area 3 RAB'!$H$5:$J$5,0))</f>
        <v>-4.4999999999999998E-2</v>
      </c>
      <c r="H51" s="9" t="str">
        <v>WN346</v>
      </c>
      <c r="I51" t="s">
        <v>276</v>
      </c>
      <c r="J51" s="181">
        <f>INDEX([4]StartPrices!$Y$10:$Y$609,MATCH($H51,[4]StartPrices!$B$10:$B$609,0))</f>
        <v>131.3244088721178</v>
      </c>
      <c r="L51" s="21"/>
      <c r="M51" s="12"/>
      <c r="N51" s="12"/>
      <c r="O51" s="12"/>
      <c r="P51" s="12"/>
      <c r="Q51" s="26"/>
    </row>
    <row r="52" spans="1:17" ht="14.65" thickBot="1" x14ac:dyDescent="0.5">
      <c r="A52" s="9" t="str">
        <v>WX130</v>
      </c>
      <c r="B52" t="s">
        <v>277</v>
      </c>
      <c r="C52" t="s">
        <v>398</v>
      </c>
      <c r="D52" s="48">
        <f>INDEX('[4]Outputs for Area 3 RAB'!$H$6:$J$10,MATCH($C52,'[4]Outputs for Area 3 RAB'!$B$6:$B$10,0),MATCH(D$47,'[4]Outputs for Area 3 RAB'!$H$5:$J$5,0))</f>
        <v>-0.02</v>
      </c>
      <c r="E52" s="48">
        <f>INDEX('[4]Outputs for Area 3 RAB'!$H$6:$J$10,MATCH($C52,'[4]Outputs for Area 3 RAB'!$B$6:$B$10,0),MATCH(E$47,'[4]Outputs for Area 3 RAB'!$H$5:$J$5,0))</f>
        <v>1.2500000000000001E-2</v>
      </c>
      <c r="F52" s="48">
        <f>INDEX('[4]Outputs for Area 3 RAB'!$H$6:$J$10,MATCH($C52,'[4]Outputs for Area 3 RAB'!$B$6:$B$10,0),MATCH(F$47,'[4]Outputs for Area 3 RAB'!$H$5:$J$5,0))</f>
        <v>-4.4999999999999998E-2</v>
      </c>
      <c r="H52" s="9" t="str">
        <v>WX130</v>
      </c>
      <c r="I52" t="s">
        <v>277</v>
      </c>
      <c r="J52" s="181">
        <f>INDEX([4]StartPrices!$Y$10:$Y$609,MATCH($H52,[4]StartPrices!$B$10:$B$609,0))</f>
        <v>131.25682711340249</v>
      </c>
      <c r="L52" s="21"/>
      <c r="M52" s="12"/>
      <c r="N52" s="12"/>
      <c r="O52" s="12"/>
      <c r="P52" s="12"/>
      <c r="Q52" s="26"/>
    </row>
    <row r="53" spans="1:17" ht="14.65" thickBot="1" x14ac:dyDescent="0.5">
      <c r="A53" s="9" t="str">
        <v>WX347</v>
      </c>
      <c r="B53" t="s">
        <v>278</v>
      </c>
      <c r="C53" t="s">
        <v>398</v>
      </c>
      <c r="D53" s="48">
        <f>INDEX('[4]Outputs for Area 3 RAB'!$H$6:$J$10,MATCH($C53,'[4]Outputs for Area 3 RAB'!$B$6:$B$10,0),MATCH(D$47,'[4]Outputs for Area 3 RAB'!$H$5:$J$5,0))</f>
        <v>-0.02</v>
      </c>
      <c r="E53" s="48">
        <f>INDEX('[4]Outputs for Area 3 RAB'!$H$6:$J$10,MATCH($C53,'[4]Outputs for Area 3 RAB'!$B$6:$B$10,0),MATCH(E$47,'[4]Outputs for Area 3 RAB'!$H$5:$J$5,0))</f>
        <v>1.2500000000000001E-2</v>
      </c>
      <c r="F53" s="48">
        <f>INDEX('[4]Outputs for Area 3 RAB'!$H$6:$J$10,MATCH($C53,'[4]Outputs for Area 3 RAB'!$B$6:$B$10,0),MATCH(F$47,'[4]Outputs for Area 3 RAB'!$H$5:$J$5,0))</f>
        <v>-4.4999999999999998E-2</v>
      </c>
      <c r="H53" s="9" t="str">
        <v>WX347</v>
      </c>
      <c r="I53" t="s">
        <v>278</v>
      </c>
      <c r="J53" s="181">
        <f>INDEX([4]StartPrices!$Y$10:$Y$609,MATCH($H53,[4]StartPrices!$B$10:$B$609,0))</f>
        <v>117.09723373760681</v>
      </c>
      <c r="L53" s="21"/>
      <c r="M53" s="12"/>
      <c r="N53" s="12"/>
      <c r="O53" s="12"/>
      <c r="P53" s="12"/>
      <c r="Q53" s="26"/>
    </row>
    <row r="54" spans="1:17" ht="14.65" thickBot="1" x14ac:dyDescent="0.5">
      <c r="A54" s="9" t="str">
        <v>WX129</v>
      </c>
      <c r="B54" t="s">
        <v>279</v>
      </c>
      <c r="C54" t="s">
        <v>399</v>
      </c>
      <c r="D54" s="48">
        <f>INDEX('[4]Outputs for Area 3 RAB'!$H$6:$J$10,MATCH($C54,'[4]Outputs for Area 3 RAB'!$B$6:$B$10,0),MATCH(D$47,'[4]Outputs for Area 3 RAB'!$H$5:$J$5,0))</f>
        <v>0.1825</v>
      </c>
      <c r="E54" s="48">
        <f>INDEX('[4]Outputs for Area 3 RAB'!$H$6:$J$10,MATCH($C54,'[4]Outputs for Area 3 RAB'!$B$6:$B$10,0),MATCH(E$47,'[4]Outputs for Area 3 RAB'!$H$5:$J$5,0))</f>
        <v>0.22</v>
      </c>
      <c r="F54" s="48">
        <f>INDEX('[4]Outputs for Area 3 RAB'!$H$6:$J$10,MATCH($C54,'[4]Outputs for Area 3 RAB'!$B$6:$B$10,0),MATCH(F$47,'[4]Outputs for Area 3 RAB'!$H$5:$J$5,0))</f>
        <v>0.16250000000000001</v>
      </c>
      <c r="H54" s="9" t="str">
        <v>WX129</v>
      </c>
      <c r="I54" t="s">
        <v>279</v>
      </c>
      <c r="J54" s="181">
        <f>INDEX([4]StartPrices!$Y$10:$Y$609,MATCH($H54,[4]StartPrices!$B$10:$B$609,0))</f>
        <v>33.575930968968088</v>
      </c>
      <c r="L54" s="21"/>
      <c r="M54" s="12"/>
      <c r="N54" s="12"/>
      <c r="O54" s="12"/>
      <c r="P54" s="12"/>
      <c r="Q54" s="26"/>
    </row>
    <row r="55" spans="1:17" ht="14.65" thickBot="1" x14ac:dyDescent="0.5">
      <c r="A55" s="9" t="str">
        <v>WN123</v>
      </c>
      <c r="B55" t="s">
        <v>280</v>
      </c>
      <c r="C55" t="s">
        <v>399</v>
      </c>
      <c r="D55" s="48">
        <f>INDEX('[4]Outputs for Area 3 RAB'!$H$6:$J$10,MATCH($C55,'[4]Outputs for Area 3 RAB'!$B$6:$B$10,0),MATCH(D$47,'[4]Outputs for Area 3 RAB'!$H$5:$J$5,0))</f>
        <v>0.1825</v>
      </c>
      <c r="E55" s="48">
        <f>INDEX('[4]Outputs for Area 3 RAB'!$H$6:$J$10,MATCH($C55,'[4]Outputs for Area 3 RAB'!$B$6:$B$10,0),MATCH(E$47,'[4]Outputs for Area 3 RAB'!$H$5:$J$5,0))</f>
        <v>0.22</v>
      </c>
      <c r="F55" s="48">
        <f>INDEX('[4]Outputs for Area 3 RAB'!$H$6:$J$10,MATCH($C55,'[4]Outputs for Area 3 RAB'!$B$6:$B$10,0),MATCH(F$47,'[4]Outputs for Area 3 RAB'!$H$5:$J$5,0))</f>
        <v>0.16250000000000001</v>
      </c>
      <c r="H55" s="9" t="str">
        <v>WN123</v>
      </c>
      <c r="I55" t="s">
        <v>280</v>
      </c>
      <c r="J55" s="181">
        <f>INDEX([4]StartPrices!$Y$10:$Y$609,MATCH($H55,[4]StartPrices!$B$10:$B$609,0))</f>
        <v>35.927921953837227</v>
      </c>
      <c r="L55" s="21"/>
      <c r="M55" s="12"/>
      <c r="N55" s="12"/>
      <c r="O55" s="12"/>
      <c r="P55" s="12"/>
      <c r="Q55" s="26"/>
    </row>
    <row r="56" spans="1:17" ht="14.65" thickBot="1" x14ac:dyDescent="0.5">
      <c r="A56" s="9" t="str">
        <v>WN300</v>
      </c>
      <c r="B56" t="s">
        <v>281</v>
      </c>
      <c r="C56" t="s">
        <v>400</v>
      </c>
      <c r="D56" s="48">
        <f>INDEX('[4]Outputs for Area 3 RAB'!$H$6:$J$10,MATCH($C56,'[4]Outputs for Area 3 RAB'!$B$6:$B$10,0),MATCH(D$47,'[4]Outputs for Area 3 RAB'!$H$5:$J$5,0))</f>
        <v>6.5000000000000002E-2</v>
      </c>
      <c r="E56" s="48">
        <f>INDEX('[4]Outputs for Area 3 RAB'!$H$6:$J$10,MATCH($C56,'[4]Outputs for Area 3 RAB'!$B$6:$B$10,0),MATCH(E$47,'[4]Outputs for Area 3 RAB'!$H$5:$J$5,0))</f>
        <v>0.08</v>
      </c>
      <c r="F56" s="48">
        <f>INDEX('[4]Outputs for Area 3 RAB'!$H$6:$J$10,MATCH($C56,'[4]Outputs for Area 3 RAB'!$B$6:$B$10,0),MATCH(F$47,'[4]Outputs for Area 3 RAB'!$H$5:$J$5,0))</f>
        <v>5.2499999999999998E-2</v>
      </c>
      <c r="H56" s="9" t="str">
        <v>WN300</v>
      </c>
      <c r="I56" t="s">
        <v>281</v>
      </c>
      <c r="J56" s="181">
        <f>INDEX([4]StartPrices!$Y$10:$Y$609,MATCH($H56,[4]StartPrices!$B$10:$B$609,0))</f>
        <v>96.92512490916242</v>
      </c>
      <c r="L56" s="21"/>
      <c r="M56" s="12"/>
      <c r="N56" s="12"/>
      <c r="O56" s="12"/>
      <c r="P56" s="12"/>
      <c r="Q56" s="26"/>
    </row>
    <row r="57" spans="1:17" ht="14.65" thickBot="1" x14ac:dyDescent="0.5">
      <c r="A57" s="9" t="str">
        <v>WN301</v>
      </c>
      <c r="B57" t="s">
        <v>282</v>
      </c>
      <c r="C57" t="s">
        <v>400</v>
      </c>
      <c r="D57" s="48">
        <f>INDEX('[4]Outputs for Area 3 RAB'!$H$6:$J$10,MATCH($C57,'[4]Outputs for Area 3 RAB'!$B$6:$B$10,0),MATCH(D$47,'[4]Outputs for Area 3 RAB'!$H$5:$J$5,0))</f>
        <v>6.5000000000000002E-2</v>
      </c>
      <c r="E57" s="48">
        <f>INDEX('[4]Outputs for Area 3 RAB'!$H$6:$J$10,MATCH($C57,'[4]Outputs for Area 3 RAB'!$B$6:$B$10,0),MATCH(E$47,'[4]Outputs for Area 3 RAB'!$H$5:$J$5,0))</f>
        <v>0.08</v>
      </c>
      <c r="F57" s="48">
        <f>INDEX('[4]Outputs for Area 3 RAB'!$H$6:$J$10,MATCH($C57,'[4]Outputs for Area 3 RAB'!$B$6:$B$10,0),MATCH(F$47,'[4]Outputs for Area 3 RAB'!$H$5:$J$5,0))</f>
        <v>5.2499999999999998E-2</v>
      </c>
      <c r="H57" s="9" t="str">
        <v>WN301</v>
      </c>
      <c r="I57" t="s">
        <v>282</v>
      </c>
      <c r="J57" s="181">
        <f>INDEX([4]StartPrices!$Y$10:$Y$609,MATCH($H57,[4]StartPrices!$B$10:$B$609,0))</f>
        <v>77.52055977577534</v>
      </c>
      <c r="L57" s="21"/>
      <c r="M57" s="12"/>
      <c r="N57" s="12"/>
      <c r="O57" s="12"/>
      <c r="P57" s="12"/>
      <c r="Q57" s="26"/>
    </row>
    <row r="58" spans="1:17" ht="14.65" thickBot="1" x14ac:dyDescent="0.5">
      <c r="A58" s="9" t="str">
        <v>WX310</v>
      </c>
      <c r="B58" t="s">
        <v>283</v>
      </c>
      <c r="C58" t="s">
        <v>400</v>
      </c>
      <c r="D58" s="48">
        <f>INDEX('[4]Outputs for Area 3 RAB'!$H$6:$J$10,MATCH($C58,'[4]Outputs for Area 3 RAB'!$B$6:$B$10,0),MATCH(D$47,'[4]Outputs for Area 3 RAB'!$H$5:$J$5,0))</f>
        <v>6.5000000000000002E-2</v>
      </c>
      <c r="E58" s="48">
        <f>INDEX('[4]Outputs for Area 3 RAB'!$H$6:$J$10,MATCH($C58,'[4]Outputs for Area 3 RAB'!$B$6:$B$10,0),MATCH(E$47,'[4]Outputs for Area 3 RAB'!$H$5:$J$5,0))</f>
        <v>0.08</v>
      </c>
      <c r="F58" s="48">
        <f>INDEX('[4]Outputs for Area 3 RAB'!$H$6:$J$10,MATCH($C58,'[4]Outputs for Area 3 RAB'!$B$6:$B$10,0),MATCH(F$47,'[4]Outputs for Area 3 RAB'!$H$5:$J$5,0))</f>
        <v>5.2499999999999998E-2</v>
      </c>
      <c r="H58" s="9" t="str">
        <v>WX310</v>
      </c>
      <c r="I58" t="s">
        <v>283</v>
      </c>
      <c r="J58" s="181">
        <f>INDEX([4]StartPrices!$Y$10:$Y$609,MATCH($H58,[4]StartPrices!$B$10:$B$609,0))</f>
        <v>91.914304356048433</v>
      </c>
      <c r="L58" s="21"/>
      <c r="M58" s="12"/>
      <c r="N58" s="12"/>
      <c r="O58" s="12"/>
      <c r="P58" s="12"/>
      <c r="Q58" s="26"/>
    </row>
    <row r="59" spans="1:17" ht="14.65" thickBot="1" x14ac:dyDescent="0.5">
      <c r="A59" s="9" t="str">
        <v>WX311</v>
      </c>
      <c r="B59" t="s">
        <v>284</v>
      </c>
      <c r="C59" t="s">
        <v>400</v>
      </c>
      <c r="D59" s="48">
        <f>INDEX('[4]Outputs for Area 3 RAB'!$H$6:$J$10,MATCH($C59,'[4]Outputs for Area 3 RAB'!$B$6:$B$10,0),MATCH(D$47,'[4]Outputs for Area 3 RAB'!$H$5:$J$5,0))</f>
        <v>6.5000000000000002E-2</v>
      </c>
      <c r="E59" s="48">
        <f>INDEX('[4]Outputs for Area 3 RAB'!$H$6:$J$10,MATCH($C59,'[4]Outputs for Area 3 RAB'!$B$6:$B$10,0),MATCH(E$47,'[4]Outputs for Area 3 RAB'!$H$5:$J$5,0))</f>
        <v>0.08</v>
      </c>
      <c r="F59" s="48">
        <f>INDEX('[4]Outputs for Area 3 RAB'!$H$6:$J$10,MATCH($C59,'[4]Outputs for Area 3 RAB'!$B$6:$B$10,0),MATCH(F$47,'[4]Outputs for Area 3 RAB'!$H$5:$J$5,0))</f>
        <v>5.2499999999999998E-2</v>
      </c>
      <c r="H59" s="9" t="str">
        <v>WX311</v>
      </c>
      <c r="I59" t="s">
        <v>284</v>
      </c>
      <c r="J59" s="181">
        <f>INDEX([4]StartPrices!$Y$10:$Y$609,MATCH($H59,[4]StartPrices!$B$10:$B$609,0))</f>
        <v>84.734806701698801</v>
      </c>
      <c r="L59" s="21"/>
      <c r="M59" s="12"/>
      <c r="N59" s="12"/>
      <c r="O59" s="12"/>
      <c r="P59" s="12"/>
      <c r="Q59" s="26"/>
    </row>
    <row r="60" spans="1:17" ht="14.65" thickBot="1" x14ac:dyDescent="0.5">
      <c r="A60" s="9" t="str">
        <v>WN302</v>
      </c>
      <c r="B60" t="s">
        <v>285</v>
      </c>
      <c r="C60" t="s">
        <v>401</v>
      </c>
      <c r="D60" s="48">
        <f>INDEX('[4]Outputs for Area 3 RAB'!$H$6:$J$10,MATCH($C60,'[4]Outputs for Area 3 RAB'!$B$6:$B$10,0),MATCH(D$47,'[4]Outputs for Area 3 RAB'!$H$5:$J$5,0))</f>
        <v>0.77500000000000002</v>
      </c>
      <c r="E60" s="48">
        <f>INDEX('[4]Outputs for Area 3 RAB'!$H$6:$J$10,MATCH($C60,'[4]Outputs for Area 3 RAB'!$B$6:$B$10,0),MATCH(E$47,'[4]Outputs for Area 3 RAB'!$H$5:$J$5,0))</f>
        <v>0.8075</v>
      </c>
      <c r="F60" s="48">
        <f>INDEX('[4]Outputs for Area 3 RAB'!$H$6:$J$10,MATCH($C60,'[4]Outputs for Area 3 RAB'!$B$6:$B$10,0),MATCH(F$47,'[4]Outputs for Area 3 RAB'!$H$5:$J$5,0))</f>
        <v>0.75249999999999995</v>
      </c>
      <c r="H60" s="9" t="str">
        <v>WN302</v>
      </c>
      <c r="I60" t="s">
        <v>285</v>
      </c>
      <c r="J60" s="181">
        <f>INDEX([4]StartPrices!$Y$10:$Y$609,MATCH($H60,[4]StartPrices!$B$10:$B$609,0))</f>
        <v>122.7106396118904</v>
      </c>
      <c r="L60" s="21"/>
      <c r="M60" s="12"/>
      <c r="N60" s="12"/>
      <c r="O60" s="12"/>
      <c r="P60" s="12"/>
      <c r="Q60" s="26"/>
    </row>
    <row r="61" spans="1:17" ht="14.65" thickBot="1" x14ac:dyDescent="0.5">
      <c r="A61" s="9" t="str">
        <v>WX312</v>
      </c>
      <c r="B61" t="s">
        <v>286</v>
      </c>
      <c r="C61" t="s">
        <v>401</v>
      </c>
      <c r="D61" s="48">
        <f>INDEX('[4]Outputs for Area 3 RAB'!$H$6:$J$10,MATCH($C61,'[4]Outputs for Area 3 RAB'!$B$6:$B$10,0),MATCH(D$47,'[4]Outputs for Area 3 RAB'!$H$5:$J$5,0))</f>
        <v>0.77500000000000002</v>
      </c>
      <c r="E61" s="48">
        <f>INDEX('[4]Outputs for Area 3 RAB'!$H$6:$J$10,MATCH($C61,'[4]Outputs for Area 3 RAB'!$B$6:$B$10,0),MATCH(E$47,'[4]Outputs for Area 3 RAB'!$H$5:$J$5,0))</f>
        <v>0.8075</v>
      </c>
      <c r="F61" s="48">
        <f>INDEX('[4]Outputs for Area 3 RAB'!$H$6:$J$10,MATCH($C61,'[4]Outputs for Area 3 RAB'!$B$6:$B$10,0),MATCH(F$47,'[4]Outputs for Area 3 RAB'!$H$5:$J$5,0))</f>
        <v>0.75249999999999995</v>
      </c>
      <c r="H61" s="9" t="str">
        <v>WX312</v>
      </c>
      <c r="I61" t="s">
        <v>286</v>
      </c>
      <c r="J61" s="181">
        <f>INDEX([4]StartPrices!$Y$10:$Y$609,MATCH($H61,[4]StartPrices!$B$10:$B$609,0))</f>
        <v>125.61882004354661</v>
      </c>
      <c r="L61" s="21"/>
      <c r="M61" s="12"/>
      <c r="N61" s="12"/>
      <c r="O61" s="12"/>
      <c r="P61" s="12"/>
      <c r="Q61" s="26"/>
    </row>
    <row r="62" spans="1:17" ht="14.65" thickBot="1" x14ac:dyDescent="0.5">
      <c r="A62" s="9" t="str">
        <v>WX338</v>
      </c>
      <c r="B62" t="s">
        <v>287</v>
      </c>
      <c r="C62" t="s">
        <v>401</v>
      </c>
      <c r="D62" s="48">
        <f>INDEX('[4]Outputs for Area 3 RAB'!$H$6:$J$10,MATCH($C62,'[4]Outputs for Area 3 RAB'!$B$6:$B$10,0),MATCH(D$47,'[4]Outputs for Area 3 RAB'!$H$5:$J$5,0))</f>
        <v>0.77500000000000002</v>
      </c>
      <c r="E62" s="48">
        <f>INDEX('[4]Outputs for Area 3 RAB'!$H$6:$J$10,MATCH($C62,'[4]Outputs for Area 3 RAB'!$B$6:$B$10,0),MATCH(E$47,'[4]Outputs for Area 3 RAB'!$H$5:$J$5,0))</f>
        <v>0.8075</v>
      </c>
      <c r="F62" s="48">
        <f>INDEX('[4]Outputs for Area 3 RAB'!$H$6:$J$10,MATCH($C62,'[4]Outputs for Area 3 RAB'!$B$6:$B$10,0),MATCH(F$47,'[4]Outputs for Area 3 RAB'!$H$5:$J$5,0))</f>
        <v>0.75249999999999995</v>
      </c>
      <c r="H62" s="9" t="str">
        <v>WX338</v>
      </c>
      <c r="I62" t="s">
        <v>287</v>
      </c>
      <c r="J62" s="181">
        <f>INDEX([4]StartPrices!$Y$10:$Y$609,MATCH($H62,[4]StartPrices!$B$10:$B$609,0))</f>
        <v>113.12937660540808</v>
      </c>
      <c r="L62" s="21"/>
      <c r="M62" s="12"/>
      <c r="N62" s="12"/>
      <c r="O62" s="12"/>
      <c r="P62" s="12"/>
      <c r="Q62" s="26"/>
    </row>
    <row r="63" spans="1:17" ht="14.65" thickBot="1" x14ac:dyDescent="0.5">
      <c r="A63" s="9" t="str">
        <v>WN336</v>
      </c>
      <c r="B63" t="s">
        <v>288</v>
      </c>
      <c r="C63" t="s">
        <v>401</v>
      </c>
      <c r="D63" s="48">
        <f>INDEX('[4]Outputs for Area 3 RAB'!$H$6:$J$10,MATCH($C63,'[4]Outputs for Area 3 RAB'!$B$6:$B$10,0),MATCH(D$47,'[4]Outputs for Area 3 RAB'!$H$5:$J$5,0))</f>
        <v>0.77500000000000002</v>
      </c>
      <c r="E63" s="48">
        <f>INDEX('[4]Outputs for Area 3 RAB'!$H$6:$J$10,MATCH($C63,'[4]Outputs for Area 3 RAB'!$B$6:$B$10,0),MATCH(E$47,'[4]Outputs for Area 3 RAB'!$H$5:$J$5,0))</f>
        <v>0.8075</v>
      </c>
      <c r="F63" s="48">
        <f>INDEX('[4]Outputs for Area 3 RAB'!$H$6:$J$10,MATCH($C63,'[4]Outputs for Area 3 RAB'!$B$6:$B$10,0),MATCH(F$47,'[4]Outputs for Area 3 RAB'!$H$5:$J$5,0))</f>
        <v>0.75249999999999995</v>
      </c>
      <c r="H63" s="9" t="str">
        <v>WN336</v>
      </c>
      <c r="I63" t="s">
        <v>288</v>
      </c>
      <c r="J63" s="181">
        <f>INDEX([4]StartPrices!$Y$10:$Y$609,MATCH($H63,[4]StartPrices!$B$10:$B$609,0))</f>
        <v>113.05610048895701</v>
      </c>
      <c r="L63" s="21"/>
      <c r="M63" s="12"/>
      <c r="N63" s="12"/>
      <c r="O63" s="12"/>
      <c r="P63" s="12"/>
      <c r="Q63" s="26"/>
    </row>
    <row r="64" spans="1:17" ht="14.65" thickBot="1" x14ac:dyDescent="0.5">
      <c r="A64" s="9" t="str">
        <v>WN303</v>
      </c>
      <c r="B64" t="s">
        <v>289</v>
      </c>
      <c r="C64" t="s">
        <v>401</v>
      </c>
      <c r="D64" s="48">
        <f>INDEX('[4]Outputs for Area 3 RAB'!$H$6:$J$10,MATCH($C64,'[4]Outputs for Area 3 RAB'!$B$6:$B$10,0),MATCH(D$47,'[4]Outputs for Area 3 RAB'!$H$5:$J$5,0))</f>
        <v>0.77500000000000002</v>
      </c>
      <c r="E64" s="48">
        <f>INDEX('[4]Outputs for Area 3 RAB'!$H$6:$J$10,MATCH($C64,'[4]Outputs for Area 3 RAB'!$B$6:$B$10,0),MATCH(E$47,'[4]Outputs for Area 3 RAB'!$H$5:$J$5,0))</f>
        <v>0.8075</v>
      </c>
      <c r="F64" s="48">
        <f>INDEX('[4]Outputs for Area 3 RAB'!$H$6:$J$10,MATCH($C64,'[4]Outputs for Area 3 RAB'!$B$6:$B$10,0),MATCH(F$47,'[4]Outputs for Area 3 RAB'!$H$5:$J$5,0))</f>
        <v>0.75249999999999995</v>
      </c>
      <c r="H64" s="9" t="str">
        <v>WN303</v>
      </c>
      <c r="I64" t="s">
        <v>289</v>
      </c>
      <c r="J64" s="181">
        <f>INDEX([4]StartPrices!$Y$10:$Y$609,MATCH($H64,[4]StartPrices!$B$10:$B$609,0))</f>
        <v>64.479073523605194</v>
      </c>
      <c r="L64" s="21"/>
      <c r="M64" s="12"/>
      <c r="N64" s="12"/>
      <c r="O64" s="12"/>
      <c r="P64" s="12"/>
      <c r="Q64" s="26"/>
    </row>
    <row r="65" spans="1:17" ht="14.65" thickBot="1" x14ac:dyDescent="0.5">
      <c r="A65" s="9" t="str">
        <v>WN337</v>
      </c>
      <c r="B65" t="s">
        <v>290</v>
      </c>
      <c r="C65" t="s">
        <v>401</v>
      </c>
      <c r="D65" s="48">
        <f>INDEX('[4]Outputs for Area 3 RAB'!$H$6:$J$10,MATCH($C65,'[4]Outputs for Area 3 RAB'!$B$6:$B$10,0),MATCH(D$47,'[4]Outputs for Area 3 RAB'!$H$5:$J$5,0))</f>
        <v>0.77500000000000002</v>
      </c>
      <c r="E65" s="48">
        <f>INDEX('[4]Outputs for Area 3 RAB'!$H$6:$J$10,MATCH($C65,'[4]Outputs for Area 3 RAB'!$B$6:$B$10,0),MATCH(E$47,'[4]Outputs for Area 3 RAB'!$H$5:$J$5,0))</f>
        <v>0.8075</v>
      </c>
      <c r="F65" s="48">
        <f>INDEX('[4]Outputs for Area 3 RAB'!$H$6:$J$10,MATCH($C65,'[4]Outputs for Area 3 RAB'!$B$6:$B$10,0),MATCH(F$47,'[4]Outputs for Area 3 RAB'!$H$5:$J$5,0))</f>
        <v>0.75249999999999995</v>
      </c>
      <c r="H65" s="9" t="str">
        <v>WN337</v>
      </c>
      <c r="I65" t="s">
        <v>290</v>
      </c>
      <c r="J65" s="181">
        <f>INDEX([4]StartPrices!$Y$10:$Y$609,MATCH($H65,[4]StartPrices!$B$10:$B$609,0))</f>
        <v>61.747118334499213</v>
      </c>
      <c r="L65" s="21"/>
      <c r="M65" s="12"/>
      <c r="N65" s="12"/>
      <c r="O65" s="12"/>
      <c r="P65" s="12"/>
      <c r="Q65" s="26"/>
    </row>
    <row r="66" spans="1:17" ht="14.65" thickBot="1" x14ac:dyDescent="0.5">
      <c r="A66" s="9" t="str">
        <v>WX313</v>
      </c>
      <c r="B66" t="s">
        <v>291</v>
      </c>
      <c r="C66" t="s">
        <v>401</v>
      </c>
      <c r="D66" s="48">
        <f>INDEX('[4]Outputs for Area 3 RAB'!$H$6:$J$10,MATCH($C66,'[4]Outputs for Area 3 RAB'!$B$6:$B$10,0),MATCH(D$47,'[4]Outputs for Area 3 RAB'!$H$5:$J$5,0))</f>
        <v>0.77500000000000002</v>
      </c>
      <c r="E66" s="48">
        <f>INDEX('[4]Outputs for Area 3 RAB'!$H$6:$J$10,MATCH($C66,'[4]Outputs for Area 3 RAB'!$B$6:$B$10,0),MATCH(E$47,'[4]Outputs for Area 3 RAB'!$H$5:$J$5,0))</f>
        <v>0.8075</v>
      </c>
      <c r="F66" s="48">
        <f>INDEX('[4]Outputs for Area 3 RAB'!$H$6:$J$10,MATCH($C66,'[4]Outputs for Area 3 RAB'!$B$6:$B$10,0),MATCH(F$47,'[4]Outputs for Area 3 RAB'!$H$5:$J$5,0))</f>
        <v>0.75249999999999995</v>
      </c>
      <c r="H66" s="9" t="str">
        <v>WX313</v>
      </c>
      <c r="I66" t="s">
        <v>291</v>
      </c>
      <c r="J66" s="181">
        <f>INDEX([4]StartPrices!$Y$10:$Y$609,MATCH($H66,[4]StartPrices!$B$10:$B$609,0))</f>
        <v>55.228291739992947</v>
      </c>
      <c r="L66" s="21"/>
      <c r="M66" s="12"/>
      <c r="N66" s="12"/>
      <c r="O66" s="12"/>
      <c r="P66" s="12"/>
      <c r="Q66" s="26"/>
    </row>
    <row r="67" spans="1:17" ht="14.65" thickBot="1" x14ac:dyDescent="0.5">
      <c r="A67" s="9" t="str">
        <v>WX339</v>
      </c>
      <c r="B67" t="s">
        <v>292</v>
      </c>
      <c r="C67" t="s">
        <v>401</v>
      </c>
      <c r="D67" s="48">
        <f>INDEX('[4]Outputs for Area 3 RAB'!$H$6:$J$10,MATCH($C67,'[4]Outputs for Area 3 RAB'!$B$6:$B$10,0),MATCH(D$47,'[4]Outputs for Area 3 RAB'!$H$5:$J$5,0))</f>
        <v>0.77500000000000002</v>
      </c>
      <c r="E67" s="48">
        <f>INDEX('[4]Outputs for Area 3 RAB'!$H$6:$J$10,MATCH($C67,'[4]Outputs for Area 3 RAB'!$B$6:$B$10,0),MATCH(E$47,'[4]Outputs for Area 3 RAB'!$H$5:$J$5,0))</f>
        <v>0.8075</v>
      </c>
      <c r="F67" s="48">
        <f>INDEX('[4]Outputs for Area 3 RAB'!$H$6:$J$10,MATCH($C67,'[4]Outputs for Area 3 RAB'!$B$6:$B$10,0),MATCH(F$47,'[4]Outputs for Area 3 RAB'!$H$5:$J$5,0))</f>
        <v>0.75249999999999995</v>
      </c>
      <c r="H67" s="9" t="str">
        <v>WX339</v>
      </c>
      <c r="I67" t="s">
        <v>292</v>
      </c>
      <c r="J67" s="181">
        <f>INDEX([4]StartPrices!$Y$10:$Y$609,MATCH($H67,[4]StartPrices!$B$10:$B$609,0))</f>
        <v>61.157003145331245</v>
      </c>
      <c r="L67" s="21"/>
      <c r="M67" s="12"/>
      <c r="N67" s="12"/>
      <c r="O67" s="12"/>
      <c r="P67" s="12"/>
      <c r="Q67" s="26"/>
    </row>
    <row r="68" spans="1:17" ht="14.65" thickBot="1" x14ac:dyDescent="0.5">
      <c r="A68" s="9" t="str">
        <v>WN332</v>
      </c>
      <c r="B68" t="s">
        <v>293</v>
      </c>
      <c r="C68" t="s">
        <v>400</v>
      </c>
      <c r="D68" s="48">
        <f>INDEX('[4]Outputs for Area 3 RAB'!$H$6:$J$10,MATCH($C68,'[4]Outputs for Area 3 RAB'!$B$6:$B$10,0),MATCH(D$47,'[4]Outputs for Area 3 RAB'!$H$5:$J$5,0))</f>
        <v>6.5000000000000002E-2</v>
      </c>
      <c r="E68" s="48">
        <f>INDEX('[4]Outputs for Area 3 RAB'!$H$6:$J$10,MATCH($C68,'[4]Outputs for Area 3 RAB'!$B$6:$B$10,0),MATCH(E$47,'[4]Outputs for Area 3 RAB'!$H$5:$J$5,0))</f>
        <v>0.08</v>
      </c>
      <c r="F68" s="48">
        <f>INDEX('[4]Outputs for Area 3 RAB'!$H$6:$J$10,MATCH($C68,'[4]Outputs for Area 3 RAB'!$B$6:$B$10,0),MATCH(F$47,'[4]Outputs for Area 3 RAB'!$H$5:$J$5,0))</f>
        <v>5.2499999999999998E-2</v>
      </c>
      <c r="H68" s="9" t="str">
        <v>WN332</v>
      </c>
      <c r="I68" t="s">
        <v>293</v>
      </c>
      <c r="J68" s="181">
        <f>INDEX([4]StartPrices!$Y$10:$Y$609,MATCH($H68,[4]StartPrices!$B$10:$B$609,0))</f>
        <v>203.73080523136048</v>
      </c>
      <c r="L68" s="21"/>
      <c r="M68" s="12"/>
      <c r="N68" s="12"/>
      <c r="O68" s="12"/>
      <c r="P68" s="12"/>
      <c r="Q68" s="26"/>
    </row>
    <row r="69" spans="1:17" ht="14.65" thickBot="1" x14ac:dyDescent="0.5">
      <c r="A69" s="9" t="str">
        <v>WX334</v>
      </c>
      <c r="B69" t="s">
        <v>295</v>
      </c>
      <c r="C69" t="s">
        <v>400</v>
      </c>
      <c r="D69" s="48">
        <f>INDEX('[4]Outputs for Area 3 RAB'!$H$6:$J$10,MATCH($C69,'[4]Outputs for Area 3 RAB'!$B$6:$B$10,0),MATCH(D$47,'[4]Outputs for Area 3 RAB'!$H$5:$J$5,0))</f>
        <v>6.5000000000000002E-2</v>
      </c>
      <c r="E69" s="48">
        <f>INDEX('[4]Outputs for Area 3 RAB'!$H$6:$J$10,MATCH($C69,'[4]Outputs for Area 3 RAB'!$B$6:$B$10,0),MATCH(E$47,'[4]Outputs for Area 3 RAB'!$H$5:$J$5,0))</f>
        <v>0.08</v>
      </c>
      <c r="F69" s="48">
        <f>INDEX('[4]Outputs for Area 3 RAB'!$H$6:$J$10,MATCH($C69,'[4]Outputs for Area 3 RAB'!$B$6:$B$10,0),MATCH(F$47,'[4]Outputs for Area 3 RAB'!$H$5:$J$5,0))</f>
        <v>5.2499999999999998E-2</v>
      </c>
      <c r="H69" s="9" t="str">
        <v>WX334</v>
      </c>
      <c r="I69" t="s">
        <v>295</v>
      </c>
      <c r="J69" s="181">
        <f>INDEX([4]StartPrices!$Y$10:$Y$609,MATCH($H69,[4]StartPrices!$B$10:$B$609,0))</f>
        <v>262.31744194658199</v>
      </c>
      <c r="L69" s="21"/>
      <c r="M69" s="12"/>
      <c r="N69" s="12"/>
      <c r="O69" s="12"/>
      <c r="P69" s="12"/>
      <c r="Q69" s="26"/>
    </row>
    <row r="70" spans="1:17" ht="14.65" thickBot="1" x14ac:dyDescent="0.5">
      <c r="A70" s="9" t="str">
        <v>WN333</v>
      </c>
      <c r="B70" t="s">
        <v>296</v>
      </c>
      <c r="C70" t="s">
        <v>401</v>
      </c>
      <c r="D70" s="48">
        <f>INDEX('[4]Outputs for Area 3 RAB'!$H$6:$J$10,MATCH($C70,'[4]Outputs for Area 3 RAB'!$B$6:$B$10,0),MATCH(D$47,'[4]Outputs for Area 3 RAB'!$H$5:$J$5,0))</f>
        <v>0.77500000000000002</v>
      </c>
      <c r="E70" s="48">
        <f>INDEX('[4]Outputs for Area 3 RAB'!$H$6:$J$10,MATCH($C70,'[4]Outputs for Area 3 RAB'!$B$6:$B$10,0),MATCH(E$47,'[4]Outputs for Area 3 RAB'!$H$5:$J$5,0))</f>
        <v>0.8075</v>
      </c>
      <c r="F70" s="48">
        <f>INDEX('[4]Outputs for Area 3 RAB'!$H$6:$J$10,MATCH($C70,'[4]Outputs for Area 3 RAB'!$B$6:$B$10,0),MATCH(F$47,'[4]Outputs for Area 3 RAB'!$H$5:$J$5,0))</f>
        <v>0.75249999999999995</v>
      </c>
      <c r="H70" s="9" t="str">
        <v>WN333</v>
      </c>
      <c r="I70" t="s">
        <v>296</v>
      </c>
      <c r="J70" s="181">
        <f>INDEX([4]StartPrices!$Y$10:$Y$609,MATCH($H70,[4]StartPrices!$B$10:$B$609,0))</f>
        <v>98.981248069018321</v>
      </c>
      <c r="L70" s="21"/>
      <c r="M70" s="12"/>
      <c r="N70" s="12"/>
      <c r="O70" s="12"/>
      <c r="P70" s="12"/>
      <c r="Q70" s="26"/>
    </row>
    <row r="71" spans="1:17" ht="14.65" thickBot="1" x14ac:dyDescent="0.5">
      <c r="A71" s="9" t="str">
        <v>WX335</v>
      </c>
      <c r="B71" t="s">
        <v>297</v>
      </c>
      <c r="C71" t="s">
        <v>401</v>
      </c>
      <c r="D71" s="48">
        <f>INDEX('[4]Outputs for Area 3 RAB'!$H$6:$J$10,MATCH($C71,'[4]Outputs for Area 3 RAB'!$B$6:$B$10,0),MATCH(D$47,'[4]Outputs for Area 3 RAB'!$H$5:$J$5,0))</f>
        <v>0.77500000000000002</v>
      </c>
      <c r="E71" s="48">
        <f>INDEX('[4]Outputs for Area 3 RAB'!$H$6:$J$10,MATCH($C71,'[4]Outputs for Area 3 RAB'!$B$6:$B$10,0),MATCH(E$47,'[4]Outputs for Area 3 RAB'!$H$5:$J$5,0))</f>
        <v>0.8075</v>
      </c>
      <c r="F71" s="48">
        <f>INDEX('[4]Outputs for Area 3 RAB'!$H$6:$J$10,MATCH($C71,'[4]Outputs for Area 3 RAB'!$B$6:$B$10,0),MATCH(F$47,'[4]Outputs for Area 3 RAB'!$H$5:$J$5,0))</f>
        <v>0.75249999999999995</v>
      </c>
      <c r="H71" s="9" t="str">
        <v>WX335</v>
      </c>
      <c r="I71" t="s">
        <v>297</v>
      </c>
      <c r="J71" s="181">
        <f>INDEX([4]StartPrices!$Y$10:$Y$609,MATCH($H71,[4]StartPrices!$B$10:$B$609,0))</f>
        <v>112.39692291450467</v>
      </c>
      <c r="L71" s="21"/>
      <c r="M71" s="12"/>
      <c r="N71" s="12"/>
      <c r="O71" s="12"/>
      <c r="P71" s="12"/>
      <c r="Q71" s="26"/>
    </row>
    <row r="72" spans="1:17" ht="14.65" thickBot="1" x14ac:dyDescent="0.5">
      <c r="A72" s="9" t="str">
        <v>WN348</v>
      </c>
      <c r="B72" t="s">
        <v>298</v>
      </c>
      <c r="C72" t="s">
        <v>400</v>
      </c>
      <c r="D72" s="48">
        <f>INDEX('[4]Outputs for Area 3 RAB'!$H$6:$J$10,MATCH($C72,'[4]Outputs for Area 3 RAB'!$B$6:$B$10,0),MATCH(D$47,'[4]Outputs for Area 3 RAB'!$H$5:$J$5,0))</f>
        <v>6.5000000000000002E-2</v>
      </c>
      <c r="E72" s="48">
        <f>INDEX('[4]Outputs for Area 3 RAB'!$H$6:$J$10,MATCH($C72,'[4]Outputs for Area 3 RAB'!$B$6:$B$10,0),MATCH(E$47,'[4]Outputs for Area 3 RAB'!$H$5:$J$5,0))</f>
        <v>0.08</v>
      </c>
      <c r="F72" s="48">
        <f>INDEX('[4]Outputs for Area 3 RAB'!$H$6:$J$10,MATCH($C72,'[4]Outputs for Area 3 RAB'!$B$6:$B$10,0),MATCH(F$47,'[4]Outputs for Area 3 RAB'!$H$5:$J$5,0))</f>
        <v>5.2499999999999998E-2</v>
      </c>
      <c r="H72" s="9" t="str">
        <v>WN348</v>
      </c>
      <c r="I72" t="s">
        <v>298</v>
      </c>
      <c r="J72" s="181">
        <f>INDEX([4]StartPrices!$Y$10:$Y$609,MATCH($H72,[4]StartPrices!$B$10:$B$609,0))</f>
        <v>209.80383408575128</v>
      </c>
      <c r="L72" s="21"/>
      <c r="M72" s="12"/>
      <c r="N72" s="12"/>
      <c r="O72" s="12"/>
      <c r="P72" s="12"/>
      <c r="Q72" s="26"/>
    </row>
    <row r="73" spans="1:17" ht="14.65" thickBot="1" x14ac:dyDescent="0.5">
      <c r="A73" s="9" t="str">
        <v>WN350</v>
      </c>
      <c r="B73" t="s">
        <v>300</v>
      </c>
      <c r="C73" t="s">
        <v>400</v>
      </c>
      <c r="D73" s="48">
        <f>INDEX('[4]Outputs for Area 3 RAB'!$H$6:$J$10,MATCH($C73,'[4]Outputs for Area 3 RAB'!$B$6:$B$10,0),MATCH(D$47,'[4]Outputs for Area 3 RAB'!$H$5:$J$5,0))</f>
        <v>6.5000000000000002E-2</v>
      </c>
      <c r="E73" s="48">
        <f>INDEX('[4]Outputs for Area 3 RAB'!$H$6:$J$10,MATCH($C73,'[4]Outputs for Area 3 RAB'!$B$6:$B$10,0),MATCH(E$47,'[4]Outputs for Area 3 RAB'!$H$5:$J$5,0))</f>
        <v>0.08</v>
      </c>
      <c r="F73" s="48">
        <f>INDEX('[4]Outputs for Area 3 RAB'!$H$6:$J$10,MATCH($C73,'[4]Outputs for Area 3 RAB'!$B$6:$B$10,0),MATCH(F$47,'[4]Outputs for Area 3 RAB'!$H$5:$J$5,0))</f>
        <v>5.2499999999999998E-2</v>
      </c>
      <c r="H73" s="9" t="str">
        <v>WN350</v>
      </c>
      <c r="I73" t="s">
        <v>300</v>
      </c>
      <c r="J73" s="181">
        <f>INDEX([4]StartPrices!$Y$10:$Y$609,MATCH($H73,[4]StartPrices!$B$10:$B$609,0))</f>
        <v>220.64503346601316</v>
      </c>
      <c r="L73" s="21"/>
      <c r="M73" s="12"/>
      <c r="N73" s="12"/>
      <c r="O73" s="12"/>
      <c r="P73" s="12"/>
      <c r="Q73" s="26"/>
    </row>
    <row r="74" spans="1:17" ht="14.65" thickBot="1" x14ac:dyDescent="0.5">
      <c r="A74" s="9" t="str">
        <v>WX349</v>
      </c>
      <c r="B74" t="s">
        <v>301</v>
      </c>
      <c r="C74" t="s">
        <v>400</v>
      </c>
      <c r="D74" s="48">
        <f>INDEX('[4]Outputs for Area 3 RAB'!$H$6:$J$10,MATCH($C74,'[4]Outputs for Area 3 RAB'!$B$6:$B$10,0),MATCH(D$47,'[4]Outputs for Area 3 RAB'!$H$5:$J$5,0))</f>
        <v>6.5000000000000002E-2</v>
      </c>
      <c r="E74" s="48">
        <f>INDEX('[4]Outputs for Area 3 RAB'!$H$6:$J$10,MATCH($C74,'[4]Outputs for Area 3 RAB'!$B$6:$B$10,0),MATCH(E$47,'[4]Outputs for Area 3 RAB'!$H$5:$J$5,0))</f>
        <v>0.08</v>
      </c>
      <c r="F74" s="48">
        <f>INDEX('[4]Outputs for Area 3 RAB'!$H$6:$J$10,MATCH($C74,'[4]Outputs for Area 3 RAB'!$B$6:$B$10,0),MATCH(F$47,'[4]Outputs for Area 3 RAB'!$H$5:$J$5,0))</f>
        <v>5.2499999999999998E-2</v>
      </c>
      <c r="H74" s="9" t="str">
        <v>WX349</v>
      </c>
      <c r="I74" t="s">
        <v>301</v>
      </c>
      <c r="J74" s="181">
        <f>INDEX([4]StartPrices!$Y$10:$Y$609,MATCH($H74,[4]StartPrices!$B$10:$B$609,0))</f>
        <v>176.58805191581328</v>
      </c>
      <c r="L74" s="21"/>
      <c r="M74" s="12"/>
      <c r="N74" s="12"/>
      <c r="O74" s="12"/>
      <c r="P74" s="12"/>
      <c r="Q74" s="26"/>
    </row>
    <row r="75" spans="1:17" ht="14.65" thickBot="1" x14ac:dyDescent="0.5">
      <c r="A75" s="9" t="str">
        <v>WX351</v>
      </c>
      <c r="B75" t="s">
        <v>302</v>
      </c>
      <c r="C75" t="s">
        <v>400</v>
      </c>
      <c r="D75" s="48">
        <f>INDEX('[4]Outputs for Area 3 RAB'!$H$6:$J$10,MATCH($C75,'[4]Outputs for Area 3 RAB'!$B$6:$B$10,0),MATCH(D$47,'[4]Outputs for Area 3 RAB'!$H$5:$J$5,0))</f>
        <v>6.5000000000000002E-2</v>
      </c>
      <c r="E75" s="48">
        <f>INDEX('[4]Outputs for Area 3 RAB'!$H$6:$J$10,MATCH($C75,'[4]Outputs for Area 3 RAB'!$B$6:$B$10,0),MATCH(E$47,'[4]Outputs for Area 3 RAB'!$H$5:$J$5,0))</f>
        <v>0.08</v>
      </c>
      <c r="F75" s="48">
        <f>INDEX('[4]Outputs for Area 3 RAB'!$H$6:$J$10,MATCH($C75,'[4]Outputs for Area 3 RAB'!$B$6:$B$10,0),MATCH(F$47,'[4]Outputs for Area 3 RAB'!$H$5:$J$5,0))</f>
        <v>5.2499999999999998E-2</v>
      </c>
      <c r="H75" s="9" t="str">
        <v>WX351</v>
      </c>
      <c r="I75" t="s">
        <v>302</v>
      </c>
      <c r="J75" s="181">
        <f>INDEX([4]StartPrices!$Y$10:$Y$609,MATCH($H75,[4]StartPrices!$B$10:$B$609,0))</f>
        <v>234.80405909790278</v>
      </c>
      <c r="L75" s="21"/>
      <c r="M75" s="12"/>
      <c r="N75" s="12"/>
      <c r="O75" s="12"/>
      <c r="P75" s="12"/>
      <c r="Q75" s="26"/>
    </row>
    <row r="76" spans="1:17" ht="14.65" thickBot="1" x14ac:dyDescent="0.5">
      <c r="A76" s="9" t="str">
        <v>WX355</v>
      </c>
      <c r="B76" t="s">
        <v>303</v>
      </c>
      <c r="C76" t="s">
        <v>401</v>
      </c>
      <c r="D76" s="48">
        <f>INDEX('[4]Outputs for Area 3 RAB'!$H$6:$J$10,MATCH($C76,'[4]Outputs for Area 3 RAB'!$B$6:$B$10,0),MATCH(D$47,'[4]Outputs for Area 3 RAB'!$H$5:$J$5,0))</f>
        <v>0.77500000000000002</v>
      </c>
      <c r="E76" s="48">
        <f>INDEX('[4]Outputs for Area 3 RAB'!$H$6:$J$10,MATCH($C76,'[4]Outputs for Area 3 RAB'!$B$6:$B$10,0),MATCH(E$47,'[4]Outputs for Area 3 RAB'!$H$5:$J$5,0))</f>
        <v>0.8075</v>
      </c>
      <c r="F76" s="48">
        <f>INDEX('[4]Outputs for Area 3 RAB'!$H$6:$J$10,MATCH($C76,'[4]Outputs for Area 3 RAB'!$B$6:$B$10,0),MATCH(F$47,'[4]Outputs for Area 3 RAB'!$H$5:$J$5,0))</f>
        <v>0.75249999999999995</v>
      </c>
      <c r="H76" s="9" t="str">
        <v>WX355</v>
      </c>
      <c r="I76" t="s">
        <v>303</v>
      </c>
      <c r="J76" s="181">
        <f>INDEX([4]StartPrices!$Y$10:$Y$609,MATCH($H76,[4]StartPrices!$B$10:$B$609,0))</f>
        <v>48.288224428923911</v>
      </c>
      <c r="L76" s="21"/>
      <c r="M76" s="12"/>
      <c r="N76" s="12"/>
      <c r="O76" s="12"/>
      <c r="P76" s="12"/>
      <c r="Q76" s="26"/>
    </row>
    <row r="77" spans="1:17" ht="14.65" thickBot="1" x14ac:dyDescent="0.5">
      <c r="A77" s="9" t="str">
        <v>WN354</v>
      </c>
      <c r="B77" t="s">
        <v>304</v>
      </c>
      <c r="C77" t="s">
        <v>401</v>
      </c>
      <c r="D77" s="48">
        <f>INDEX('[4]Outputs for Area 3 RAB'!$H$6:$J$10,MATCH($C77,'[4]Outputs for Area 3 RAB'!$B$6:$B$10,0),MATCH(D$47,'[4]Outputs for Area 3 RAB'!$H$5:$J$5,0))</f>
        <v>0.77500000000000002</v>
      </c>
      <c r="E77" s="48">
        <f>INDEX('[4]Outputs for Area 3 RAB'!$H$6:$J$10,MATCH($C77,'[4]Outputs for Area 3 RAB'!$B$6:$B$10,0),MATCH(E$47,'[4]Outputs for Area 3 RAB'!$H$5:$J$5,0))</f>
        <v>0.8075</v>
      </c>
      <c r="F77" s="48">
        <f>INDEX('[4]Outputs for Area 3 RAB'!$H$6:$J$10,MATCH($C77,'[4]Outputs for Area 3 RAB'!$B$6:$B$10,0),MATCH(F$47,'[4]Outputs for Area 3 RAB'!$H$5:$J$5,0))</f>
        <v>0.75249999999999995</v>
      </c>
      <c r="H77" s="9" t="str">
        <v>WN354</v>
      </c>
      <c r="I77" t="s">
        <v>304</v>
      </c>
      <c r="J77" s="181">
        <f>INDEX([4]StartPrices!$Y$10:$Y$609,MATCH($H77,[4]StartPrices!$B$10:$B$609,0))</f>
        <v>53.605404041605752</v>
      </c>
      <c r="L77" s="21"/>
      <c r="M77" s="12"/>
      <c r="N77" s="12"/>
      <c r="O77" s="12"/>
      <c r="P77" s="12"/>
      <c r="Q77" s="26"/>
    </row>
    <row r="78" spans="1:17" ht="14.65" thickBot="1" x14ac:dyDescent="0.5">
      <c r="A78" s="9" t="str">
        <v>WN158</v>
      </c>
      <c r="B78" t="s">
        <v>305</v>
      </c>
      <c r="C78" t="s">
        <v>398</v>
      </c>
      <c r="D78" s="48">
        <f>INDEX('[4]Outputs for Area 3 RAB'!$H$6:$J$10,MATCH($C78,'[4]Outputs for Area 3 RAB'!$B$6:$B$10,0),MATCH(D$47,'[4]Outputs for Area 3 RAB'!$H$5:$J$5,0))</f>
        <v>-0.02</v>
      </c>
      <c r="E78" s="48">
        <f>INDEX('[4]Outputs for Area 3 RAB'!$H$6:$J$10,MATCH($C78,'[4]Outputs for Area 3 RAB'!$B$6:$B$10,0),MATCH(E$47,'[4]Outputs for Area 3 RAB'!$H$5:$J$5,0))</f>
        <v>1.2500000000000001E-2</v>
      </c>
      <c r="F78" s="48">
        <f>INDEX('[4]Outputs for Area 3 RAB'!$H$6:$J$10,MATCH($C78,'[4]Outputs for Area 3 RAB'!$B$6:$B$10,0),MATCH(F$47,'[4]Outputs for Area 3 RAB'!$H$5:$J$5,0))</f>
        <v>-4.4999999999999998E-2</v>
      </c>
      <c r="H78" s="9" t="str">
        <v>WN158</v>
      </c>
      <c r="I78" t="s">
        <v>305</v>
      </c>
      <c r="J78" s="181">
        <f>INDEX([4]StartPrices!$Y$10:$Y$609,MATCH($H78,[4]StartPrices!$B$10:$B$609,0))</f>
        <v>8.1915891862328358</v>
      </c>
      <c r="L78" s="21"/>
      <c r="M78" s="12"/>
      <c r="N78" s="12"/>
      <c r="O78" s="12"/>
      <c r="P78" s="12"/>
      <c r="Q78" s="26"/>
    </row>
    <row r="79" spans="1:17" ht="14.65" thickBot="1" x14ac:dyDescent="0.5">
      <c r="A79" s="9" t="str">
        <v>WX135</v>
      </c>
      <c r="B79" t="s">
        <v>306</v>
      </c>
      <c r="C79" t="s">
        <v>398</v>
      </c>
      <c r="D79" s="48">
        <f>INDEX('[4]Outputs for Area 3 RAB'!$H$6:$J$10,MATCH($C79,'[4]Outputs for Area 3 RAB'!$B$6:$B$10,0),MATCH(D$47,'[4]Outputs for Area 3 RAB'!$H$5:$J$5,0))</f>
        <v>-0.02</v>
      </c>
      <c r="E79" s="48">
        <f>INDEX('[4]Outputs for Area 3 RAB'!$H$6:$J$10,MATCH($C79,'[4]Outputs for Area 3 RAB'!$B$6:$B$10,0),MATCH(E$47,'[4]Outputs for Area 3 RAB'!$H$5:$J$5,0))</f>
        <v>1.2500000000000001E-2</v>
      </c>
      <c r="F79" s="48">
        <f>INDEX('[4]Outputs for Area 3 RAB'!$H$6:$J$10,MATCH($C79,'[4]Outputs for Area 3 RAB'!$B$6:$B$10,0),MATCH(F$47,'[4]Outputs for Area 3 RAB'!$H$5:$J$5,0))</f>
        <v>-4.4999999999999998E-2</v>
      </c>
      <c r="H79" s="9" t="str">
        <v>WX135</v>
      </c>
      <c r="I79" t="s">
        <v>306</v>
      </c>
      <c r="J79" s="181">
        <f>INDEX([4]StartPrices!$Y$10:$Y$609,MATCH($H79,[4]StartPrices!$B$10:$B$609,0))</f>
        <v>7.4645364398022611</v>
      </c>
      <c r="L79" s="21"/>
      <c r="M79" s="12"/>
      <c r="N79" s="12"/>
      <c r="O79" s="12"/>
      <c r="P79" s="12"/>
      <c r="Q79" s="26"/>
    </row>
    <row r="80" spans="1:17" ht="14.65" thickBot="1" x14ac:dyDescent="0.5">
      <c r="A80" s="9" t="str">
        <v>WN138</v>
      </c>
      <c r="B80" t="s">
        <v>307</v>
      </c>
      <c r="C80" t="s">
        <v>399</v>
      </c>
      <c r="D80" s="48">
        <f>INDEX('[4]Outputs for Area 3 RAB'!$H$6:$J$10,MATCH($C80,'[4]Outputs for Area 3 RAB'!$B$6:$B$10,0),MATCH(D$47,'[4]Outputs for Area 3 RAB'!$H$5:$J$5,0))</f>
        <v>0.1825</v>
      </c>
      <c r="E80" s="48">
        <f>INDEX('[4]Outputs for Area 3 RAB'!$H$6:$J$10,MATCH($C80,'[4]Outputs for Area 3 RAB'!$B$6:$B$10,0),MATCH(E$47,'[4]Outputs for Area 3 RAB'!$H$5:$J$5,0))</f>
        <v>0.22</v>
      </c>
      <c r="F80" s="48">
        <f>INDEX('[4]Outputs for Area 3 RAB'!$H$6:$J$10,MATCH($C80,'[4]Outputs for Area 3 RAB'!$B$6:$B$10,0),MATCH(F$47,'[4]Outputs for Area 3 RAB'!$H$5:$J$5,0))</f>
        <v>0.16250000000000001</v>
      </c>
      <c r="H80" s="9" t="str">
        <v>WN138</v>
      </c>
      <c r="I80" t="s">
        <v>307</v>
      </c>
      <c r="J80" s="181">
        <f>INDEX([4]StartPrices!$Y$10:$Y$609,MATCH($H80,[4]StartPrices!$B$10:$B$609,0))</f>
        <v>36.903122828170901</v>
      </c>
      <c r="L80" s="21"/>
      <c r="M80" s="12"/>
      <c r="N80" s="12"/>
      <c r="O80" s="12"/>
      <c r="P80" s="12"/>
      <c r="Q80" s="26"/>
    </row>
    <row r="81" spans="1:35" ht="14.65" thickBot="1" x14ac:dyDescent="0.5">
      <c r="A81" s="9" t="str">
        <v>WX134</v>
      </c>
      <c r="B81" t="s">
        <v>308</v>
      </c>
      <c r="C81" t="s">
        <v>399</v>
      </c>
      <c r="D81" s="48">
        <f>INDEX('[4]Outputs for Area 3 RAB'!$H$6:$J$10,MATCH($C81,'[4]Outputs for Area 3 RAB'!$B$6:$B$10,0),MATCH(D$47,'[4]Outputs for Area 3 RAB'!$H$5:$J$5,0))</f>
        <v>0.1825</v>
      </c>
      <c r="E81" s="48">
        <f>INDEX('[4]Outputs for Area 3 RAB'!$H$6:$J$10,MATCH($C81,'[4]Outputs for Area 3 RAB'!$B$6:$B$10,0),MATCH(E$47,'[4]Outputs for Area 3 RAB'!$H$5:$J$5,0))</f>
        <v>0.22</v>
      </c>
      <c r="F81" s="48">
        <f>INDEX('[4]Outputs for Area 3 RAB'!$H$6:$J$10,MATCH($C81,'[4]Outputs for Area 3 RAB'!$B$6:$B$10,0),MATCH(F$47,'[4]Outputs for Area 3 RAB'!$H$5:$J$5,0))</f>
        <v>0.16250000000000001</v>
      </c>
      <c r="H81" s="9" t="str">
        <v>WX134</v>
      </c>
      <c r="I81" t="s">
        <v>308</v>
      </c>
      <c r="J81" s="181">
        <f>INDEX([4]StartPrices!$Y$10:$Y$609,MATCH($H81,[4]StartPrices!$B$10:$B$609,0))</f>
        <v>33.780700386211755</v>
      </c>
      <c r="L81" s="21"/>
      <c r="M81" s="12"/>
      <c r="N81" s="12"/>
      <c r="O81" s="12"/>
      <c r="P81" s="12"/>
      <c r="Q81" s="26"/>
    </row>
    <row r="82" spans="1:35" ht="14.65" thickBot="1" x14ac:dyDescent="0.5">
      <c r="A82" s="9" t="str">
        <v>SL121</v>
      </c>
      <c r="B82" t="s">
        <v>309</v>
      </c>
      <c r="C82" t="s">
        <v>402</v>
      </c>
      <c r="D82" s="48">
        <f>INDEX('[4]Outputs for Area 3 RAB'!$H$6:$J$10,MATCH($C82,'[4]Outputs for Area 3 RAB'!$B$6:$B$10,0),MATCH(D$47,'[4]Outputs for Area 3 RAB'!$H$5:$J$5,0))</f>
        <v>-0.1075</v>
      </c>
      <c r="E82" s="48">
        <f>INDEX('[4]Outputs for Area 3 RAB'!$H$6:$J$10,MATCH($C82,'[4]Outputs for Area 3 RAB'!$B$6:$B$10,0),MATCH(E$47,'[4]Outputs for Area 3 RAB'!$H$5:$J$5,0))</f>
        <v>-7.7499999999999999E-2</v>
      </c>
      <c r="F82" s="48">
        <f>INDEX('[4]Outputs for Area 3 RAB'!$H$6:$J$10,MATCH($C82,'[4]Outputs for Area 3 RAB'!$B$6:$B$10,0),MATCH(F$47,'[4]Outputs for Area 3 RAB'!$H$5:$J$5,0))</f>
        <v>-0.13</v>
      </c>
      <c r="H82" s="9" t="str">
        <v>SL121</v>
      </c>
      <c r="I82" t="s">
        <v>309</v>
      </c>
      <c r="J82" s="181">
        <f>INDEX([4]StartPrices!$Y$10:$Y$609,MATCH($H82,[4]StartPrices!$B$10:$B$609,0))</f>
        <v>177.02226088708801</v>
      </c>
      <c r="L82" s="21"/>
      <c r="M82" s="12"/>
      <c r="N82" s="12"/>
      <c r="O82" s="12"/>
      <c r="P82" s="12"/>
      <c r="Q82" s="26"/>
    </row>
    <row r="83" spans="1:35" ht="14.65" thickBot="1" x14ac:dyDescent="0.5">
      <c r="A83" s="9" t="str">
        <v>SL122</v>
      </c>
      <c r="B83" t="s">
        <v>310</v>
      </c>
      <c r="C83" t="s">
        <v>402</v>
      </c>
      <c r="D83" s="48">
        <f>INDEX('[4]Outputs for Area 3 RAB'!$H$6:$J$10,MATCH($C83,'[4]Outputs for Area 3 RAB'!$B$6:$B$10,0),MATCH(D$47,'[4]Outputs for Area 3 RAB'!$H$5:$J$5,0))</f>
        <v>-0.1075</v>
      </c>
      <c r="E83" s="48">
        <f>INDEX('[4]Outputs for Area 3 RAB'!$H$6:$J$10,MATCH($C83,'[4]Outputs for Area 3 RAB'!$B$6:$B$10,0),MATCH(E$47,'[4]Outputs for Area 3 RAB'!$H$5:$J$5,0))</f>
        <v>-7.7499999999999999E-2</v>
      </c>
      <c r="F83" s="48">
        <f>INDEX('[4]Outputs for Area 3 RAB'!$H$6:$J$10,MATCH($C83,'[4]Outputs for Area 3 RAB'!$B$6:$B$10,0),MATCH(F$47,'[4]Outputs for Area 3 RAB'!$H$5:$J$5,0))</f>
        <v>-0.13</v>
      </c>
      <c r="H83" s="9" t="str">
        <v>SL122</v>
      </c>
      <c r="I83" t="s">
        <v>310</v>
      </c>
      <c r="J83" s="181">
        <f>INDEX([4]StartPrices!$Y$10:$Y$609,MATCH($H83,[4]StartPrices!$B$10:$B$609,0))</f>
        <v>108.86685334062551</v>
      </c>
      <c r="L83" s="21"/>
      <c r="M83" s="12"/>
      <c r="N83" s="12"/>
      <c r="O83" s="12"/>
      <c r="P83" s="12"/>
      <c r="Q83" s="26"/>
    </row>
    <row r="84" spans="1:35" ht="14.65" thickBot="1" x14ac:dyDescent="0.5">
      <c r="A84" s="9" t="str">
        <v>SL150</v>
      </c>
      <c r="B84" t="s">
        <v>311</v>
      </c>
      <c r="C84" t="s">
        <v>402</v>
      </c>
      <c r="D84" s="48">
        <f>INDEX('[4]Outputs for Area 3 RAB'!$H$6:$J$10,MATCH($C84,'[4]Outputs for Area 3 RAB'!$B$6:$B$10,0),MATCH(D$47,'[4]Outputs for Area 3 RAB'!$H$5:$J$5,0))</f>
        <v>-0.1075</v>
      </c>
      <c r="E84" s="48">
        <f>INDEX('[4]Outputs for Area 3 RAB'!$H$6:$J$10,MATCH($C84,'[4]Outputs for Area 3 RAB'!$B$6:$B$10,0),MATCH(E$47,'[4]Outputs for Area 3 RAB'!$H$5:$J$5,0))</f>
        <v>-7.7499999999999999E-2</v>
      </c>
      <c r="F84" s="48">
        <f>INDEX('[4]Outputs for Area 3 RAB'!$H$6:$J$10,MATCH($C84,'[4]Outputs for Area 3 RAB'!$B$6:$B$10,0),MATCH(F$47,'[4]Outputs for Area 3 RAB'!$H$5:$J$5,0))</f>
        <v>-0.13</v>
      </c>
      <c r="H84" s="9" t="str">
        <v>SL150</v>
      </c>
      <c r="I84" t="s">
        <v>311</v>
      </c>
      <c r="J84" s="181">
        <f>INDEX([4]StartPrices!$Y$10:$Y$609,MATCH($H84,[4]StartPrices!$B$10:$B$609,0))</f>
        <v>175.44301879380498</v>
      </c>
      <c r="L84" s="21"/>
      <c r="M84" s="12"/>
      <c r="N84" s="12"/>
      <c r="O84" s="12"/>
      <c r="P84" s="12"/>
      <c r="Q84" s="26"/>
    </row>
    <row r="85" spans="1:35" ht="14.65" thickBot="1" x14ac:dyDescent="0.5">
      <c r="A85" s="9" t="str">
        <v>SL151</v>
      </c>
      <c r="B85" t="s">
        <v>312</v>
      </c>
      <c r="C85" t="s">
        <v>402</v>
      </c>
      <c r="D85" s="48">
        <f>INDEX('[4]Outputs for Area 3 RAB'!$H$6:$J$10,MATCH($C85,'[4]Outputs for Area 3 RAB'!$B$6:$B$10,0),MATCH(D$47,'[4]Outputs for Area 3 RAB'!$H$5:$J$5,0))</f>
        <v>-0.1075</v>
      </c>
      <c r="E85" s="48">
        <f>INDEX('[4]Outputs for Area 3 RAB'!$H$6:$J$10,MATCH($C85,'[4]Outputs for Area 3 RAB'!$B$6:$B$10,0),MATCH(E$47,'[4]Outputs for Area 3 RAB'!$H$5:$J$5,0))</f>
        <v>-7.7499999999999999E-2</v>
      </c>
      <c r="F85" s="48">
        <f>INDEX('[4]Outputs for Area 3 RAB'!$H$6:$J$10,MATCH($C85,'[4]Outputs for Area 3 RAB'!$B$6:$B$10,0),MATCH(F$47,'[4]Outputs for Area 3 RAB'!$H$5:$J$5,0))</f>
        <v>-0.13</v>
      </c>
      <c r="H85" s="9" t="str">
        <v>SL151</v>
      </c>
      <c r="I85" t="s">
        <v>312</v>
      </c>
      <c r="J85" s="181">
        <f>INDEX([4]StartPrices!$Y$10:$Y$609,MATCH($H85,[4]StartPrices!$B$10:$B$609,0))</f>
        <v>148.86055769458213</v>
      </c>
      <c r="L85" s="21"/>
      <c r="M85" s="12"/>
      <c r="N85" s="12"/>
      <c r="O85" s="12"/>
      <c r="P85" s="12"/>
      <c r="Q85" s="26"/>
    </row>
    <row r="86" spans="1:35" ht="14.65" thickBot="1" x14ac:dyDescent="0.5">
      <c r="A86" s="9" t="str">
        <v>SL111</v>
      </c>
      <c r="B86" t="s">
        <v>313</v>
      </c>
      <c r="C86" t="s">
        <v>402</v>
      </c>
      <c r="D86" s="48">
        <f>INDEX('[4]Outputs for Area 3 RAB'!$H$6:$J$10,MATCH($C86,'[4]Outputs for Area 3 RAB'!$B$6:$B$10,0),MATCH(D$47,'[4]Outputs for Area 3 RAB'!$H$5:$J$5,0))</f>
        <v>-0.1075</v>
      </c>
      <c r="E86" s="48">
        <f>INDEX('[4]Outputs for Area 3 RAB'!$H$6:$J$10,MATCH($C86,'[4]Outputs for Area 3 RAB'!$B$6:$B$10,0),MATCH(E$47,'[4]Outputs for Area 3 RAB'!$H$5:$J$5,0))</f>
        <v>-7.7499999999999999E-2</v>
      </c>
      <c r="F86" s="48">
        <f>INDEX('[4]Outputs for Area 3 RAB'!$H$6:$J$10,MATCH($C86,'[4]Outputs for Area 3 RAB'!$B$6:$B$10,0),MATCH(F$47,'[4]Outputs for Area 3 RAB'!$H$5:$J$5,0))</f>
        <v>-0.13</v>
      </c>
      <c r="H86" s="9" t="str">
        <v>SL111</v>
      </c>
      <c r="I86" t="s">
        <v>313</v>
      </c>
      <c r="J86" s="181">
        <f>INDEX([4]StartPrices!$Y$10:$Y$609,MATCH($H86,[4]StartPrices!$B$10:$B$609,0))</f>
        <v>107.08785148909189</v>
      </c>
      <c r="L86" s="21"/>
      <c r="M86" s="12"/>
      <c r="N86" s="12"/>
      <c r="O86" s="12"/>
      <c r="P86" s="12"/>
      <c r="Q86" s="26"/>
    </row>
    <row r="87" spans="1:35" ht="14.65" thickBot="1" x14ac:dyDescent="0.5">
      <c r="A87" s="9" t="str">
        <v>SL112</v>
      </c>
      <c r="B87" t="s">
        <v>314</v>
      </c>
      <c r="C87" t="s">
        <v>402</v>
      </c>
      <c r="D87" s="48">
        <f>INDEX('[4]Outputs for Area 3 RAB'!$H$6:$J$10,MATCH($C87,'[4]Outputs for Area 3 RAB'!$B$6:$B$10,0),MATCH(D$47,'[4]Outputs for Area 3 RAB'!$H$5:$J$5,0))</f>
        <v>-0.1075</v>
      </c>
      <c r="E87" s="48">
        <f>INDEX('[4]Outputs for Area 3 RAB'!$H$6:$J$10,MATCH($C87,'[4]Outputs for Area 3 RAB'!$B$6:$B$10,0),MATCH(E$47,'[4]Outputs for Area 3 RAB'!$H$5:$J$5,0))</f>
        <v>-7.7499999999999999E-2</v>
      </c>
      <c r="F87" s="48">
        <f>INDEX('[4]Outputs for Area 3 RAB'!$H$6:$J$10,MATCH($C87,'[4]Outputs for Area 3 RAB'!$B$6:$B$10,0),MATCH(F$47,'[4]Outputs for Area 3 RAB'!$H$5:$J$5,0))</f>
        <v>-0.13</v>
      </c>
      <c r="H87" s="9" t="str">
        <v>SL112</v>
      </c>
      <c r="I87" t="s">
        <v>314</v>
      </c>
      <c r="J87" s="181">
        <f>INDEX([4]StartPrices!$Y$10:$Y$609,MATCH($H87,[4]StartPrices!$B$10:$B$609,0))</f>
        <v>29.702573594346283</v>
      </c>
      <c r="L87" s="21"/>
      <c r="M87" s="12"/>
      <c r="N87" s="12"/>
      <c r="O87" s="12"/>
      <c r="P87" s="12"/>
      <c r="Q87" s="26"/>
    </row>
    <row r="88" spans="1:35" ht="14.65" thickBot="1" x14ac:dyDescent="0.5">
      <c r="A88" s="9" t="str">
        <v>SL140</v>
      </c>
      <c r="B88" t="s">
        <v>315</v>
      </c>
      <c r="C88" t="s">
        <v>402</v>
      </c>
      <c r="D88" s="48">
        <f>INDEX('[4]Outputs for Area 3 RAB'!$H$6:$J$10,MATCH($C88,'[4]Outputs for Area 3 RAB'!$B$6:$B$10,0),MATCH(D$47,'[4]Outputs for Area 3 RAB'!$H$5:$J$5,0))</f>
        <v>-0.1075</v>
      </c>
      <c r="E88" s="48">
        <f>INDEX('[4]Outputs for Area 3 RAB'!$H$6:$J$10,MATCH($C88,'[4]Outputs for Area 3 RAB'!$B$6:$B$10,0),MATCH(E$47,'[4]Outputs for Area 3 RAB'!$H$5:$J$5,0))</f>
        <v>-7.7499999999999999E-2</v>
      </c>
      <c r="F88" s="48">
        <f>INDEX('[4]Outputs for Area 3 RAB'!$H$6:$J$10,MATCH($C88,'[4]Outputs for Area 3 RAB'!$B$6:$B$10,0),MATCH(F$47,'[4]Outputs for Area 3 RAB'!$H$5:$J$5,0))</f>
        <v>-0.13</v>
      </c>
      <c r="H88" s="9" t="str">
        <v>SL140</v>
      </c>
      <c r="I88" t="s">
        <v>315</v>
      </c>
      <c r="J88" s="181">
        <f>INDEX([4]StartPrices!$Y$10:$Y$609,MATCH($H88,[4]StartPrices!$B$10:$B$609,0))</f>
        <v>44.266012163056857</v>
      </c>
      <c r="L88" s="21"/>
      <c r="M88" s="12"/>
      <c r="N88" s="12"/>
      <c r="O88" s="12"/>
      <c r="P88" s="12"/>
      <c r="Q88" s="26"/>
    </row>
    <row r="89" spans="1:35" ht="15.75" x14ac:dyDescent="0.5">
      <c r="A89" s="9" t="str">
        <v>SL144</v>
      </c>
      <c r="B89" t="s">
        <v>316</v>
      </c>
      <c r="C89" t="s">
        <v>402</v>
      </c>
      <c r="D89" s="48">
        <f>INDEX('[4]Outputs for Area 3 RAB'!$H$6:$J$10,MATCH($C89,'[4]Outputs for Area 3 RAB'!$B$6:$B$10,0),MATCH(D$47,'[4]Outputs for Area 3 RAB'!$H$5:$J$5,0))</f>
        <v>-0.1075</v>
      </c>
      <c r="E89" s="48">
        <f>INDEX('[4]Outputs for Area 3 RAB'!$H$6:$J$10,MATCH($C89,'[4]Outputs for Area 3 RAB'!$B$6:$B$10,0),MATCH(E$47,'[4]Outputs for Area 3 RAB'!$H$5:$J$5,0))</f>
        <v>-7.7499999999999999E-2</v>
      </c>
      <c r="F89" s="48">
        <f>INDEX('[4]Outputs for Area 3 RAB'!$H$6:$J$10,MATCH($C89,'[4]Outputs for Area 3 RAB'!$B$6:$B$10,0),MATCH(F$47,'[4]Outputs for Area 3 RAB'!$H$5:$J$5,0))</f>
        <v>-0.13</v>
      </c>
      <c r="H89" s="9" t="str">
        <v>SL144</v>
      </c>
      <c r="I89" t="s">
        <v>316</v>
      </c>
      <c r="J89" s="181">
        <f>INDEX([4]StartPrices!$Y$10:$Y$609,MATCH($H89,[4]StartPrices!$B$10:$B$609,0))</f>
        <v>81.194323027702026</v>
      </c>
      <c r="L89" s="21"/>
      <c r="M89" s="12"/>
      <c r="N89" s="12"/>
      <c r="O89" s="12"/>
      <c r="P89" s="12"/>
      <c r="Q89" s="26"/>
      <c r="S89" s="154" t="s">
        <v>405</v>
      </c>
    </row>
    <row r="91" spans="1:35" x14ac:dyDescent="0.45">
      <c r="C91" t="s">
        <v>320</v>
      </c>
      <c r="D91" t="s">
        <v>347</v>
      </c>
      <c r="E91" t="s">
        <v>350</v>
      </c>
      <c r="T91" t="s">
        <v>406</v>
      </c>
      <c r="U91" s="12">
        <v>4451699</v>
      </c>
    </row>
    <row r="92" spans="1:35" x14ac:dyDescent="0.45">
      <c r="A92" s="38" t="s">
        <v>407</v>
      </c>
      <c r="C92" s="114">
        <f>[4]Efficiency!$G$10</f>
        <v>0.04</v>
      </c>
      <c r="D92" s="48">
        <f>[4]Efficiency!$I$10</f>
        <v>0.02</v>
      </c>
      <c r="E92" s="114">
        <f>[4]Efficiency!$H$10</f>
        <v>0.05</v>
      </c>
      <c r="G92" s="8"/>
      <c r="T92" t="s">
        <v>408</v>
      </c>
      <c r="U92" s="12">
        <v>9232330</v>
      </c>
    </row>
    <row r="93" spans="1:35" x14ac:dyDescent="0.45">
      <c r="A93" s="38" t="s">
        <v>409</v>
      </c>
      <c r="B93" t="s">
        <v>410</v>
      </c>
      <c r="C93" s="48">
        <f>[4]WACC!C13</f>
        <v>7.4999999999999997E-2</v>
      </c>
      <c r="D93" s="48">
        <f>[4]WACC!D13</f>
        <v>8.4999999999999992E-2</v>
      </c>
      <c r="E93" s="48">
        <f>[4]WACC!E13</f>
        <v>6.5000000000000002E-2</v>
      </c>
      <c r="G93" s="8"/>
    </row>
    <row r="94" spans="1:35" x14ac:dyDescent="0.45">
      <c r="A94" s="9"/>
      <c r="B94" t="s">
        <v>270</v>
      </c>
      <c r="C94" s="48">
        <f>[4]WACC!C11</f>
        <v>7.9000000000000001E-2</v>
      </c>
      <c r="D94" s="48">
        <f>[4]WACC!D11</f>
        <v>8.8999999999999996E-2</v>
      </c>
      <c r="E94" s="48">
        <f>[4]WACC!E11</f>
        <v>6.9000000000000006E-2</v>
      </c>
      <c r="G94" s="8"/>
      <c r="T94" t="s">
        <v>133</v>
      </c>
      <c r="U94" s="92">
        <f>U91/U92</f>
        <v>0.48218586207382103</v>
      </c>
    </row>
    <row r="96" spans="1:35" x14ac:dyDescent="0.45">
      <c r="A96" s="23" t="s">
        <v>272</v>
      </c>
      <c r="B96" s="8"/>
      <c r="C96" s="15" t="s">
        <v>5</v>
      </c>
      <c r="D96" s="15" t="s">
        <v>6</v>
      </c>
      <c r="E96" s="16" t="s">
        <v>7</v>
      </c>
      <c r="F96" s="16" t="s">
        <v>8</v>
      </c>
      <c r="G96" s="15" t="s">
        <v>9</v>
      </c>
      <c r="H96" s="15" t="s">
        <v>10</v>
      </c>
      <c r="I96" s="15" t="s">
        <v>11</v>
      </c>
      <c r="J96" s="15" t="s">
        <v>12</v>
      </c>
      <c r="K96" s="15" t="s">
        <v>13</v>
      </c>
      <c r="L96" s="15" t="s">
        <v>14</v>
      </c>
      <c r="M96" s="15" t="s">
        <v>49</v>
      </c>
      <c r="N96" s="15" t="s">
        <v>50</v>
      </c>
      <c r="O96" s="15" t="s">
        <v>51</v>
      </c>
      <c r="P96" s="15" t="s">
        <v>52</v>
      </c>
      <c r="Q96" s="15" t="s">
        <v>53</v>
      </c>
      <c r="S96" s="23" t="s">
        <v>272</v>
      </c>
      <c r="T96" s="8"/>
      <c r="U96" s="15" t="s">
        <v>5</v>
      </c>
      <c r="V96" s="15" t="s">
        <v>6</v>
      </c>
      <c r="W96" s="16" t="s">
        <v>7</v>
      </c>
      <c r="X96" s="16" t="s">
        <v>8</v>
      </c>
      <c r="Y96" s="15" t="s">
        <v>9</v>
      </c>
      <c r="Z96" s="15" t="s">
        <v>10</v>
      </c>
      <c r="AA96" s="15" t="s">
        <v>11</v>
      </c>
      <c r="AB96" s="15" t="s">
        <v>12</v>
      </c>
      <c r="AC96" s="15" t="s">
        <v>13</v>
      </c>
      <c r="AD96" s="15" t="s">
        <v>14</v>
      </c>
      <c r="AE96" s="15" t="s">
        <v>49</v>
      </c>
      <c r="AF96" s="15" t="s">
        <v>50</v>
      </c>
      <c r="AG96" s="15" t="s">
        <v>51</v>
      </c>
      <c r="AH96" s="15" t="s">
        <v>52</v>
      </c>
      <c r="AI96" s="15" t="s">
        <v>53</v>
      </c>
    </row>
    <row r="97" spans="1:35" x14ac:dyDescent="0.45">
      <c r="C97" s="226" t="s">
        <v>458</v>
      </c>
      <c r="D97" s="227"/>
      <c r="E97" s="227"/>
      <c r="F97" s="227"/>
      <c r="G97" s="227"/>
      <c r="H97" s="227"/>
      <c r="I97" s="227"/>
      <c r="J97" s="227"/>
      <c r="K97" s="227"/>
      <c r="L97" s="227"/>
      <c r="M97" s="227"/>
      <c r="N97" s="227"/>
      <c r="O97" s="227"/>
      <c r="P97" s="227"/>
      <c r="Q97" s="227"/>
      <c r="S97" s="225"/>
      <c r="T97" s="225"/>
      <c r="U97" s="225"/>
      <c r="V97" s="225"/>
      <c r="W97" s="225"/>
      <c r="X97" s="225"/>
      <c r="Y97" s="225"/>
      <c r="Z97" s="225"/>
      <c r="AA97" s="225"/>
      <c r="AB97" s="225"/>
      <c r="AC97" s="225"/>
      <c r="AD97" s="225"/>
      <c r="AE97" s="225"/>
      <c r="AF97" s="225"/>
      <c r="AG97" s="225"/>
    </row>
    <row r="98" spans="1:35" x14ac:dyDescent="0.45">
      <c r="A98" s="9" t="str" cm="1">
        <f t="array" ref="A98:A137">TD_service_codes</f>
        <v>WN127</v>
      </c>
      <c r="B98" t="s">
        <v>274</v>
      </c>
      <c r="C98" s="98">
        <v>7967.3625678161361</v>
      </c>
      <c r="D98" s="98">
        <v>7457.9053779264814</v>
      </c>
      <c r="E98" s="98">
        <v>4709.7458087580098</v>
      </c>
      <c r="F98" s="98">
        <v>2132.292793605031</v>
      </c>
      <c r="G98" s="98">
        <v>1583.8614663116955</v>
      </c>
      <c r="H98" s="98">
        <v>848.52351475404328</v>
      </c>
      <c r="I98" s="98">
        <v>277.45686143935683</v>
      </c>
      <c r="J98" s="98">
        <v>192.72183984362792</v>
      </c>
      <c r="K98" s="98">
        <v>155.89258413243067</v>
      </c>
      <c r="L98" s="98">
        <v>128.86783790320865</v>
      </c>
      <c r="M98" s="98">
        <v>90.651697756157276</v>
      </c>
      <c r="N98" s="98">
        <v>93.785060083733441</v>
      </c>
      <c r="O98" s="98">
        <v>0</v>
      </c>
      <c r="P98" s="98">
        <v>0</v>
      </c>
      <c r="Q98" s="98">
        <v>0</v>
      </c>
      <c r="S98" s="9" t="str" cm="1">
        <f t="array" ref="S98:S137">TD_service_codes</f>
        <v>WN127</v>
      </c>
      <c r="T98" t="s">
        <v>274</v>
      </c>
      <c r="U98" s="12">
        <f>INDEX($C$98:$Q$137,MATCH($S98,_xlfn.ANCHORARRAY($A$98),0),MATCH(U$96,$C$96:$Q$96,0))*$U$94</f>
        <v>3841.7495882171161</v>
      </c>
      <c r="V98" s="12">
        <f t="shared" ref="V98:X113" si="0">INDEX($C$98:$Q$137,MATCH($S98,_xlfn.ANCHORARRAY($A$98),0),MATCH(V$96,$C$96:$Q$96,0))*$U$94</f>
        <v>3596.0965339204663</v>
      </c>
      <c r="W98" s="12">
        <f t="shared" si="0"/>
        <v>2270.9728429445463</v>
      </c>
      <c r="X98" s="12">
        <f t="shared" si="0"/>
        <v>1028.161438878238</v>
      </c>
      <c r="Y98" s="12">
        <f>INDEX($C$98:$Q$137,MATCH($S98,_xlfn.ANCHORARRAY($A$98),0),MATCH(Y$96,$C$96:$Q$96,0))</f>
        <v>1583.8614663116955</v>
      </c>
      <c r="Z98" s="12">
        <f t="shared" ref="Z98:AI98" si="1">INDEX($C$98:$Q$137,MATCH($S98,_xlfn.ANCHORARRAY($A$98),0),MATCH(Z$96,$C$96:$Q$96,0))</f>
        <v>848.52351475404328</v>
      </c>
      <c r="AA98" s="12">
        <f t="shared" si="1"/>
        <v>277.45686143935683</v>
      </c>
      <c r="AB98" s="12">
        <f t="shared" si="1"/>
        <v>192.72183984362792</v>
      </c>
      <c r="AC98" s="12">
        <f t="shared" si="1"/>
        <v>155.89258413243067</v>
      </c>
      <c r="AD98" s="12">
        <f t="shared" si="1"/>
        <v>128.86783790320865</v>
      </c>
      <c r="AE98" s="12">
        <f t="shared" si="1"/>
        <v>90.651697756157276</v>
      </c>
      <c r="AF98" s="12">
        <f t="shared" si="1"/>
        <v>93.785060083733441</v>
      </c>
      <c r="AG98" s="12">
        <f t="shared" si="1"/>
        <v>0</v>
      </c>
      <c r="AH98" s="12">
        <f t="shared" si="1"/>
        <v>0</v>
      </c>
      <c r="AI98" s="12">
        <f t="shared" si="1"/>
        <v>0</v>
      </c>
    </row>
    <row r="99" spans="1:35" x14ac:dyDescent="0.45">
      <c r="A99" s="9" t="str">
        <v>WN346</v>
      </c>
      <c r="B99" t="s">
        <v>276</v>
      </c>
      <c r="C99" s="98">
        <v>32.03909989374953</v>
      </c>
      <c r="D99" s="98">
        <v>28.603715261756275</v>
      </c>
      <c r="E99" s="98">
        <v>10.808388524616854</v>
      </c>
      <c r="F99" s="98">
        <v>7.0179372416421266</v>
      </c>
      <c r="G99" s="98">
        <v>5.212905283615024</v>
      </c>
      <c r="H99" s="98">
        <v>2.7927143929028859</v>
      </c>
      <c r="I99" s="98">
        <v>0.91318361468857723</v>
      </c>
      <c r="J99" s="98">
        <v>0.6342983389376482</v>
      </c>
      <c r="K99" s="98">
        <v>0.51308355735982103</v>
      </c>
      <c r="L99" s="98">
        <v>0.42413799904989857</v>
      </c>
      <c r="M99" s="98">
        <v>0.2983586154805456</v>
      </c>
      <c r="N99" s="98">
        <v>0.30867133624578935</v>
      </c>
      <c r="O99" s="98">
        <v>0</v>
      </c>
      <c r="P99" s="98">
        <v>0</v>
      </c>
      <c r="Q99" s="98">
        <v>0</v>
      </c>
      <c r="R99" s="28"/>
      <c r="S99" s="9" t="str">
        <v>WN346</v>
      </c>
      <c r="T99" t="s">
        <v>276</v>
      </c>
      <c r="U99" s="12">
        <f t="shared" ref="U99:X137" si="2">INDEX($C$98:$Q$137,MATCH($S99,_xlfn.ANCHORARRAY($A$98),0),MATCH(U$96,$C$96:$Q$96,0))*$U$94</f>
        <v>15.448801002336884</v>
      </c>
      <c r="V99" s="12">
        <f t="shared" si="0"/>
        <v>13.792307102004061</v>
      </c>
      <c r="W99" s="12">
        <f t="shared" si="0"/>
        <v>5.2116521383711722</v>
      </c>
      <c r="X99" s="12">
        <f t="shared" si="0"/>
        <v>3.3839501188411822</v>
      </c>
      <c r="Y99" s="12">
        <f t="shared" ref="Y99:AI137" si="3">INDEX($C$98:$Q$137,MATCH($S99,_xlfn.ANCHORARRAY($A$98),0),MATCH(Y$96,$C$96:$Q$96,0))</f>
        <v>5.212905283615024</v>
      </c>
      <c r="Z99" s="12">
        <f t="shared" si="3"/>
        <v>2.7927143929028859</v>
      </c>
      <c r="AA99" s="12">
        <f t="shared" si="3"/>
        <v>0.91318361468857723</v>
      </c>
      <c r="AB99" s="12">
        <f t="shared" si="3"/>
        <v>0.6342983389376482</v>
      </c>
      <c r="AC99" s="12">
        <f t="shared" si="3"/>
        <v>0.51308355735982103</v>
      </c>
      <c r="AD99" s="12">
        <f t="shared" si="3"/>
        <v>0.42413799904989857</v>
      </c>
      <c r="AE99" s="12">
        <f t="shared" si="3"/>
        <v>0.2983586154805456</v>
      </c>
      <c r="AF99" s="12">
        <f t="shared" si="3"/>
        <v>0.30867133624578935</v>
      </c>
      <c r="AG99" s="12">
        <f t="shared" si="3"/>
        <v>0</v>
      </c>
      <c r="AH99" s="12">
        <f t="shared" si="3"/>
        <v>0</v>
      </c>
      <c r="AI99" s="12">
        <f t="shared" si="3"/>
        <v>0</v>
      </c>
    </row>
    <row r="100" spans="1:35" x14ac:dyDescent="0.45">
      <c r="A100" s="9" t="str">
        <v>WX130</v>
      </c>
      <c r="B100" t="s">
        <v>277</v>
      </c>
      <c r="C100" s="98">
        <v>69204.273614061225</v>
      </c>
      <c r="D100" s="98">
        <v>64779.143658736721</v>
      </c>
      <c r="E100" s="98">
        <v>51787.388910059613</v>
      </c>
      <c r="F100" s="98">
        <v>49684.412529006462</v>
      </c>
      <c r="G100" s="98">
        <v>36905.450657168847</v>
      </c>
      <c r="H100" s="98">
        <v>19771.389967662846</v>
      </c>
      <c r="I100" s="98">
        <v>6465.0038700594296</v>
      </c>
      <c r="J100" s="98">
        <v>4490.5987690138727</v>
      </c>
      <c r="K100" s="98">
        <v>3632.4427318226994</v>
      </c>
      <c r="L100" s="98">
        <v>3002.7409178076182</v>
      </c>
      <c r="M100" s="98">
        <v>2112.2691786417017</v>
      </c>
      <c r="N100" s="98">
        <v>2185.2794457837372</v>
      </c>
      <c r="O100" s="98">
        <v>0</v>
      </c>
      <c r="P100" s="98">
        <v>0</v>
      </c>
      <c r="Q100" s="98">
        <v>0</v>
      </c>
      <c r="R100" s="28"/>
      <c r="S100" s="9" t="str">
        <v>WX130</v>
      </c>
      <c r="T100" t="s">
        <v>277</v>
      </c>
      <c r="U100" s="12">
        <f t="shared" si="2"/>
        <v>33369.322331788695</v>
      </c>
      <c r="V100" s="12">
        <f t="shared" si="0"/>
        <v>31235.587229491863</v>
      </c>
      <c r="W100" s="12">
        <f t="shared" si="0"/>
        <v>24971.146766149333</v>
      </c>
      <c r="X100" s="12">
        <f t="shared" si="0"/>
        <v>23957.121286930334</v>
      </c>
      <c r="Y100" s="12">
        <f t="shared" si="3"/>
        <v>36905.450657168847</v>
      </c>
      <c r="Z100" s="12">
        <f t="shared" si="3"/>
        <v>19771.389967662846</v>
      </c>
      <c r="AA100" s="12">
        <f t="shared" si="3"/>
        <v>6465.0038700594296</v>
      </c>
      <c r="AB100" s="12">
        <f t="shared" si="3"/>
        <v>4490.5987690138727</v>
      </c>
      <c r="AC100" s="12">
        <f t="shared" si="3"/>
        <v>3632.4427318226994</v>
      </c>
      <c r="AD100" s="12">
        <f t="shared" si="3"/>
        <v>3002.7409178076182</v>
      </c>
      <c r="AE100" s="12">
        <f t="shared" si="3"/>
        <v>2112.2691786417017</v>
      </c>
      <c r="AF100" s="12">
        <f t="shared" si="3"/>
        <v>2185.2794457837372</v>
      </c>
      <c r="AG100" s="12">
        <f t="shared" si="3"/>
        <v>0</v>
      </c>
      <c r="AH100" s="12">
        <f t="shared" si="3"/>
        <v>0</v>
      </c>
      <c r="AI100" s="12">
        <f t="shared" si="3"/>
        <v>0</v>
      </c>
    </row>
    <row r="101" spans="1:35" x14ac:dyDescent="0.45">
      <c r="A101" s="9" t="str">
        <v>WX347</v>
      </c>
      <c r="B101" t="s">
        <v>278</v>
      </c>
      <c r="C101" s="98">
        <v>1081825.3529945335</v>
      </c>
      <c r="D101" s="98">
        <v>965826.89472001919</v>
      </c>
      <c r="E101" s="98">
        <v>828529.03460863256</v>
      </c>
      <c r="F101" s="98">
        <v>663408.81179025723</v>
      </c>
      <c r="G101" s="98">
        <v>492778.31663527485</v>
      </c>
      <c r="H101" s="98">
        <v>263996.56669446209</v>
      </c>
      <c r="I101" s="98">
        <v>86323.664049597006</v>
      </c>
      <c r="J101" s="98">
        <v>59960.511595845943</v>
      </c>
      <c r="K101" s="98">
        <v>48502.022947494472</v>
      </c>
      <c r="L101" s="98">
        <v>40093.958708553815</v>
      </c>
      <c r="M101" s="98">
        <v>28203.976149778893</v>
      </c>
      <c r="N101" s="98">
        <v>29178.842352431679</v>
      </c>
      <c r="O101" s="98">
        <v>0</v>
      </c>
      <c r="P101" s="98">
        <v>0</v>
      </c>
      <c r="Q101" s="98">
        <v>0</v>
      </c>
      <c r="R101" s="28"/>
      <c r="S101" s="9" t="str">
        <v>WX347</v>
      </c>
      <c r="T101" t="s">
        <v>278</v>
      </c>
      <c r="U101" s="12">
        <f t="shared" si="2"/>
        <v>521640.89044698485</v>
      </c>
      <c r="V101" s="12">
        <f t="shared" si="0"/>
        <v>465708.07384465402</v>
      </c>
      <c r="W101" s="12">
        <f t="shared" si="0"/>
        <v>399504.98680595419</v>
      </c>
      <c r="X101" s="12">
        <f t="shared" si="0"/>
        <v>319886.34982045449</v>
      </c>
      <c r="Y101" s="12">
        <f t="shared" si="3"/>
        <v>492778.31663527485</v>
      </c>
      <c r="Z101" s="12">
        <f t="shared" si="3"/>
        <v>263996.56669446209</v>
      </c>
      <c r="AA101" s="12">
        <f t="shared" si="3"/>
        <v>86323.664049597006</v>
      </c>
      <c r="AB101" s="12">
        <f t="shared" si="3"/>
        <v>59960.511595845943</v>
      </c>
      <c r="AC101" s="12">
        <f t="shared" si="3"/>
        <v>48502.022947494472</v>
      </c>
      <c r="AD101" s="12">
        <f t="shared" si="3"/>
        <v>40093.958708553815</v>
      </c>
      <c r="AE101" s="12">
        <f t="shared" si="3"/>
        <v>28203.976149778893</v>
      </c>
      <c r="AF101" s="12">
        <f t="shared" si="3"/>
        <v>29178.842352431679</v>
      </c>
      <c r="AG101" s="12">
        <f t="shared" si="3"/>
        <v>0</v>
      </c>
      <c r="AH101" s="12">
        <f t="shared" si="3"/>
        <v>0</v>
      </c>
      <c r="AI101" s="12">
        <f t="shared" si="3"/>
        <v>0</v>
      </c>
    </row>
    <row r="102" spans="1:35" x14ac:dyDescent="0.45">
      <c r="A102" s="9" t="str">
        <v>WX129</v>
      </c>
      <c r="B102" t="s">
        <v>279</v>
      </c>
      <c r="C102" s="98">
        <v>86335.220553897132</v>
      </c>
      <c r="D102" s="98">
        <v>83785.807574472332</v>
      </c>
      <c r="E102" s="98">
        <v>57793.797104339123</v>
      </c>
      <c r="F102" s="98">
        <v>41330.89043685358</v>
      </c>
      <c r="G102" s="98">
        <v>30791.654624088937</v>
      </c>
      <c r="H102" s="98">
        <v>16496.040570749501</v>
      </c>
      <c r="I102" s="98">
        <v>5394.0044834976025</v>
      </c>
      <c r="J102" s="98">
        <v>3746.6814220835076</v>
      </c>
      <c r="K102" s="98">
        <v>3030.6884226690813</v>
      </c>
      <c r="L102" s="98">
        <v>2505.303677921404</v>
      </c>
      <c r="M102" s="98">
        <v>0</v>
      </c>
      <c r="N102" s="98">
        <v>0</v>
      </c>
      <c r="O102" s="98">
        <v>0</v>
      </c>
      <c r="P102" s="98">
        <v>0</v>
      </c>
      <c r="Q102" s="98">
        <v>0</v>
      </c>
      <c r="R102" s="28"/>
      <c r="S102" s="9" t="str">
        <v>WX129</v>
      </c>
      <c r="T102" t="s">
        <v>279</v>
      </c>
      <c r="U102" s="12">
        <f t="shared" si="2"/>
        <v>41629.622750114358</v>
      </c>
      <c r="V102" s="12">
        <f t="shared" si="0"/>
        <v>40400.331854848228</v>
      </c>
      <c r="W102" s="12">
        <f t="shared" si="0"/>
        <v>27867.351879275262</v>
      </c>
      <c r="X102" s="12">
        <f t="shared" si="0"/>
        <v>19929.17103557289</v>
      </c>
      <c r="Y102" s="12">
        <f t="shared" si="3"/>
        <v>30791.654624088937</v>
      </c>
      <c r="Z102" s="12">
        <f t="shared" si="3"/>
        <v>16496.040570749501</v>
      </c>
      <c r="AA102" s="12">
        <f t="shared" si="3"/>
        <v>5394.0044834976025</v>
      </c>
      <c r="AB102" s="12">
        <f t="shared" si="3"/>
        <v>3746.6814220835076</v>
      </c>
      <c r="AC102" s="12">
        <f t="shared" si="3"/>
        <v>3030.6884226690813</v>
      </c>
      <c r="AD102" s="12">
        <f t="shared" si="3"/>
        <v>2505.303677921404</v>
      </c>
      <c r="AE102" s="12">
        <f t="shared" si="3"/>
        <v>0</v>
      </c>
      <c r="AF102" s="12">
        <f t="shared" si="3"/>
        <v>0</v>
      </c>
      <c r="AG102" s="12">
        <f t="shared" si="3"/>
        <v>0</v>
      </c>
      <c r="AH102" s="12">
        <f t="shared" si="3"/>
        <v>0</v>
      </c>
      <c r="AI102" s="12">
        <f t="shared" si="3"/>
        <v>0</v>
      </c>
    </row>
    <row r="103" spans="1:35" ht="14.65" thickBot="1" x14ac:dyDescent="0.5">
      <c r="A103" s="9" t="str">
        <v>WN123</v>
      </c>
      <c r="B103" t="s">
        <v>280</v>
      </c>
      <c r="C103" s="98">
        <v>259.00942188487397</v>
      </c>
      <c r="D103" s="98">
        <v>251.36107191008722</v>
      </c>
      <c r="E103" s="98">
        <v>173.38390844998983</v>
      </c>
      <c r="F103" s="98">
        <v>123.99447142610319</v>
      </c>
      <c r="G103" s="98">
        <v>0</v>
      </c>
      <c r="H103" s="98">
        <v>0</v>
      </c>
      <c r="I103" s="98">
        <v>0</v>
      </c>
      <c r="J103" s="98">
        <v>0</v>
      </c>
      <c r="K103" s="98">
        <v>0</v>
      </c>
      <c r="L103" s="98">
        <v>0</v>
      </c>
      <c r="M103" s="98">
        <v>0</v>
      </c>
      <c r="N103" s="98">
        <v>0</v>
      </c>
      <c r="O103" s="98">
        <v>0</v>
      </c>
      <c r="P103" s="98">
        <v>0</v>
      </c>
      <c r="Q103" s="98">
        <v>0</v>
      </c>
      <c r="R103" s="28"/>
      <c r="S103" s="9" t="str">
        <v>WN123</v>
      </c>
      <c r="T103" t="s">
        <v>280</v>
      </c>
      <c r="U103" s="12">
        <f t="shared" si="2"/>
        <v>124.89068137679996</v>
      </c>
      <c r="V103" s="12">
        <f t="shared" si="0"/>
        <v>121.20275515076513</v>
      </c>
      <c r="W103" s="12">
        <f t="shared" si="0"/>
        <v>83.603269365686813</v>
      </c>
      <c r="X103" s="12">
        <f t="shared" si="0"/>
        <v>59.788381096983336</v>
      </c>
      <c r="Y103" s="12">
        <f t="shared" si="3"/>
        <v>0</v>
      </c>
      <c r="Z103" s="12">
        <f t="shared" si="3"/>
        <v>0</v>
      </c>
      <c r="AA103" s="12">
        <f t="shared" si="3"/>
        <v>0</v>
      </c>
      <c r="AB103" s="12">
        <f t="shared" si="3"/>
        <v>0</v>
      </c>
      <c r="AC103" s="12">
        <f t="shared" si="3"/>
        <v>0</v>
      </c>
      <c r="AD103" s="12">
        <f t="shared" si="3"/>
        <v>0</v>
      </c>
      <c r="AE103" s="12">
        <f t="shared" si="3"/>
        <v>0</v>
      </c>
      <c r="AF103" s="12">
        <f t="shared" si="3"/>
        <v>0</v>
      </c>
      <c r="AG103" s="12">
        <f t="shared" si="3"/>
        <v>0</v>
      </c>
      <c r="AH103" s="12">
        <f t="shared" si="3"/>
        <v>0</v>
      </c>
      <c r="AI103" s="12">
        <f t="shared" si="3"/>
        <v>0</v>
      </c>
    </row>
    <row r="104" spans="1:35" x14ac:dyDescent="0.45">
      <c r="A104" s="9" t="str">
        <v>WN300</v>
      </c>
      <c r="B104" t="s">
        <v>281</v>
      </c>
      <c r="C104" s="182">
        <v>633694.28534892073</v>
      </c>
      <c r="D104" s="182">
        <v>575167.22197028296</v>
      </c>
      <c r="E104" s="182">
        <v>392061.43789407297</v>
      </c>
      <c r="F104" s="182">
        <v>257790.97415180696</v>
      </c>
      <c r="G104" s="98">
        <v>159981.80417045378</v>
      </c>
      <c r="H104" s="98">
        <v>63101.115861931743</v>
      </c>
      <c r="I104" s="98">
        <v>3648.5847411318782</v>
      </c>
      <c r="J104" s="98">
        <v>0</v>
      </c>
      <c r="K104" s="98">
        <v>0</v>
      </c>
      <c r="L104" s="98">
        <v>0</v>
      </c>
      <c r="M104" s="98">
        <v>0</v>
      </c>
      <c r="N104" s="98">
        <v>0</v>
      </c>
      <c r="O104" s="98">
        <v>0</v>
      </c>
      <c r="P104" s="98">
        <v>0</v>
      </c>
      <c r="Q104" s="98">
        <v>0</v>
      </c>
      <c r="R104" s="28"/>
      <c r="S104" s="9" t="str">
        <v>WN300</v>
      </c>
      <c r="T104" t="s">
        <v>281</v>
      </c>
      <c r="U104" s="12">
        <f t="shared" si="2"/>
        <v>305558.42527222325</v>
      </c>
      <c r="V104" s="12">
        <f t="shared" si="0"/>
        <v>277337.50276234566</v>
      </c>
      <c r="W104" s="12">
        <f t="shared" si="0"/>
        <v>189046.4824168554</v>
      </c>
      <c r="X104" s="12">
        <f t="shared" si="0"/>
        <v>124303.16310623915</v>
      </c>
      <c r="Y104" s="12">
        <f t="shared" si="3"/>
        <v>159981.80417045378</v>
      </c>
      <c r="Z104" s="12">
        <f t="shared" si="3"/>
        <v>63101.115861931743</v>
      </c>
      <c r="AA104" s="12">
        <f t="shared" si="3"/>
        <v>3648.5847411318782</v>
      </c>
      <c r="AB104" s="12">
        <f t="shared" si="3"/>
        <v>0</v>
      </c>
      <c r="AC104" s="12">
        <f t="shared" si="3"/>
        <v>0</v>
      </c>
      <c r="AD104" s="12">
        <f t="shared" si="3"/>
        <v>0</v>
      </c>
      <c r="AE104" s="12">
        <f t="shared" si="3"/>
        <v>0</v>
      </c>
      <c r="AF104" s="12">
        <f t="shared" si="3"/>
        <v>0</v>
      </c>
      <c r="AG104" s="12">
        <f t="shared" si="3"/>
        <v>0</v>
      </c>
      <c r="AH104" s="12">
        <f t="shared" si="3"/>
        <v>0</v>
      </c>
      <c r="AI104" s="12">
        <f t="shared" si="3"/>
        <v>0</v>
      </c>
    </row>
    <row r="105" spans="1:35" ht="14.65" thickBot="1" x14ac:dyDescent="0.5">
      <c r="A105" s="9" t="str">
        <v>WN301</v>
      </c>
      <c r="B105" t="s">
        <v>282</v>
      </c>
      <c r="C105" s="98">
        <v>288917.88897414954</v>
      </c>
      <c r="D105" s="98">
        <v>250090.11140994233</v>
      </c>
      <c r="E105" s="98">
        <v>192878.15292062549</v>
      </c>
      <c r="F105" s="98">
        <v>122202.61481215814</v>
      </c>
      <c r="G105" s="98">
        <v>75672.134714452885</v>
      </c>
      <c r="H105" s="98">
        <v>29576.139984274716</v>
      </c>
      <c r="I105" s="98">
        <v>1703.9030397116865</v>
      </c>
      <c r="J105" s="98">
        <v>0</v>
      </c>
      <c r="K105" s="98">
        <v>0</v>
      </c>
      <c r="L105" s="98">
        <v>0</v>
      </c>
      <c r="M105" s="98">
        <v>0</v>
      </c>
      <c r="N105" s="98">
        <v>0</v>
      </c>
      <c r="O105" s="98">
        <v>0</v>
      </c>
      <c r="P105" s="98">
        <v>0</v>
      </c>
      <c r="Q105" s="98">
        <v>0</v>
      </c>
      <c r="R105" s="28"/>
      <c r="S105" s="9" t="str">
        <v>WN301</v>
      </c>
      <c r="T105" t="s">
        <v>282</v>
      </c>
      <c r="U105" s="12">
        <f t="shared" si="2"/>
        <v>139312.12136354879</v>
      </c>
      <c r="V105" s="12">
        <f t="shared" si="0"/>
        <v>120589.91596634098</v>
      </c>
      <c r="W105" s="12">
        <f t="shared" si="0"/>
        <v>93003.118441238083</v>
      </c>
      <c r="X105" s="12">
        <f t="shared" si="0"/>
        <v>58924.373170875559</v>
      </c>
      <c r="Y105" s="12">
        <f t="shared" si="3"/>
        <v>75672.134714452885</v>
      </c>
      <c r="Z105" s="12">
        <f t="shared" si="3"/>
        <v>29576.139984274716</v>
      </c>
      <c r="AA105" s="12">
        <f t="shared" si="3"/>
        <v>1703.9030397116865</v>
      </c>
      <c r="AB105" s="12">
        <f t="shared" si="3"/>
        <v>0</v>
      </c>
      <c r="AC105" s="12">
        <f t="shared" si="3"/>
        <v>0</v>
      </c>
      <c r="AD105" s="12">
        <f t="shared" si="3"/>
        <v>0</v>
      </c>
      <c r="AE105" s="12">
        <f t="shared" si="3"/>
        <v>0</v>
      </c>
      <c r="AF105" s="12">
        <f t="shared" si="3"/>
        <v>0</v>
      </c>
      <c r="AG105" s="12">
        <f t="shared" si="3"/>
        <v>0</v>
      </c>
      <c r="AH105" s="12">
        <f t="shared" si="3"/>
        <v>0</v>
      </c>
      <c r="AI105" s="12">
        <f t="shared" si="3"/>
        <v>0</v>
      </c>
    </row>
    <row r="106" spans="1:35" x14ac:dyDescent="0.45">
      <c r="A106" s="9" t="str">
        <v>WX310</v>
      </c>
      <c r="B106" t="s">
        <v>283</v>
      </c>
      <c r="C106" s="182">
        <v>710001.39962209307</v>
      </c>
      <c r="D106" s="182">
        <v>761310.28333642799</v>
      </c>
      <c r="E106" s="182">
        <v>786338.37329970254</v>
      </c>
      <c r="F106" s="182">
        <v>572240.21292980365</v>
      </c>
      <c r="G106" s="98">
        <v>312652.31695828243</v>
      </c>
      <c r="H106" s="98">
        <v>123318.4622412802</v>
      </c>
      <c r="I106" s="98">
        <v>7130.4263559755136</v>
      </c>
      <c r="J106" s="98">
        <v>0</v>
      </c>
      <c r="K106" s="98">
        <v>0</v>
      </c>
      <c r="L106" s="98">
        <v>0</v>
      </c>
      <c r="M106" s="98">
        <v>0</v>
      </c>
      <c r="N106" s="98">
        <v>0</v>
      </c>
      <c r="O106" s="98">
        <v>0</v>
      </c>
      <c r="P106" s="98">
        <v>0</v>
      </c>
      <c r="Q106" s="98">
        <v>0</v>
      </c>
      <c r="R106" s="28"/>
      <c r="S106" s="9" t="str">
        <v>WX310</v>
      </c>
      <c r="T106" t="s">
        <v>283</v>
      </c>
      <c r="U106" s="12">
        <f t="shared" si="2"/>
        <v>342352.63695039845</v>
      </c>
      <c r="V106" s="12">
        <f t="shared" si="0"/>
        <v>367093.05527624045</v>
      </c>
      <c r="W106" s="12">
        <f t="shared" si="0"/>
        <v>379161.24641124316</v>
      </c>
      <c r="X106" s="12">
        <f t="shared" si="0"/>
        <v>275926.14038486429</v>
      </c>
      <c r="Y106" s="12">
        <f t="shared" si="3"/>
        <v>312652.31695828243</v>
      </c>
      <c r="Z106" s="12">
        <f t="shared" si="3"/>
        <v>123318.4622412802</v>
      </c>
      <c r="AA106" s="12">
        <f t="shared" si="3"/>
        <v>7130.4263559755136</v>
      </c>
      <c r="AB106" s="12">
        <f t="shared" si="3"/>
        <v>0</v>
      </c>
      <c r="AC106" s="12">
        <f t="shared" si="3"/>
        <v>0</v>
      </c>
      <c r="AD106" s="12">
        <f t="shared" si="3"/>
        <v>0</v>
      </c>
      <c r="AE106" s="12">
        <f t="shared" si="3"/>
        <v>0</v>
      </c>
      <c r="AF106" s="12">
        <f t="shared" si="3"/>
        <v>0</v>
      </c>
      <c r="AG106" s="12">
        <f t="shared" si="3"/>
        <v>0</v>
      </c>
      <c r="AH106" s="12">
        <f t="shared" si="3"/>
        <v>0</v>
      </c>
      <c r="AI106" s="12">
        <f t="shared" si="3"/>
        <v>0</v>
      </c>
    </row>
    <row r="107" spans="1:35" ht="14.65" thickBot="1" x14ac:dyDescent="0.5">
      <c r="A107" s="9" t="str">
        <v>WX311</v>
      </c>
      <c r="B107" t="s">
        <v>284</v>
      </c>
      <c r="C107" s="98">
        <v>557108.21962528361</v>
      </c>
      <c r="D107" s="98">
        <v>482238.24841094512</v>
      </c>
      <c r="E107" s="98">
        <v>382378.56678716827</v>
      </c>
      <c r="F107" s="98">
        <v>293750.77698514832</v>
      </c>
      <c r="G107" s="98">
        <v>181900.76008892694</v>
      </c>
      <c r="H107" s="98">
        <v>71095.15760242645</v>
      </c>
      <c r="I107" s="98">
        <v>4095.8439881595141</v>
      </c>
      <c r="J107" s="98">
        <v>0</v>
      </c>
      <c r="K107" s="98">
        <v>0</v>
      </c>
      <c r="L107" s="98">
        <v>0</v>
      </c>
      <c r="M107" s="98">
        <v>0</v>
      </c>
      <c r="N107" s="98">
        <v>0</v>
      </c>
      <c r="O107" s="98">
        <v>0</v>
      </c>
      <c r="P107" s="98">
        <v>0</v>
      </c>
      <c r="Q107" s="98">
        <v>0</v>
      </c>
      <c r="R107" s="28"/>
      <c r="S107" s="9" t="str">
        <v>WX311</v>
      </c>
      <c r="T107" t="s">
        <v>284</v>
      </c>
      <c r="U107" s="12">
        <f t="shared" si="2"/>
        <v>268629.70714842901</v>
      </c>
      <c r="V107" s="12">
        <f t="shared" si="0"/>
        <v>232528.46553500101</v>
      </c>
      <c r="W107" s="12">
        <f t="shared" si="0"/>
        <v>184377.53886482288</v>
      </c>
      <c r="X107" s="12">
        <f t="shared" si="0"/>
        <v>141642.47163543847</v>
      </c>
      <c r="Y107" s="12">
        <f t="shared" si="3"/>
        <v>181900.76008892694</v>
      </c>
      <c r="Z107" s="12">
        <f t="shared" si="3"/>
        <v>71095.15760242645</v>
      </c>
      <c r="AA107" s="12">
        <f t="shared" si="3"/>
        <v>4095.8439881595141</v>
      </c>
      <c r="AB107" s="12">
        <f t="shared" si="3"/>
        <v>0</v>
      </c>
      <c r="AC107" s="12">
        <f t="shared" si="3"/>
        <v>0</v>
      </c>
      <c r="AD107" s="12">
        <f t="shared" si="3"/>
        <v>0</v>
      </c>
      <c r="AE107" s="12">
        <f t="shared" si="3"/>
        <v>0</v>
      </c>
      <c r="AF107" s="12">
        <f t="shared" si="3"/>
        <v>0</v>
      </c>
      <c r="AG107" s="12">
        <f t="shared" si="3"/>
        <v>0</v>
      </c>
      <c r="AH107" s="12">
        <f t="shared" si="3"/>
        <v>0</v>
      </c>
      <c r="AI107" s="12">
        <f t="shared" si="3"/>
        <v>0</v>
      </c>
    </row>
    <row r="108" spans="1:35" ht="14.65" thickBot="1" x14ac:dyDescent="0.5">
      <c r="A108" s="9" t="str">
        <v>WN302</v>
      </c>
      <c r="B108" t="s">
        <v>285</v>
      </c>
      <c r="C108" s="182">
        <v>1709.6283127186966</v>
      </c>
      <c r="D108" s="182">
        <v>1463.9122278663885</v>
      </c>
      <c r="E108" s="182">
        <v>1096.0752932374148</v>
      </c>
      <c r="F108" s="182">
        <v>1810.7542041480074</v>
      </c>
      <c r="G108" s="98">
        <v>35.539586313176514</v>
      </c>
      <c r="H108" s="98">
        <v>14.017766365751779</v>
      </c>
      <c r="I108" s="98">
        <v>0.81052462810231951</v>
      </c>
      <c r="J108" s="98">
        <v>0</v>
      </c>
      <c r="K108" s="98">
        <v>0</v>
      </c>
      <c r="L108" s="98">
        <v>0</v>
      </c>
      <c r="M108" s="98">
        <v>0</v>
      </c>
      <c r="N108" s="98">
        <v>0</v>
      </c>
      <c r="O108" s="98">
        <v>0</v>
      </c>
      <c r="P108" s="98">
        <v>0</v>
      </c>
      <c r="Q108" s="98">
        <v>0</v>
      </c>
      <c r="R108" s="28"/>
      <c r="S108" s="9" t="str">
        <v>WN302</v>
      </c>
      <c r="T108" t="s">
        <v>285</v>
      </c>
      <c r="U108" s="12">
        <f t="shared" si="2"/>
        <v>824.35860179407678</v>
      </c>
      <c r="V108" s="12">
        <f t="shared" si="0"/>
        <v>705.87777959416246</v>
      </c>
      <c r="W108" s="12">
        <f t="shared" si="0"/>
        <v>528.51201016749906</v>
      </c>
      <c r="X108" s="12">
        <f t="shared" si="0"/>
        <v>873.12007693090266</v>
      </c>
      <c r="Y108" s="12">
        <f t="shared" si="3"/>
        <v>35.539586313176514</v>
      </c>
      <c r="Z108" s="12">
        <f t="shared" si="3"/>
        <v>14.017766365751779</v>
      </c>
      <c r="AA108" s="12">
        <f t="shared" si="3"/>
        <v>0.81052462810231951</v>
      </c>
      <c r="AB108" s="12">
        <f t="shared" si="3"/>
        <v>0</v>
      </c>
      <c r="AC108" s="12">
        <f t="shared" si="3"/>
        <v>0</v>
      </c>
      <c r="AD108" s="12">
        <f t="shared" si="3"/>
        <v>0</v>
      </c>
      <c r="AE108" s="12">
        <f t="shared" si="3"/>
        <v>0</v>
      </c>
      <c r="AF108" s="12">
        <f t="shared" si="3"/>
        <v>0</v>
      </c>
      <c r="AG108" s="12">
        <f t="shared" si="3"/>
        <v>0</v>
      </c>
      <c r="AH108" s="12">
        <f t="shared" si="3"/>
        <v>0</v>
      </c>
      <c r="AI108" s="12">
        <f t="shared" si="3"/>
        <v>0</v>
      </c>
    </row>
    <row r="109" spans="1:35" ht="14.65" thickBot="1" x14ac:dyDescent="0.5">
      <c r="A109" s="9" t="str">
        <v>WX312</v>
      </c>
      <c r="B109" t="s">
        <v>286</v>
      </c>
      <c r="C109" s="182">
        <v>2732.824592394767</v>
      </c>
      <c r="D109" s="182">
        <v>2547.1680828271465</v>
      </c>
      <c r="E109" s="182">
        <v>2078.0620773471342</v>
      </c>
      <c r="F109" s="182">
        <v>3555.9288729273039</v>
      </c>
      <c r="G109" s="98">
        <v>3140.8877859960912</v>
      </c>
      <c r="H109" s="98">
        <v>1238.8504125275329</v>
      </c>
      <c r="I109" s="98">
        <v>71.631866567668567</v>
      </c>
      <c r="J109" s="98">
        <v>0</v>
      </c>
      <c r="K109" s="98">
        <v>0</v>
      </c>
      <c r="L109" s="98">
        <v>0</v>
      </c>
      <c r="M109" s="98">
        <v>0</v>
      </c>
      <c r="N109" s="98">
        <v>0</v>
      </c>
      <c r="O109" s="98">
        <v>0</v>
      </c>
      <c r="P109" s="98">
        <v>0</v>
      </c>
      <c r="Q109" s="98">
        <v>0</v>
      </c>
      <c r="R109" s="28"/>
      <c r="S109" s="9" t="str">
        <v>WX312</v>
      </c>
      <c r="T109" t="s">
        <v>286</v>
      </c>
      <c r="U109" s="12">
        <f t="shared" si="2"/>
        <v>1317.7293819804092</v>
      </c>
      <c r="V109" s="12">
        <f t="shared" si="0"/>
        <v>1228.2084378649295</v>
      </c>
      <c r="W109" s="12">
        <f t="shared" si="0"/>
        <v>1002.0121542085433</v>
      </c>
      <c r="X109" s="12">
        <f t="shared" si="0"/>
        <v>1714.6186290656428</v>
      </c>
      <c r="Y109" s="12">
        <f t="shared" si="3"/>
        <v>3140.8877859960912</v>
      </c>
      <c r="Z109" s="12">
        <f t="shared" si="3"/>
        <v>1238.8504125275329</v>
      </c>
      <c r="AA109" s="12">
        <f t="shared" si="3"/>
        <v>71.631866567668567</v>
      </c>
      <c r="AB109" s="12">
        <f t="shared" si="3"/>
        <v>0</v>
      </c>
      <c r="AC109" s="12">
        <f t="shared" si="3"/>
        <v>0</v>
      </c>
      <c r="AD109" s="12">
        <f t="shared" si="3"/>
        <v>0</v>
      </c>
      <c r="AE109" s="12">
        <f t="shared" si="3"/>
        <v>0</v>
      </c>
      <c r="AF109" s="12">
        <f t="shared" si="3"/>
        <v>0</v>
      </c>
      <c r="AG109" s="12">
        <f t="shared" si="3"/>
        <v>0</v>
      </c>
      <c r="AH109" s="12">
        <f t="shared" si="3"/>
        <v>0</v>
      </c>
      <c r="AI109" s="12">
        <f t="shared" si="3"/>
        <v>0</v>
      </c>
    </row>
    <row r="110" spans="1:35" ht="14.65" thickBot="1" x14ac:dyDescent="0.5">
      <c r="A110" s="9" t="str">
        <v>WX338</v>
      </c>
      <c r="B110" t="s">
        <v>287</v>
      </c>
      <c r="C110" s="182">
        <v>2589.5833198113132</v>
      </c>
      <c r="D110" s="182">
        <v>2100.8761763279663</v>
      </c>
      <c r="E110" s="182">
        <v>1921.9718847002396</v>
      </c>
      <c r="F110" s="182">
        <v>931.96487385813691</v>
      </c>
      <c r="G110" s="98">
        <v>970.81409851991668</v>
      </c>
      <c r="H110" s="98">
        <v>379.43866371525178</v>
      </c>
      <c r="I110" s="98">
        <v>21.85973872291342</v>
      </c>
      <c r="J110" s="98">
        <v>0</v>
      </c>
      <c r="K110" s="98">
        <v>0</v>
      </c>
      <c r="L110" s="98">
        <v>0</v>
      </c>
      <c r="M110" s="98">
        <v>0</v>
      </c>
      <c r="N110" s="98">
        <v>0</v>
      </c>
      <c r="O110" s="98">
        <v>0</v>
      </c>
      <c r="P110" s="98">
        <v>0</v>
      </c>
      <c r="Q110" s="98">
        <v>0</v>
      </c>
      <c r="R110" s="28"/>
      <c r="S110" s="9" t="str">
        <v>WX338</v>
      </c>
      <c r="T110" t="s">
        <v>287</v>
      </c>
      <c r="U110" s="12">
        <f t="shared" si="2"/>
        <v>1248.6604654752055</v>
      </c>
      <c r="V110" s="12">
        <f t="shared" si="0"/>
        <v>1013.0127901930532</v>
      </c>
      <c r="W110" s="12">
        <f t="shared" si="0"/>
        <v>926.74767010583162</v>
      </c>
      <c r="X110" s="12">
        <f t="shared" si="0"/>
        <v>449.3802861238056</v>
      </c>
      <c r="Y110" s="12">
        <f t="shared" si="3"/>
        <v>970.81409851991668</v>
      </c>
      <c r="Z110" s="12">
        <f t="shared" si="3"/>
        <v>379.43866371525178</v>
      </c>
      <c r="AA110" s="12">
        <f t="shared" si="3"/>
        <v>21.85973872291342</v>
      </c>
      <c r="AB110" s="12">
        <f t="shared" si="3"/>
        <v>0</v>
      </c>
      <c r="AC110" s="12">
        <f t="shared" si="3"/>
        <v>0</v>
      </c>
      <c r="AD110" s="12">
        <f t="shared" si="3"/>
        <v>0</v>
      </c>
      <c r="AE110" s="12">
        <f t="shared" si="3"/>
        <v>0</v>
      </c>
      <c r="AF110" s="12">
        <f t="shared" si="3"/>
        <v>0</v>
      </c>
      <c r="AG110" s="12">
        <f t="shared" si="3"/>
        <v>0</v>
      </c>
      <c r="AH110" s="12">
        <f t="shared" si="3"/>
        <v>0</v>
      </c>
      <c r="AI110" s="12">
        <f t="shared" si="3"/>
        <v>0</v>
      </c>
    </row>
    <row r="111" spans="1:35" x14ac:dyDescent="0.45">
      <c r="A111" s="9" t="str">
        <v>WN336</v>
      </c>
      <c r="B111" t="s">
        <v>288</v>
      </c>
      <c r="C111" s="182">
        <v>864.80950071930272</v>
      </c>
      <c r="D111" s="182">
        <v>1151.514728156184</v>
      </c>
      <c r="E111" s="182">
        <v>943.58904469836091</v>
      </c>
      <c r="F111" s="182">
        <v>520.40249164349473</v>
      </c>
      <c r="G111" s="98">
        <v>14.74307005183573</v>
      </c>
      <c r="H111" s="98">
        <v>5.7622677792355246</v>
      </c>
      <c r="I111" s="98">
        <v>0.33196845801691555</v>
      </c>
      <c r="J111" s="98">
        <v>0</v>
      </c>
      <c r="K111" s="98">
        <v>0</v>
      </c>
      <c r="L111" s="98">
        <v>0</v>
      </c>
      <c r="M111" s="98">
        <v>0</v>
      </c>
      <c r="N111" s="98">
        <v>0</v>
      </c>
      <c r="O111" s="98">
        <v>0</v>
      </c>
      <c r="P111" s="98">
        <v>0</v>
      </c>
      <c r="Q111" s="98">
        <v>0</v>
      </c>
      <c r="R111" s="28"/>
      <c r="S111" s="9" t="str">
        <v>WN336</v>
      </c>
      <c r="T111" t="s">
        <v>288</v>
      </c>
      <c r="U111" s="12">
        <f t="shared" si="2"/>
        <v>416.99891463396773</v>
      </c>
      <c r="V111" s="12">
        <f t="shared" si="0"/>
        <v>555.24412188669123</v>
      </c>
      <c r="W111" s="12">
        <f t="shared" si="0"/>
        <v>454.98529696129242</v>
      </c>
      <c r="X111" s="12">
        <f t="shared" si="0"/>
        <v>250.93072405848295</v>
      </c>
      <c r="Y111" s="12">
        <f t="shared" si="3"/>
        <v>14.74307005183573</v>
      </c>
      <c r="Z111" s="12">
        <f t="shared" si="3"/>
        <v>5.7622677792355246</v>
      </c>
      <c r="AA111" s="12">
        <f t="shared" si="3"/>
        <v>0.33196845801691555</v>
      </c>
      <c r="AB111" s="12">
        <f t="shared" si="3"/>
        <v>0</v>
      </c>
      <c r="AC111" s="12">
        <f t="shared" si="3"/>
        <v>0</v>
      </c>
      <c r="AD111" s="12">
        <f t="shared" si="3"/>
        <v>0</v>
      </c>
      <c r="AE111" s="12">
        <f t="shared" si="3"/>
        <v>0</v>
      </c>
      <c r="AF111" s="12">
        <f t="shared" si="3"/>
        <v>0</v>
      </c>
      <c r="AG111" s="12">
        <f t="shared" si="3"/>
        <v>0</v>
      </c>
      <c r="AH111" s="12">
        <f t="shared" si="3"/>
        <v>0</v>
      </c>
      <c r="AI111" s="12">
        <f t="shared" si="3"/>
        <v>0</v>
      </c>
    </row>
    <row r="112" spans="1:35" x14ac:dyDescent="0.45">
      <c r="A112" s="9" t="str">
        <v>WN303</v>
      </c>
      <c r="B112" t="s">
        <v>289</v>
      </c>
      <c r="C112" s="98">
        <v>13221.407859712153</v>
      </c>
      <c r="D112" s="98">
        <v>12830.98980567155</v>
      </c>
      <c r="E112" s="98">
        <v>5373.876673899922</v>
      </c>
      <c r="F112" s="98">
        <v>1733.3669164418163</v>
      </c>
      <c r="G112" s="98">
        <v>353.84304592777238</v>
      </c>
      <c r="H112" s="98">
        <v>138.29808684944018</v>
      </c>
      <c r="I112" s="98">
        <v>7.9674538561949726</v>
      </c>
      <c r="J112" s="98">
        <v>0</v>
      </c>
      <c r="K112" s="98">
        <v>0</v>
      </c>
      <c r="L112" s="98">
        <v>0</v>
      </c>
      <c r="M112" s="98">
        <v>0</v>
      </c>
      <c r="N112" s="98">
        <v>0</v>
      </c>
      <c r="O112" s="98">
        <v>0</v>
      </c>
      <c r="P112" s="98">
        <v>0</v>
      </c>
      <c r="Q112" s="98">
        <v>0</v>
      </c>
      <c r="R112" s="28"/>
      <c r="S112" s="9" t="str">
        <v>WN303</v>
      </c>
      <c r="T112" t="s">
        <v>289</v>
      </c>
      <c r="U112" s="12">
        <f t="shared" si="2"/>
        <v>6375.1759466648973</v>
      </c>
      <c r="V112" s="12">
        <f t="shared" si="0"/>
        <v>6186.9218807081461</v>
      </c>
      <c r="W112" s="12">
        <f t="shared" si="0"/>
        <v>2591.2073566828317</v>
      </c>
      <c r="X112" s="12">
        <f t="shared" si="0"/>
        <v>835.80502089473805</v>
      </c>
      <c r="Y112" s="12">
        <f t="shared" si="3"/>
        <v>353.84304592777238</v>
      </c>
      <c r="Z112" s="12">
        <f t="shared" si="3"/>
        <v>138.29808684944018</v>
      </c>
      <c r="AA112" s="12">
        <f t="shared" si="3"/>
        <v>7.9674538561949726</v>
      </c>
      <c r="AB112" s="12">
        <f t="shared" si="3"/>
        <v>0</v>
      </c>
      <c r="AC112" s="12">
        <f t="shared" si="3"/>
        <v>0</v>
      </c>
      <c r="AD112" s="12">
        <f t="shared" si="3"/>
        <v>0</v>
      </c>
      <c r="AE112" s="12">
        <f t="shared" si="3"/>
        <v>0</v>
      </c>
      <c r="AF112" s="12">
        <f t="shared" si="3"/>
        <v>0</v>
      </c>
      <c r="AG112" s="12">
        <f t="shared" si="3"/>
        <v>0</v>
      </c>
      <c r="AH112" s="12">
        <f t="shared" si="3"/>
        <v>0</v>
      </c>
      <c r="AI112" s="12">
        <f t="shared" si="3"/>
        <v>0</v>
      </c>
    </row>
    <row r="113" spans="1:35" x14ac:dyDescent="0.45">
      <c r="A113" s="9" t="str">
        <v>WN337</v>
      </c>
      <c r="B113" t="s">
        <v>290</v>
      </c>
      <c r="C113" s="98">
        <v>28497.782901086506</v>
      </c>
      <c r="D113" s="98">
        <v>27656.265185063476</v>
      </c>
      <c r="E113" s="98">
        <v>12178.929419038519</v>
      </c>
      <c r="F113" s="98">
        <v>3900.7969676820394</v>
      </c>
      <c r="G113" s="98">
        <v>160.14264572768491</v>
      </c>
      <c r="H113" s="98">
        <v>63.164556087467908</v>
      </c>
      <c r="I113" s="98">
        <v>3.6522529336147449</v>
      </c>
      <c r="J113" s="98">
        <v>0</v>
      </c>
      <c r="K113" s="98">
        <v>0</v>
      </c>
      <c r="L113" s="98">
        <v>0</v>
      </c>
      <c r="M113" s="98">
        <v>0</v>
      </c>
      <c r="N113" s="98">
        <v>0</v>
      </c>
      <c r="O113" s="98">
        <v>0</v>
      </c>
      <c r="P113" s="98">
        <v>0</v>
      </c>
      <c r="Q113" s="98">
        <v>0</v>
      </c>
      <c r="R113" s="28"/>
      <c r="S113" s="9" t="str">
        <v>WN337</v>
      </c>
      <c r="T113" t="s">
        <v>290</v>
      </c>
      <c r="U113" s="12">
        <f t="shared" si="2"/>
        <v>13741.228015352994</v>
      </c>
      <c r="V113" s="12">
        <f t="shared" si="0"/>
        <v>13335.460070002035</v>
      </c>
      <c r="W113" s="12">
        <f t="shared" si="0"/>
        <v>5872.5075810553089</v>
      </c>
      <c r="X113" s="12">
        <f t="shared" si="0"/>
        <v>1880.9091486367111</v>
      </c>
      <c r="Y113" s="12">
        <f t="shared" si="3"/>
        <v>160.14264572768491</v>
      </c>
      <c r="Z113" s="12">
        <f t="shared" si="3"/>
        <v>63.164556087467908</v>
      </c>
      <c r="AA113" s="12">
        <f t="shared" si="3"/>
        <v>3.6522529336147449</v>
      </c>
      <c r="AB113" s="12">
        <f t="shared" si="3"/>
        <v>0</v>
      </c>
      <c r="AC113" s="12">
        <f t="shared" si="3"/>
        <v>0</v>
      </c>
      <c r="AD113" s="12">
        <f t="shared" si="3"/>
        <v>0</v>
      </c>
      <c r="AE113" s="12">
        <f t="shared" si="3"/>
        <v>0</v>
      </c>
      <c r="AF113" s="12">
        <f t="shared" si="3"/>
        <v>0</v>
      </c>
      <c r="AG113" s="12">
        <f t="shared" si="3"/>
        <v>0</v>
      </c>
      <c r="AH113" s="12">
        <f t="shared" si="3"/>
        <v>0</v>
      </c>
      <c r="AI113" s="12">
        <f t="shared" si="3"/>
        <v>0</v>
      </c>
    </row>
    <row r="114" spans="1:35" x14ac:dyDescent="0.45">
      <c r="A114" s="9" t="str">
        <v>WX313</v>
      </c>
      <c r="B114" t="s">
        <v>291</v>
      </c>
      <c r="C114" s="98">
        <v>31781.634655907452</v>
      </c>
      <c r="D114" s="98">
        <v>30843.14731112184</v>
      </c>
      <c r="E114" s="98">
        <v>12917.730619007523</v>
      </c>
      <c r="F114" s="98">
        <v>4166.6692872289941</v>
      </c>
      <c r="G114" s="98">
        <v>3299.6658265072037</v>
      </c>
      <c r="H114" s="98">
        <v>1289.6607021113316</v>
      </c>
      <c r="I114" s="98">
        <v>74.298295575168609</v>
      </c>
      <c r="J114" s="98">
        <v>0</v>
      </c>
      <c r="K114" s="98">
        <v>0</v>
      </c>
      <c r="L114" s="98">
        <v>0</v>
      </c>
      <c r="M114" s="98">
        <v>0</v>
      </c>
      <c r="N114" s="98">
        <v>0</v>
      </c>
      <c r="O114" s="98">
        <v>0</v>
      </c>
      <c r="P114" s="98">
        <v>0</v>
      </c>
      <c r="Q114" s="98">
        <v>0</v>
      </c>
      <c r="R114" s="28"/>
      <c r="S114" s="9" t="str">
        <v>WX313</v>
      </c>
      <c r="T114" t="s">
        <v>291</v>
      </c>
      <c r="U114" s="12">
        <f t="shared" si="2"/>
        <v>15324.65490467396</v>
      </c>
      <c r="V114" s="12">
        <f t="shared" si="2"/>
        <v>14872.129575283139</v>
      </c>
      <c r="W114" s="12">
        <f t="shared" si="2"/>
        <v>6228.7470745635364</v>
      </c>
      <c r="X114" s="12">
        <f t="shared" si="2"/>
        <v>2009.109022239026</v>
      </c>
      <c r="Y114" s="12">
        <f t="shared" si="3"/>
        <v>3299.6658265072037</v>
      </c>
      <c r="Z114" s="12">
        <f t="shared" si="3"/>
        <v>1289.6607021113316</v>
      </c>
      <c r="AA114" s="12">
        <f t="shared" si="3"/>
        <v>74.298295575168609</v>
      </c>
      <c r="AB114" s="12">
        <f t="shared" si="3"/>
        <v>0</v>
      </c>
      <c r="AC114" s="12">
        <f t="shared" si="3"/>
        <v>0</v>
      </c>
      <c r="AD114" s="12">
        <f t="shared" si="3"/>
        <v>0</v>
      </c>
      <c r="AE114" s="12">
        <f t="shared" si="3"/>
        <v>0</v>
      </c>
      <c r="AF114" s="12">
        <f t="shared" si="3"/>
        <v>0</v>
      </c>
      <c r="AG114" s="12">
        <f t="shared" si="3"/>
        <v>0</v>
      </c>
      <c r="AH114" s="12">
        <f t="shared" si="3"/>
        <v>0</v>
      </c>
      <c r="AI114" s="12">
        <f t="shared" si="3"/>
        <v>0</v>
      </c>
    </row>
    <row r="115" spans="1:35" ht="14.65" thickBot="1" x14ac:dyDescent="0.5">
      <c r="A115" s="9" t="str">
        <v>WX339</v>
      </c>
      <c r="B115" t="s">
        <v>292</v>
      </c>
      <c r="C115" s="98">
        <v>55693.195225537675</v>
      </c>
      <c r="D115" s="98">
        <v>54048.617799746688</v>
      </c>
      <c r="E115" s="98">
        <v>23801.27240518406</v>
      </c>
      <c r="F115" s="98">
        <v>7623.3245165194376</v>
      </c>
      <c r="G115" s="98">
        <v>7054.3090685240268</v>
      </c>
      <c r="H115" s="98">
        <v>2782.4087630899471</v>
      </c>
      <c r="I115" s="98">
        <v>160.8823238374159</v>
      </c>
      <c r="J115" s="98">
        <v>0</v>
      </c>
      <c r="K115" s="98">
        <v>0</v>
      </c>
      <c r="L115" s="98">
        <v>0</v>
      </c>
      <c r="M115" s="98">
        <v>0</v>
      </c>
      <c r="N115" s="98">
        <v>0</v>
      </c>
      <c r="O115" s="98">
        <v>0</v>
      </c>
      <c r="P115" s="98">
        <v>0</v>
      </c>
      <c r="Q115" s="98">
        <v>0</v>
      </c>
      <c r="R115" s="28"/>
      <c r="S115" s="9" t="str">
        <v>WX339</v>
      </c>
      <c r="T115" t="s">
        <v>292</v>
      </c>
      <c r="U115" s="12">
        <f t="shared" si="2"/>
        <v>26854.471351471497</v>
      </c>
      <c r="V115" s="12">
        <f t="shared" si="2"/>
        <v>26061.479367669323</v>
      </c>
      <c r="W115" s="12">
        <f t="shared" si="2"/>
        <v>11476.637053147524</v>
      </c>
      <c r="X115" s="12">
        <f t="shared" si="2"/>
        <v>3675.8593038664199</v>
      </c>
      <c r="Y115" s="12">
        <f t="shared" si="3"/>
        <v>7054.3090685240268</v>
      </c>
      <c r="Z115" s="12">
        <f t="shared" si="3"/>
        <v>2782.4087630899471</v>
      </c>
      <c r="AA115" s="12">
        <f t="shared" si="3"/>
        <v>160.8823238374159</v>
      </c>
      <c r="AB115" s="12">
        <f t="shared" si="3"/>
        <v>0</v>
      </c>
      <c r="AC115" s="12">
        <f t="shared" si="3"/>
        <v>0</v>
      </c>
      <c r="AD115" s="12">
        <f t="shared" si="3"/>
        <v>0</v>
      </c>
      <c r="AE115" s="12">
        <f t="shared" si="3"/>
        <v>0</v>
      </c>
      <c r="AF115" s="12">
        <f t="shared" si="3"/>
        <v>0</v>
      </c>
      <c r="AG115" s="12">
        <f t="shared" si="3"/>
        <v>0</v>
      </c>
      <c r="AH115" s="12">
        <f t="shared" si="3"/>
        <v>0</v>
      </c>
      <c r="AI115" s="12">
        <f t="shared" si="3"/>
        <v>0</v>
      </c>
    </row>
    <row r="116" spans="1:35" ht="14.65" thickBot="1" x14ac:dyDescent="0.5">
      <c r="A116" s="9" t="str">
        <v>WN332</v>
      </c>
      <c r="B116" t="s">
        <v>293</v>
      </c>
      <c r="C116" s="182">
        <v>15562.932631604381</v>
      </c>
      <c r="D116" s="182">
        <v>18611.965410178149</v>
      </c>
      <c r="E116" s="182">
        <v>18412.270804268246</v>
      </c>
      <c r="F116" s="182">
        <v>10239.74208171486</v>
      </c>
      <c r="G116" s="98">
        <v>13626.0699352844</v>
      </c>
      <c r="H116" s="98">
        <v>15028.040877415719</v>
      </c>
      <c r="I116" s="98">
        <v>15641.18208047675</v>
      </c>
      <c r="J116" s="98">
        <v>16414.124437352355</v>
      </c>
      <c r="K116" s="98">
        <v>17081.527268838545</v>
      </c>
      <c r="L116" s="98">
        <v>17478.941312008741</v>
      </c>
      <c r="M116" s="98">
        <v>17883.288949862166</v>
      </c>
      <c r="N116" s="98">
        <v>18294.682382444458</v>
      </c>
      <c r="O116" s="98">
        <v>0</v>
      </c>
      <c r="P116" s="98">
        <v>0</v>
      </c>
      <c r="Q116" s="98">
        <v>0</v>
      </c>
      <c r="R116" s="28"/>
      <c r="S116" s="9" t="str">
        <v>WN332</v>
      </c>
      <c r="T116" t="s">
        <v>293</v>
      </c>
      <c r="U116" s="12">
        <f t="shared" si="2"/>
        <v>7504.2260873669584</v>
      </c>
      <c r="V116" s="12">
        <f t="shared" si="2"/>
        <v>8974.4265861948879</v>
      </c>
      <c r="W116" s="12">
        <f t="shared" si="2"/>
        <v>8878.1366704927295</v>
      </c>
      <c r="X116" s="12">
        <f t="shared" si="2"/>
        <v>4937.4588630852622</v>
      </c>
      <c r="Y116" s="12">
        <f t="shared" si="3"/>
        <v>13626.0699352844</v>
      </c>
      <c r="Z116" s="12">
        <f t="shared" si="3"/>
        <v>15028.040877415719</v>
      </c>
      <c r="AA116" s="12">
        <f t="shared" si="3"/>
        <v>15641.18208047675</v>
      </c>
      <c r="AB116" s="12">
        <f t="shared" si="3"/>
        <v>16414.124437352355</v>
      </c>
      <c r="AC116" s="12">
        <f t="shared" si="3"/>
        <v>17081.527268838545</v>
      </c>
      <c r="AD116" s="12">
        <f t="shared" si="3"/>
        <v>17478.941312008741</v>
      </c>
      <c r="AE116" s="12">
        <f t="shared" si="3"/>
        <v>17883.288949862166</v>
      </c>
      <c r="AF116" s="12">
        <f t="shared" si="3"/>
        <v>18294.682382444458</v>
      </c>
      <c r="AG116" s="12">
        <f t="shared" si="3"/>
        <v>0</v>
      </c>
      <c r="AH116" s="12">
        <f t="shared" si="3"/>
        <v>0</v>
      </c>
      <c r="AI116" s="12">
        <f t="shared" si="3"/>
        <v>0</v>
      </c>
    </row>
    <row r="117" spans="1:35" ht="14.65" thickBot="1" x14ac:dyDescent="0.5">
      <c r="A117" s="9" t="str">
        <v>WX334</v>
      </c>
      <c r="B117" t="s">
        <v>295</v>
      </c>
      <c r="C117" s="182">
        <v>15283.037781397848</v>
      </c>
      <c r="D117" s="182">
        <v>15964.12771985299</v>
      </c>
      <c r="E117" s="182">
        <v>15642.524404647553</v>
      </c>
      <c r="F117" s="182">
        <v>19615.293069738414</v>
      </c>
      <c r="G117" s="98">
        <v>21144.372397112689</v>
      </c>
      <c r="H117" s="98">
        <v>23319.892986038594</v>
      </c>
      <c r="I117" s="98">
        <v>24271.340174487621</v>
      </c>
      <c r="J117" s="98">
        <v>25470.760191623958</v>
      </c>
      <c r="K117" s="98">
        <v>26506.408333373856</v>
      </c>
      <c r="L117" s="98">
        <v>27123.099027355496</v>
      </c>
      <c r="M117" s="98">
        <v>27750.548987121696</v>
      </c>
      <c r="N117" s="98">
        <v>28388.932320068016</v>
      </c>
      <c r="O117" s="98">
        <v>0</v>
      </c>
      <c r="P117" s="98">
        <v>0</v>
      </c>
      <c r="Q117" s="98">
        <v>0</v>
      </c>
      <c r="R117" s="28"/>
      <c r="S117" s="9" t="str">
        <v>WX334</v>
      </c>
      <c r="T117" t="s">
        <v>295</v>
      </c>
      <c r="U117" s="12">
        <f t="shared" si="2"/>
        <v>7369.2647477300989</v>
      </c>
      <c r="V117" s="12">
        <f t="shared" si="2"/>
        <v>7697.6766868538962</v>
      </c>
      <c r="W117" s="12">
        <f t="shared" si="2"/>
        <v>7542.6041150657638</v>
      </c>
      <c r="X117" s="12">
        <f t="shared" si="2"/>
        <v>9458.2169986624649</v>
      </c>
      <c r="Y117" s="12">
        <f t="shared" si="3"/>
        <v>21144.372397112689</v>
      </c>
      <c r="Z117" s="12">
        <f t="shared" si="3"/>
        <v>23319.892986038594</v>
      </c>
      <c r="AA117" s="12">
        <f t="shared" si="3"/>
        <v>24271.340174487621</v>
      </c>
      <c r="AB117" s="12">
        <f t="shared" si="3"/>
        <v>25470.760191623958</v>
      </c>
      <c r="AC117" s="12">
        <f t="shared" si="3"/>
        <v>26506.408333373856</v>
      </c>
      <c r="AD117" s="12">
        <f t="shared" si="3"/>
        <v>27123.099027355496</v>
      </c>
      <c r="AE117" s="12">
        <f t="shared" si="3"/>
        <v>27750.548987121696</v>
      </c>
      <c r="AF117" s="12">
        <f t="shared" si="3"/>
        <v>28388.932320068016</v>
      </c>
      <c r="AG117" s="12">
        <f t="shared" si="3"/>
        <v>0</v>
      </c>
      <c r="AH117" s="12">
        <f t="shared" si="3"/>
        <v>0</v>
      </c>
      <c r="AI117" s="12">
        <f t="shared" si="3"/>
        <v>0</v>
      </c>
    </row>
    <row r="118" spans="1:35" ht="14.65" thickBot="1" x14ac:dyDescent="0.5">
      <c r="A118" s="9" t="str">
        <v>WN333</v>
      </c>
      <c r="B118" t="s">
        <v>296</v>
      </c>
      <c r="C118" s="182">
        <v>3373.7309046304217</v>
      </c>
      <c r="D118" s="182">
        <v>2324.2692916445149</v>
      </c>
      <c r="E118" s="182">
        <v>1124.443420859146</v>
      </c>
      <c r="F118" s="182">
        <v>233.54308122872888</v>
      </c>
      <c r="G118" s="98">
        <v>74.174587522866375</v>
      </c>
      <c r="H118" s="98">
        <v>81.806327037306517</v>
      </c>
      <c r="I118" s="98">
        <v>85.144009586003705</v>
      </c>
      <c r="J118" s="98">
        <v>89.351582332400554</v>
      </c>
      <c r="K118" s="98">
        <v>92.984642339592426</v>
      </c>
      <c r="L118" s="98">
        <v>95.147997060942501</v>
      </c>
      <c r="M118" s="98">
        <v>97.349095352384452</v>
      </c>
      <c r="N118" s="98">
        <v>99.588547983725348</v>
      </c>
      <c r="O118" s="98">
        <v>0</v>
      </c>
      <c r="P118" s="98">
        <v>0</v>
      </c>
      <c r="Q118" s="98">
        <v>0</v>
      </c>
      <c r="R118" s="28"/>
      <c r="S118" s="9" t="str">
        <v>WN333</v>
      </c>
      <c r="T118" t="s">
        <v>296</v>
      </c>
      <c r="U118" s="12">
        <f t="shared" si="2"/>
        <v>1626.765344654312</v>
      </c>
      <c r="V118" s="12">
        <f t="shared" si="2"/>
        <v>1120.7297920833198</v>
      </c>
      <c r="W118" s="12">
        <f t="shared" si="2"/>
        <v>542.19072024020363</v>
      </c>
      <c r="X118" s="12">
        <f t="shared" si="2"/>
        <v>112.61117195365104</v>
      </c>
      <c r="Y118" s="12">
        <f t="shared" si="3"/>
        <v>74.174587522866375</v>
      </c>
      <c r="Z118" s="12">
        <f t="shared" si="3"/>
        <v>81.806327037306517</v>
      </c>
      <c r="AA118" s="12">
        <f t="shared" si="3"/>
        <v>85.144009586003705</v>
      </c>
      <c r="AB118" s="12">
        <f t="shared" si="3"/>
        <v>89.351582332400554</v>
      </c>
      <c r="AC118" s="12">
        <f t="shared" si="3"/>
        <v>92.984642339592426</v>
      </c>
      <c r="AD118" s="12">
        <f t="shared" si="3"/>
        <v>95.147997060942501</v>
      </c>
      <c r="AE118" s="12">
        <f t="shared" si="3"/>
        <v>97.349095352384452</v>
      </c>
      <c r="AF118" s="12">
        <f t="shared" si="3"/>
        <v>99.588547983725348</v>
      </c>
      <c r="AG118" s="12">
        <f t="shared" si="3"/>
        <v>0</v>
      </c>
      <c r="AH118" s="12">
        <f t="shared" si="3"/>
        <v>0</v>
      </c>
      <c r="AI118" s="12">
        <f t="shared" si="3"/>
        <v>0</v>
      </c>
    </row>
    <row r="119" spans="1:35" x14ac:dyDescent="0.45">
      <c r="A119" s="9" t="str">
        <v>WX335</v>
      </c>
      <c r="B119" t="s">
        <v>297</v>
      </c>
      <c r="C119" s="182">
        <v>4290.5731204407612</v>
      </c>
      <c r="D119" s="182">
        <v>3838.7577650932267</v>
      </c>
      <c r="E119" s="182">
        <v>2166.84945308442</v>
      </c>
      <c r="F119" s="182">
        <v>475.51234188593219</v>
      </c>
      <c r="G119" s="98">
        <v>744.22799708611637</v>
      </c>
      <c r="H119" s="98">
        <v>820.80077494435272</v>
      </c>
      <c r="I119" s="98">
        <v>854.28929009599312</v>
      </c>
      <c r="J119" s="98">
        <v>896.50581656713427</v>
      </c>
      <c r="K119" s="98">
        <v>932.95799058984176</v>
      </c>
      <c r="L119" s="98">
        <v>954.6639306567256</v>
      </c>
      <c r="M119" s="98">
        <v>976.74856944658768</v>
      </c>
      <c r="N119" s="98">
        <v>999.21803509583413</v>
      </c>
      <c r="O119" s="98">
        <v>0</v>
      </c>
      <c r="P119" s="98">
        <v>0</v>
      </c>
      <c r="Q119" s="98">
        <v>0</v>
      </c>
      <c r="R119" s="28"/>
      <c r="S119" s="9" t="str">
        <v>WX335</v>
      </c>
      <c r="T119" t="s">
        <v>297</v>
      </c>
      <c r="U119" s="12">
        <f t="shared" si="2"/>
        <v>2068.8536988704927</v>
      </c>
      <c r="V119" s="12">
        <f t="shared" si="2"/>
        <v>1850.994722254052</v>
      </c>
      <c r="W119" s="12">
        <f t="shared" si="2"/>
        <v>1044.8241715196987</v>
      </c>
      <c r="X119" s="12">
        <f t="shared" si="2"/>
        <v>229.28532849900972</v>
      </c>
      <c r="Y119" s="12">
        <f t="shared" si="3"/>
        <v>744.22799708611637</v>
      </c>
      <c r="Z119" s="12">
        <f t="shared" si="3"/>
        <v>820.80077494435272</v>
      </c>
      <c r="AA119" s="12">
        <f t="shared" si="3"/>
        <v>854.28929009599312</v>
      </c>
      <c r="AB119" s="12">
        <f t="shared" si="3"/>
        <v>896.50581656713427</v>
      </c>
      <c r="AC119" s="12">
        <f t="shared" si="3"/>
        <v>932.95799058984176</v>
      </c>
      <c r="AD119" s="12">
        <f t="shared" si="3"/>
        <v>954.6639306567256</v>
      </c>
      <c r="AE119" s="12">
        <f t="shared" si="3"/>
        <v>976.74856944658768</v>
      </c>
      <c r="AF119" s="12">
        <f t="shared" si="3"/>
        <v>999.21803509583413</v>
      </c>
      <c r="AG119" s="12">
        <f t="shared" si="3"/>
        <v>0</v>
      </c>
      <c r="AH119" s="12">
        <f t="shared" si="3"/>
        <v>0</v>
      </c>
      <c r="AI119" s="12">
        <f t="shared" si="3"/>
        <v>0</v>
      </c>
    </row>
    <row r="120" spans="1:35" x14ac:dyDescent="0.45">
      <c r="A120" s="9" t="str">
        <v>WN348</v>
      </c>
      <c r="B120" t="s">
        <v>298</v>
      </c>
      <c r="C120" s="98">
        <v>37225.493682006112</v>
      </c>
      <c r="D120" s="98">
        <v>85864.312477539293</v>
      </c>
      <c r="E120" s="98">
        <v>127560.83190379567</v>
      </c>
      <c r="F120" s="98">
        <v>180086.39967006436</v>
      </c>
      <c r="G120" s="98">
        <v>261481.18346980814</v>
      </c>
      <c r="H120" s="98">
        <v>287797.72504500643</v>
      </c>
      <c r="I120" s="98">
        <v>393702.03956636426</v>
      </c>
      <c r="J120" s="98">
        <v>357603.95422998437</v>
      </c>
      <c r="K120" s="98">
        <v>240628.26650127026</v>
      </c>
      <c r="L120" s="98">
        <v>119412.79085481199</v>
      </c>
      <c r="M120" s="98">
        <v>0</v>
      </c>
      <c r="N120" s="98">
        <v>0</v>
      </c>
      <c r="O120" s="98">
        <v>0</v>
      </c>
      <c r="P120" s="98">
        <v>0</v>
      </c>
      <c r="Q120" s="98">
        <v>0</v>
      </c>
      <c r="R120" s="28"/>
      <c r="S120" s="9" t="str">
        <v>WN348</v>
      </c>
      <c r="T120" t="s">
        <v>298</v>
      </c>
      <c r="U120" s="12">
        <f t="shared" si="2"/>
        <v>17949.606762181695</v>
      </c>
      <c r="V120" s="12">
        <f t="shared" si="2"/>
        <v>41402.557533358231</v>
      </c>
      <c r="W120" s="12">
        <f t="shared" si="2"/>
        <v>61508.029698385486</v>
      </c>
      <c r="X120" s="12">
        <f t="shared" si="2"/>
        <v>86835.115872680661</v>
      </c>
      <c r="Y120" s="12">
        <f t="shared" si="3"/>
        <v>261481.18346980814</v>
      </c>
      <c r="Z120" s="12">
        <f t="shared" si="3"/>
        <v>287797.72504500643</v>
      </c>
      <c r="AA120" s="12">
        <f t="shared" si="3"/>
        <v>393702.03956636426</v>
      </c>
      <c r="AB120" s="12">
        <f t="shared" si="3"/>
        <v>357603.95422998437</v>
      </c>
      <c r="AC120" s="12">
        <f t="shared" si="3"/>
        <v>240628.26650127026</v>
      </c>
      <c r="AD120" s="12">
        <f t="shared" si="3"/>
        <v>119412.79085481199</v>
      </c>
      <c r="AE120" s="12">
        <f t="shared" si="3"/>
        <v>0</v>
      </c>
      <c r="AF120" s="12">
        <f t="shared" ref="Z120:AI135" si="4">INDEX($C$98:$Q$137,MATCH($S120,_xlfn.ANCHORARRAY($A$98),0),MATCH(AF$96,$C$96:$Q$96,0))</f>
        <v>0</v>
      </c>
      <c r="AG120" s="12">
        <f t="shared" si="4"/>
        <v>0</v>
      </c>
      <c r="AH120" s="12">
        <f t="shared" si="4"/>
        <v>0</v>
      </c>
      <c r="AI120" s="12">
        <f t="shared" si="4"/>
        <v>0</v>
      </c>
    </row>
    <row r="121" spans="1:35" x14ac:dyDescent="0.45">
      <c r="A121" s="9" t="str">
        <v>WN350</v>
      </c>
      <c r="B121" t="s">
        <v>300</v>
      </c>
      <c r="C121" s="98">
        <v>106612.5482746474</v>
      </c>
      <c r="D121" s="98">
        <v>232336.12379478154</v>
      </c>
      <c r="E121" s="98">
        <v>357385.40526988974</v>
      </c>
      <c r="F121" s="98">
        <v>514802.00762610673</v>
      </c>
      <c r="G121" s="98">
        <v>563846.04200365604</v>
      </c>
      <c r="H121" s="98">
        <v>613037.40720303985</v>
      </c>
      <c r="I121" s="98">
        <v>597523.26701290708</v>
      </c>
      <c r="J121" s="98">
        <v>486639.08542237978</v>
      </c>
      <c r="K121" s="98">
        <v>423320.98126628372</v>
      </c>
      <c r="L121" s="98">
        <v>364917.96429244441</v>
      </c>
      <c r="M121" s="98">
        <v>288947.34951620648</v>
      </c>
      <c r="N121" s="98">
        <v>73291.200304760365</v>
      </c>
      <c r="O121" s="98">
        <v>0</v>
      </c>
      <c r="P121" s="98">
        <v>0</v>
      </c>
      <c r="Q121" s="98">
        <v>0</v>
      </c>
      <c r="R121" s="28"/>
      <c r="S121" s="9" t="str">
        <v>WN350</v>
      </c>
      <c r="T121" t="s">
        <v>300</v>
      </c>
      <c r="U121" s="12">
        <f t="shared" si="2"/>
        <v>51407.063497697716</v>
      </c>
      <c r="V121" s="12">
        <f t="shared" si="2"/>
        <v>112029.19414287673</v>
      </c>
      <c r="W121" s="12">
        <f t="shared" si="2"/>
        <v>172326.18973266368</v>
      </c>
      <c r="X121" s="12">
        <f t="shared" si="2"/>
        <v>248230.24984452807</v>
      </c>
      <c r="Y121" s="12">
        <f t="shared" si="3"/>
        <v>563846.04200365604</v>
      </c>
      <c r="Z121" s="12">
        <f t="shared" si="4"/>
        <v>613037.40720303985</v>
      </c>
      <c r="AA121" s="12">
        <f t="shared" si="4"/>
        <v>597523.26701290708</v>
      </c>
      <c r="AB121" s="12">
        <f t="shared" si="4"/>
        <v>486639.08542237978</v>
      </c>
      <c r="AC121" s="12">
        <f t="shared" si="4"/>
        <v>423320.98126628372</v>
      </c>
      <c r="AD121" s="12">
        <f t="shared" si="4"/>
        <v>364917.96429244441</v>
      </c>
      <c r="AE121" s="12">
        <f t="shared" si="4"/>
        <v>288947.34951620648</v>
      </c>
      <c r="AF121" s="12">
        <f t="shared" si="4"/>
        <v>73291.200304760365</v>
      </c>
      <c r="AG121" s="12">
        <f t="shared" si="4"/>
        <v>0</v>
      </c>
      <c r="AH121" s="12">
        <f t="shared" si="4"/>
        <v>0</v>
      </c>
      <c r="AI121" s="12">
        <f t="shared" si="4"/>
        <v>0</v>
      </c>
    </row>
    <row r="122" spans="1:35" x14ac:dyDescent="0.45">
      <c r="A122" s="9" t="str">
        <v>WX349</v>
      </c>
      <c r="B122" t="s">
        <v>301</v>
      </c>
      <c r="C122" s="98">
        <v>25235.162935987762</v>
      </c>
      <c r="D122" s="98">
        <v>58207.419202197132</v>
      </c>
      <c r="E122" s="98">
        <v>100865.34434480222</v>
      </c>
      <c r="F122" s="98">
        <v>114266.12456527917</v>
      </c>
      <c r="G122" s="98">
        <v>165911.70479204782</v>
      </c>
      <c r="H122" s="98">
        <v>182609.74102942817</v>
      </c>
      <c r="I122" s="98">
        <v>249806.79564693756</v>
      </c>
      <c r="J122" s="98">
        <v>226902.29904640446</v>
      </c>
      <c r="K122" s="98">
        <v>152680.37794004654</v>
      </c>
      <c r="L122" s="98">
        <v>75768.280691546213</v>
      </c>
      <c r="M122" s="98">
        <v>0</v>
      </c>
      <c r="N122" s="98">
        <v>0</v>
      </c>
      <c r="O122" s="98">
        <v>0</v>
      </c>
      <c r="P122" s="98">
        <v>0</v>
      </c>
      <c r="Q122" s="98">
        <v>0</v>
      </c>
      <c r="R122" s="28"/>
      <c r="S122" s="9" t="str">
        <v>WX349</v>
      </c>
      <c r="T122" t="s">
        <v>301</v>
      </c>
      <c r="U122" s="12">
        <f t="shared" si="2"/>
        <v>12168.038794862596</v>
      </c>
      <c r="V122" s="12">
        <f t="shared" si="2"/>
        <v>28066.794607103708</v>
      </c>
      <c r="W122" s="12">
        <f t="shared" si="2"/>
        <v>48635.843016271261</v>
      </c>
      <c r="X122" s="12">
        <f t="shared" si="2"/>
        <v>55097.509779343753</v>
      </c>
      <c r="Y122" s="12">
        <f t="shared" si="3"/>
        <v>165911.70479204782</v>
      </c>
      <c r="Z122" s="12">
        <f t="shared" si="4"/>
        <v>182609.74102942817</v>
      </c>
      <c r="AA122" s="12">
        <f t="shared" si="4"/>
        <v>249806.79564693756</v>
      </c>
      <c r="AB122" s="12">
        <f t="shared" si="4"/>
        <v>226902.29904640446</v>
      </c>
      <c r="AC122" s="12">
        <f t="shared" si="4"/>
        <v>152680.37794004654</v>
      </c>
      <c r="AD122" s="12">
        <f t="shared" si="4"/>
        <v>75768.280691546213</v>
      </c>
      <c r="AE122" s="12">
        <f t="shared" si="4"/>
        <v>0</v>
      </c>
      <c r="AF122" s="12">
        <f t="shared" si="4"/>
        <v>0</v>
      </c>
      <c r="AG122" s="12">
        <f t="shared" si="4"/>
        <v>0</v>
      </c>
      <c r="AH122" s="12">
        <f t="shared" si="4"/>
        <v>0</v>
      </c>
      <c r="AI122" s="12">
        <f t="shared" si="4"/>
        <v>0</v>
      </c>
    </row>
    <row r="123" spans="1:35" ht="14.65" thickBot="1" x14ac:dyDescent="0.5">
      <c r="A123" s="9" t="str">
        <v>WX351</v>
      </c>
      <c r="B123" t="s">
        <v>302</v>
      </c>
      <c r="C123" s="98">
        <v>74201.758838606373</v>
      </c>
      <c r="D123" s="98">
        <v>161704.68961031872</v>
      </c>
      <c r="E123" s="98">
        <v>255460.95813080907</v>
      </c>
      <c r="F123" s="98">
        <v>318664.18741405988</v>
      </c>
      <c r="G123" s="98">
        <v>349022.65354221669</v>
      </c>
      <c r="H123" s="98">
        <v>379472.27903261228</v>
      </c>
      <c r="I123" s="98">
        <v>369868.97250350303</v>
      </c>
      <c r="J123" s="98">
        <v>301231.27992157673</v>
      </c>
      <c r="K123" s="98">
        <v>262037.15407245033</v>
      </c>
      <c r="L123" s="98">
        <v>225885.48421830893</v>
      </c>
      <c r="M123" s="98">
        <v>178859.41045850739</v>
      </c>
      <c r="N123" s="98">
        <v>45367.506918662948</v>
      </c>
      <c r="O123" s="98">
        <v>0</v>
      </c>
      <c r="P123" s="98">
        <v>0</v>
      </c>
      <c r="Q123" s="98">
        <v>0</v>
      </c>
      <c r="R123" s="28"/>
      <c r="S123" s="9" t="str">
        <v>WX351</v>
      </c>
      <c r="T123" t="s">
        <v>302</v>
      </c>
      <c r="U123" s="12">
        <f t="shared" si="2"/>
        <v>35779.03905298718</v>
      </c>
      <c r="V123" s="12">
        <f t="shared" si="2"/>
        <v>77971.715161131186</v>
      </c>
      <c r="W123" s="12">
        <f t="shared" si="2"/>
        <v>123179.66232250848</v>
      </c>
      <c r="X123" s="12">
        <f t="shared" si="2"/>
        <v>153655.36592030214</v>
      </c>
      <c r="Y123" s="12">
        <f t="shared" si="3"/>
        <v>349022.65354221669</v>
      </c>
      <c r="Z123" s="12">
        <f t="shared" si="4"/>
        <v>379472.27903261228</v>
      </c>
      <c r="AA123" s="12">
        <f t="shared" si="4"/>
        <v>369868.97250350303</v>
      </c>
      <c r="AB123" s="12">
        <f t="shared" si="4"/>
        <v>301231.27992157673</v>
      </c>
      <c r="AC123" s="12">
        <f t="shared" si="4"/>
        <v>262037.15407245033</v>
      </c>
      <c r="AD123" s="12">
        <f t="shared" si="4"/>
        <v>225885.48421830893</v>
      </c>
      <c r="AE123" s="12">
        <f t="shared" si="4"/>
        <v>178859.41045850739</v>
      </c>
      <c r="AF123" s="12">
        <f t="shared" si="4"/>
        <v>45367.506918662948</v>
      </c>
      <c r="AG123" s="12">
        <f t="shared" si="4"/>
        <v>0</v>
      </c>
      <c r="AH123" s="12">
        <f t="shared" si="4"/>
        <v>0</v>
      </c>
      <c r="AI123" s="12">
        <f t="shared" si="4"/>
        <v>0</v>
      </c>
    </row>
    <row r="124" spans="1:35" ht="14.65" thickBot="1" x14ac:dyDescent="0.5">
      <c r="A124" s="9" t="str">
        <v>WX355</v>
      </c>
      <c r="B124" t="s">
        <v>303</v>
      </c>
      <c r="C124" s="182">
        <v>62510.061393806565</v>
      </c>
      <c r="D124" s="182">
        <v>62157.205159489211</v>
      </c>
      <c r="E124" s="182">
        <v>74843.346557496669</v>
      </c>
      <c r="F124" s="182">
        <v>58224.679769659495</v>
      </c>
      <c r="G124" s="98">
        <v>66516.268804033898</v>
      </c>
      <c r="H124" s="98">
        <v>64976.311255830093</v>
      </c>
      <c r="I124" s="98">
        <v>44574.843464293459</v>
      </c>
      <c r="J124" s="98">
        <v>42683.36141114022</v>
      </c>
      <c r="K124" s="98">
        <v>33895.711844852995</v>
      </c>
      <c r="L124" s="98">
        <v>0</v>
      </c>
      <c r="M124" s="98">
        <v>0</v>
      </c>
      <c r="N124" s="98">
        <v>0</v>
      </c>
      <c r="O124" s="98">
        <v>0</v>
      </c>
      <c r="P124" s="98">
        <v>0</v>
      </c>
      <c r="Q124" s="98">
        <v>0</v>
      </c>
      <c r="R124" s="28"/>
      <c r="S124" s="9" t="str">
        <v>WX355</v>
      </c>
      <c r="T124" t="s">
        <v>303</v>
      </c>
      <c r="U124" s="12">
        <f t="shared" si="2"/>
        <v>30141.467841460097</v>
      </c>
      <c r="V124" s="12">
        <f t="shared" si="2"/>
        <v>29971.325553927662</v>
      </c>
      <c r="W124" s="12">
        <f t="shared" si="2"/>
        <v>36088.403580316277</v>
      </c>
      <c r="X124" s="12">
        <f t="shared" si="2"/>
        <v>28075.117408705431</v>
      </c>
      <c r="Y124" s="12">
        <f t="shared" si="3"/>
        <v>66516.268804033898</v>
      </c>
      <c r="Z124" s="12">
        <f t="shared" si="4"/>
        <v>64976.311255830093</v>
      </c>
      <c r="AA124" s="12">
        <f t="shared" si="4"/>
        <v>44574.843464293459</v>
      </c>
      <c r="AB124" s="12">
        <f t="shared" si="4"/>
        <v>42683.36141114022</v>
      </c>
      <c r="AC124" s="12">
        <f t="shared" si="4"/>
        <v>33895.711844852995</v>
      </c>
      <c r="AD124" s="12">
        <f t="shared" si="4"/>
        <v>0</v>
      </c>
      <c r="AE124" s="12">
        <f t="shared" si="4"/>
        <v>0</v>
      </c>
      <c r="AF124" s="12">
        <f t="shared" si="4"/>
        <v>0</v>
      </c>
      <c r="AG124" s="12">
        <f t="shared" si="4"/>
        <v>0</v>
      </c>
      <c r="AH124" s="12">
        <f t="shared" si="4"/>
        <v>0</v>
      </c>
      <c r="AI124" s="12">
        <f t="shared" si="4"/>
        <v>0</v>
      </c>
    </row>
    <row r="125" spans="1:35" ht="14.65" thickBot="1" x14ac:dyDescent="0.5">
      <c r="A125" s="9" t="str">
        <v>WN354</v>
      </c>
      <c r="B125" t="s">
        <v>304</v>
      </c>
      <c r="C125" s="182">
        <v>100451.31301117252</v>
      </c>
      <c r="D125" s="182">
        <v>72904.0223235468</v>
      </c>
      <c r="E125" s="182">
        <v>144648.04428179009</v>
      </c>
      <c r="F125" s="182">
        <v>82052.494130989566</v>
      </c>
      <c r="G125" s="98">
        <v>106680.34242862533</v>
      </c>
      <c r="H125" s="98">
        <v>104200.08070695061</v>
      </c>
      <c r="I125" s="98">
        <v>71348.820358150857</v>
      </c>
      <c r="J125" s="98">
        <v>68276.088012969005</v>
      </c>
      <c r="K125" s="98">
        <v>54298.735179089716</v>
      </c>
      <c r="L125" s="98">
        <v>0</v>
      </c>
      <c r="M125" s="98">
        <v>0</v>
      </c>
      <c r="N125" s="98">
        <v>0</v>
      </c>
      <c r="O125" s="98">
        <v>0</v>
      </c>
      <c r="P125" s="98">
        <v>0</v>
      </c>
      <c r="Q125" s="98">
        <v>0</v>
      </c>
      <c r="R125" s="28"/>
      <c r="S125" s="9" t="str">
        <v>WN354</v>
      </c>
      <c r="T125" t="s">
        <v>304</v>
      </c>
      <c r="U125" s="12">
        <f t="shared" si="2"/>
        <v>48436.202960739458</v>
      </c>
      <c r="V125" s="12">
        <f t="shared" si="2"/>
        <v>35153.288852728503</v>
      </c>
      <c r="W125" s="12">
        <f t="shared" si="2"/>
        <v>69747.241929307187</v>
      </c>
      <c r="X125" s="12">
        <f t="shared" si="2"/>
        <v>39564.552617858346</v>
      </c>
      <c r="Y125" s="12">
        <f t="shared" si="3"/>
        <v>106680.34242862533</v>
      </c>
      <c r="Z125" s="12">
        <f t="shared" si="4"/>
        <v>104200.08070695061</v>
      </c>
      <c r="AA125" s="12">
        <f t="shared" si="4"/>
        <v>71348.820358150857</v>
      </c>
      <c r="AB125" s="12">
        <f t="shared" si="4"/>
        <v>68276.088012969005</v>
      </c>
      <c r="AC125" s="12">
        <f t="shared" si="4"/>
        <v>54298.735179089716</v>
      </c>
      <c r="AD125" s="12">
        <f t="shared" si="4"/>
        <v>0</v>
      </c>
      <c r="AE125" s="12">
        <f t="shared" si="4"/>
        <v>0</v>
      </c>
      <c r="AF125" s="12">
        <f t="shared" si="4"/>
        <v>0</v>
      </c>
      <c r="AG125" s="12">
        <f t="shared" si="4"/>
        <v>0</v>
      </c>
      <c r="AH125" s="12">
        <f t="shared" si="4"/>
        <v>0</v>
      </c>
      <c r="AI125" s="12">
        <f t="shared" si="4"/>
        <v>0</v>
      </c>
    </row>
    <row r="126" spans="1:35" ht="14.65" thickBot="1" x14ac:dyDescent="0.5">
      <c r="A126" s="9" t="str">
        <v>WN158</v>
      </c>
      <c r="B126" t="s">
        <v>305</v>
      </c>
      <c r="C126" s="182">
        <v>365812.21020041051</v>
      </c>
      <c r="D126" s="182">
        <v>344944.94617975061</v>
      </c>
      <c r="E126" s="182">
        <v>222424.05371820912</v>
      </c>
      <c r="F126" s="182">
        <v>216208.54903432628</v>
      </c>
      <c r="G126" s="98">
        <v>151385.3165946989</v>
      </c>
      <c r="H126" s="98">
        <v>114883.47459759953</v>
      </c>
      <c r="I126" s="98">
        <v>81100.300692444129</v>
      </c>
      <c r="J126" s="98">
        <v>53580.45357328633</v>
      </c>
      <c r="K126" s="98">
        <v>33324.456148206737</v>
      </c>
      <c r="L126" s="98">
        <v>18918.371116889273</v>
      </c>
      <c r="M126" s="98">
        <v>0</v>
      </c>
      <c r="N126" s="98">
        <v>0</v>
      </c>
      <c r="O126" s="98">
        <v>0</v>
      </c>
      <c r="P126" s="98">
        <v>0</v>
      </c>
      <c r="Q126" s="98">
        <v>0</v>
      </c>
      <c r="R126" s="28"/>
      <c r="S126" s="9" t="str">
        <v>WN158</v>
      </c>
      <c r="T126" t="s">
        <v>305</v>
      </c>
      <c r="U126" s="12">
        <f t="shared" si="2"/>
        <v>176389.47593261476</v>
      </c>
      <c r="V126" s="12">
        <f t="shared" si="2"/>
        <v>166327.57624169084</v>
      </c>
      <c r="W126" s="12">
        <f t="shared" si="2"/>
        <v>107249.73408806854</v>
      </c>
      <c r="X126" s="12">
        <f t="shared" si="2"/>
        <v>104252.70560384663</v>
      </c>
      <c r="Y126" s="12">
        <f t="shared" si="3"/>
        <v>151385.3165946989</v>
      </c>
      <c r="Z126" s="12">
        <f t="shared" si="4"/>
        <v>114883.47459759953</v>
      </c>
      <c r="AA126" s="12">
        <f t="shared" si="4"/>
        <v>81100.300692444129</v>
      </c>
      <c r="AB126" s="12">
        <f t="shared" si="4"/>
        <v>53580.45357328633</v>
      </c>
      <c r="AC126" s="12">
        <f t="shared" si="4"/>
        <v>33324.456148206737</v>
      </c>
      <c r="AD126" s="12">
        <f t="shared" si="4"/>
        <v>18918.371116889273</v>
      </c>
      <c r="AE126" s="12">
        <f t="shared" si="4"/>
        <v>0</v>
      </c>
      <c r="AF126" s="12">
        <f t="shared" si="4"/>
        <v>0</v>
      </c>
      <c r="AG126" s="12">
        <f t="shared" si="4"/>
        <v>0</v>
      </c>
      <c r="AH126" s="12">
        <f t="shared" si="4"/>
        <v>0</v>
      </c>
      <c r="AI126" s="12">
        <f t="shared" si="4"/>
        <v>0</v>
      </c>
    </row>
    <row r="127" spans="1:35" ht="14.65" thickBot="1" x14ac:dyDescent="0.5">
      <c r="A127" s="9" t="str">
        <v>WX135</v>
      </c>
      <c r="B127" t="s">
        <v>306</v>
      </c>
      <c r="C127" s="182">
        <v>64438.573922576208</v>
      </c>
      <c r="D127" s="182">
        <v>55681.911639325364</v>
      </c>
      <c r="E127" s="182">
        <v>30407.45412443977</v>
      </c>
      <c r="F127" s="182">
        <v>29635.150960789884</v>
      </c>
      <c r="G127" s="98">
        <v>21719.808840968402</v>
      </c>
      <c r="H127" s="98">
        <v>16482.755153371909</v>
      </c>
      <c r="I127" s="98">
        <v>11635.758788290741</v>
      </c>
      <c r="J127" s="98">
        <v>7687.3849815954545</v>
      </c>
      <c r="K127" s="98">
        <v>4781.1824392857279</v>
      </c>
      <c r="L127" s="98">
        <v>2714.2883701292972</v>
      </c>
      <c r="M127" s="98">
        <v>0</v>
      </c>
      <c r="N127" s="98">
        <v>0</v>
      </c>
      <c r="O127" s="98">
        <v>0</v>
      </c>
      <c r="P127" s="98">
        <v>0</v>
      </c>
      <c r="Q127" s="98">
        <v>0</v>
      </c>
      <c r="R127" s="28"/>
      <c r="S127" s="9" t="str">
        <v>WX135</v>
      </c>
      <c r="T127" t="s">
        <v>306</v>
      </c>
      <c r="U127" s="12">
        <f t="shared" si="2"/>
        <v>31071.369317665052</v>
      </c>
      <c r="V127" s="12">
        <f t="shared" si="2"/>
        <v>26849.030565726429</v>
      </c>
      <c r="W127" s="12">
        <f t="shared" si="2"/>
        <v>14662.044480463155</v>
      </c>
      <c r="X127" s="12">
        <f t="shared" si="2"/>
        <v>14289.650813716296</v>
      </c>
      <c r="Y127" s="12">
        <f t="shared" si="3"/>
        <v>21719.808840968402</v>
      </c>
      <c r="Z127" s="12">
        <f t="shared" si="4"/>
        <v>16482.755153371909</v>
      </c>
      <c r="AA127" s="12">
        <f t="shared" si="4"/>
        <v>11635.758788290741</v>
      </c>
      <c r="AB127" s="12">
        <f t="shared" si="4"/>
        <v>7687.3849815954545</v>
      </c>
      <c r="AC127" s="12">
        <f t="shared" si="4"/>
        <v>4781.1824392857279</v>
      </c>
      <c r="AD127" s="12">
        <f t="shared" si="4"/>
        <v>2714.2883701292972</v>
      </c>
      <c r="AE127" s="12">
        <f t="shared" si="4"/>
        <v>0</v>
      </c>
      <c r="AF127" s="12">
        <f t="shared" si="4"/>
        <v>0</v>
      </c>
      <c r="AG127" s="12">
        <f t="shared" si="4"/>
        <v>0</v>
      </c>
      <c r="AH127" s="12">
        <f t="shared" si="4"/>
        <v>0</v>
      </c>
      <c r="AI127" s="12">
        <f t="shared" si="4"/>
        <v>0</v>
      </c>
    </row>
    <row r="128" spans="1:35" ht="14.65" thickBot="1" x14ac:dyDescent="0.5">
      <c r="A128" s="9" t="str">
        <v>WN138</v>
      </c>
      <c r="B128" t="s">
        <v>307</v>
      </c>
      <c r="C128" s="182">
        <v>29019.233731545784</v>
      </c>
      <c r="D128" s="182">
        <v>23728.064384471327</v>
      </c>
      <c r="E128" s="182">
        <v>15288.668668308015</v>
      </c>
      <c r="F128" s="182">
        <v>6054.204149960824</v>
      </c>
      <c r="G128" s="98">
        <v>4818.8809716903497</v>
      </c>
      <c r="H128" s="98">
        <v>3656.9582978923472</v>
      </c>
      <c r="I128" s="98">
        <v>2581.5759718064355</v>
      </c>
      <c r="J128" s="98">
        <v>1705.5671843664734</v>
      </c>
      <c r="K128" s="98">
        <v>1060.7804722201588</v>
      </c>
      <c r="L128" s="98">
        <v>602.20753664392305</v>
      </c>
      <c r="M128" s="98">
        <v>0</v>
      </c>
      <c r="N128" s="98">
        <v>0</v>
      </c>
      <c r="O128" s="98">
        <v>0</v>
      </c>
      <c r="P128" s="98">
        <v>0</v>
      </c>
      <c r="Q128" s="98">
        <v>0</v>
      </c>
      <c r="R128" s="28"/>
      <c r="S128" s="9" t="str">
        <v>WN138</v>
      </c>
      <c r="T128" t="s">
        <v>307</v>
      </c>
      <c r="U128" s="12">
        <f t="shared" si="2"/>
        <v>13992.664233567109</v>
      </c>
      <c r="V128" s="12">
        <f t="shared" si="2"/>
        <v>11441.337180569437</v>
      </c>
      <c r="W128" s="12">
        <f t="shared" si="2"/>
        <v>7371.9798817891178</v>
      </c>
      <c r="X128" s="12">
        <f t="shared" si="2"/>
        <v>2919.2516472197649</v>
      </c>
      <c r="Y128" s="12">
        <f t="shared" si="3"/>
        <v>4818.8809716903497</v>
      </c>
      <c r="Z128" s="12">
        <f t="shared" si="4"/>
        <v>3656.9582978923472</v>
      </c>
      <c r="AA128" s="12">
        <f t="shared" si="4"/>
        <v>2581.5759718064355</v>
      </c>
      <c r="AB128" s="12">
        <f t="shared" si="4"/>
        <v>1705.5671843664734</v>
      </c>
      <c r="AC128" s="12">
        <f t="shared" si="4"/>
        <v>1060.7804722201588</v>
      </c>
      <c r="AD128" s="12">
        <f t="shared" si="4"/>
        <v>602.20753664392305</v>
      </c>
      <c r="AE128" s="12">
        <f t="shared" si="4"/>
        <v>0</v>
      </c>
      <c r="AF128" s="12">
        <f t="shared" si="4"/>
        <v>0</v>
      </c>
      <c r="AG128" s="12">
        <f t="shared" si="4"/>
        <v>0</v>
      </c>
      <c r="AH128" s="12">
        <f t="shared" si="4"/>
        <v>0</v>
      </c>
      <c r="AI128" s="12">
        <f t="shared" si="4"/>
        <v>0</v>
      </c>
    </row>
    <row r="129" spans="1:35" ht="14.65" thickBot="1" x14ac:dyDescent="0.5">
      <c r="A129" s="9" t="str">
        <v>WX134</v>
      </c>
      <c r="B129" t="s">
        <v>308</v>
      </c>
      <c r="C129" s="182">
        <v>3320.5096350279105</v>
      </c>
      <c r="D129" s="182">
        <v>4175.0063148426125</v>
      </c>
      <c r="E129" s="182">
        <v>1666.3027351540698</v>
      </c>
      <c r="F129" s="182">
        <v>810.60831449523721</v>
      </c>
      <c r="G129" s="98">
        <v>63.161921478323897</v>
      </c>
      <c r="H129" s="98">
        <v>47.932396383710405</v>
      </c>
      <c r="I129" s="98">
        <v>33.837170865909378</v>
      </c>
      <c r="J129" s="98">
        <v>22.355169427887546</v>
      </c>
      <c r="K129" s="98">
        <v>13.903836447864506</v>
      </c>
      <c r="L129" s="98">
        <v>7.8932402287197387</v>
      </c>
      <c r="M129" s="98">
        <v>0</v>
      </c>
      <c r="N129" s="98">
        <v>0</v>
      </c>
      <c r="O129" s="98">
        <v>0</v>
      </c>
      <c r="P129" s="98">
        <v>0</v>
      </c>
      <c r="Q129" s="98">
        <v>0</v>
      </c>
      <c r="R129" s="28"/>
      <c r="S129" s="9" t="str">
        <v>WX134</v>
      </c>
      <c r="T129" t="s">
        <v>308</v>
      </c>
      <c r="U129" s="12">
        <f t="shared" si="2"/>
        <v>1601.1028008903618</v>
      </c>
      <c r="V129" s="12">
        <f t="shared" si="2"/>
        <v>2013.1290190860318</v>
      </c>
      <c r="W129" s="12">
        <f t="shared" si="2"/>
        <v>803.46762082623104</v>
      </c>
      <c r="X129" s="12">
        <f t="shared" si="2"/>
        <v>390.86386892909297</v>
      </c>
      <c r="Y129" s="12">
        <f t="shared" si="3"/>
        <v>63.161921478323897</v>
      </c>
      <c r="Z129" s="12">
        <f t="shared" si="4"/>
        <v>47.932396383710405</v>
      </c>
      <c r="AA129" s="12">
        <f t="shared" si="4"/>
        <v>33.837170865909378</v>
      </c>
      <c r="AB129" s="12">
        <f t="shared" si="4"/>
        <v>22.355169427887546</v>
      </c>
      <c r="AC129" s="12">
        <f t="shared" si="4"/>
        <v>13.903836447864506</v>
      </c>
      <c r="AD129" s="12">
        <f t="shared" si="4"/>
        <v>7.8932402287197387</v>
      </c>
      <c r="AE129" s="12">
        <f t="shared" si="4"/>
        <v>0</v>
      </c>
      <c r="AF129" s="12">
        <f t="shared" si="4"/>
        <v>0</v>
      </c>
      <c r="AG129" s="12">
        <f t="shared" si="4"/>
        <v>0</v>
      </c>
      <c r="AH129" s="12">
        <f t="shared" si="4"/>
        <v>0</v>
      </c>
      <c r="AI129" s="12">
        <f t="shared" si="4"/>
        <v>0</v>
      </c>
    </row>
    <row r="130" spans="1:35" ht="14.65" thickBot="1" x14ac:dyDescent="0.5">
      <c r="A130" s="9" t="str">
        <v>SL121</v>
      </c>
      <c r="B130" t="s">
        <v>309</v>
      </c>
      <c r="C130" s="182">
        <v>113761.69795961065</v>
      </c>
      <c r="D130" s="182">
        <v>102576.38360853</v>
      </c>
      <c r="E130" s="182">
        <v>79104.410155700971</v>
      </c>
      <c r="F130" s="182">
        <v>59809.863885932878</v>
      </c>
      <c r="G130" s="98">
        <v>46280.159484761243</v>
      </c>
      <c r="H130" s="98">
        <v>28092.892481646806</v>
      </c>
      <c r="I130" s="98">
        <v>17003.722491056775</v>
      </c>
      <c r="J130" s="98">
        <v>11215.911757683367</v>
      </c>
      <c r="K130" s="98">
        <v>5827.2709362582964</v>
      </c>
      <c r="L130" s="98">
        <v>1342.2308235686626</v>
      </c>
      <c r="M130" s="98">
        <v>143.47645836367556</v>
      </c>
      <c r="N130" s="98">
        <v>107.24905100526911</v>
      </c>
      <c r="O130" s="98">
        <v>0</v>
      </c>
      <c r="P130" s="98">
        <v>0</v>
      </c>
      <c r="Q130" s="98">
        <v>0</v>
      </c>
      <c r="R130" s="28"/>
      <c r="S130" s="9" t="str">
        <v>SL121</v>
      </c>
      <c r="T130" t="s">
        <v>309</v>
      </c>
      <c r="U130" s="12">
        <f t="shared" si="2"/>
        <v>54854.282401636512</v>
      </c>
      <c r="V130" s="12">
        <f t="shared" si="2"/>
        <v>49460.881958694001</v>
      </c>
      <c r="W130" s="12">
        <f t="shared" si="2"/>
        <v>38143.028204767797</v>
      </c>
      <c r="X130" s="12">
        <f t="shared" si="2"/>
        <v>28839.470778356441</v>
      </c>
      <c r="Y130" s="12">
        <f t="shared" si="3"/>
        <v>46280.159484761243</v>
      </c>
      <c r="Z130" s="12">
        <f t="shared" si="4"/>
        <v>28092.892481646806</v>
      </c>
      <c r="AA130" s="12">
        <f t="shared" si="4"/>
        <v>17003.722491056775</v>
      </c>
      <c r="AB130" s="12">
        <f t="shared" si="4"/>
        <v>11215.911757683367</v>
      </c>
      <c r="AC130" s="12">
        <f t="shared" si="4"/>
        <v>5827.2709362582964</v>
      </c>
      <c r="AD130" s="12">
        <f t="shared" si="4"/>
        <v>1342.2308235686626</v>
      </c>
      <c r="AE130" s="12">
        <f t="shared" si="4"/>
        <v>143.47645836367556</v>
      </c>
      <c r="AF130" s="12">
        <f t="shared" si="4"/>
        <v>107.24905100526911</v>
      </c>
      <c r="AG130" s="12">
        <f t="shared" si="4"/>
        <v>0</v>
      </c>
      <c r="AH130" s="12">
        <f t="shared" si="4"/>
        <v>0</v>
      </c>
      <c r="AI130" s="12">
        <f t="shared" si="4"/>
        <v>0</v>
      </c>
    </row>
    <row r="131" spans="1:35" ht="14.65" thickBot="1" x14ac:dyDescent="0.5">
      <c r="A131" s="9" t="str">
        <v>SL122</v>
      </c>
      <c r="B131" t="s">
        <v>310</v>
      </c>
      <c r="C131" s="182">
        <v>1712251.5933489003</v>
      </c>
      <c r="D131" s="182">
        <v>1410491.8576150863</v>
      </c>
      <c r="E131" s="182">
        <v>1213331.9094467252</v>
      </c>
      <c r="F131" s="182">
        <v>948510.69189392193</v>
      </c>
      <c r="G131" s="98">
        <v>535270.63653309701</v>
      </c>
      <c r="H131" s="98">
        <v>324918.94168295391</v>
      </c>
      <c r="I131" s="98">
        <v>196662.96448734138</v>
      </c>
      <c r="J131" s="98">
        <v>129721.85689660432</v>
      </c>
      <c r="K131" s="98">
        <v>67397.499447443537</v>
      </c>
      <c r="L131" s="98">
        <v>15524.076738380916</v>
      </c>
      <c r="M131" s="98">
        <v>1659.4310834457403</v>
      </c>
      <c r="N131" s="98">
        <v>1240.4293424715527</v>
      </c>
      <c r="O131" s="98">
        <v>0</v>
      </c>
      <c r="P131" s="98">
        <v>0</v>
      </c>
      <c r="Q131" s="98">
        <v>0</v>
      </c>
      <c r="R131" s="28"/>
      <c r="S131" s="9" t="str">
        <v>SL122</v>
      </c>
      <c r="T131" t="s">
        <v>310</v>
      </c>
      <c r="U131" s="12">
        <f t="shared" si="2"/>
        <v>825623.51062621316</v>
      </c>
      <c r="V131" s="12">
        <f t="shared" si="2"/>
        <v>680119.23231223563</v>
      </c>
      <c r="W131" s="12">
        <f t="shared" si="2"/>
        <v>585051.49273824447</v>
      </c>
      <c r="X131" s="12">
        <f t="shared" si="2"/>
        <v>457358.44565710716</v>
      </c>
      <c r="Y131" s="12">
        <f t="shared" si="3"/>
        <v>535270.63653309701</v>
      </c>
      <c r="Z131" s="12">
        <f t="shared" si="4"/>
        <v>324918.94168295391</v>
      </c>
      <c r="AA131" s="12">
        <f t="shared" si="4"/>
        <v>196662.96448734138</v>
      </c>
      <c r="AB131" s="12">
        <f t="shared" si="4"/>
        <v>129721.85689660432</v>
      </c>
      <c r="AC131" s="12">
        <f t="shared" si="4"/>
        <v>67397.499447443537</v>
      </c>
      <c r="AD131" s="12">
        <f t="shared" si="4"/>
        <v>15524.076738380916</v>
      </c>
      <c r="AE131" s="12">
        <f t="shared" si="4"/>
        <v>1659.4310834457403</v>
      </c>
      <c r="AF131" s="12">
        <f t="shared" si="4"/>
        <v>1240.4293424715527</v>
      </c>
      <c r="AG131" s="12">
        <f t="shared" si="4"/>
        <v>0</v>
      </c>
      <c r="AH131" s="12">
        <f t="shared" si="4"/>
        <v>0</v>
      </c>
      <c r="AI131" s="12">
        <f t="shared" si="4"/>
        <v>0</v>
      </c>
    </row>
    <row r="132" spans="1:35" ht="14.65" thickBot="1" x14ac:dyDescent="0.5">
      <c r="A132" s="9" t="str">
        <v>SL150</v>
      </c>
      <c r="B132" t="s">
        <v>311</v>
      </c>
      <c r="C132" s="182">
        <v>167681.9702701763</v>
      </c>
      <c r="D132" s="182">
        <v>158945.32386700535</v>
      </c>
      <c r="E132" s="182">
        <v>148889.97660141235</v>
      </c>
      <c r="F132" s="182">
        <v>118257.38234969004</v>
      </c>
      <c r="G132" s="98">
        <v>75052.529208324733</v>
      </c>
      <c r="H132" s="98">
        <v>45558.240442524271</v>
      </c>
      <c r="I132" s="98">
        <v>27574.934769412244</v>
      </c>
      <c r="J132" s="98">
        <v>18188.842781941992</v>
      </c>
      <c r="K132" s="98">
        <v>9450.0845938604671</v>
      </c>
      <c r="L132" s="98">
        <v>2176.6955691535791</v>
      </c>
      <c r="M132" s="98">
        <v>232.67575570028959</v>
      </c>
      <c r="N132" s="98">
        <v>173.9257734362061</v>
      </c>
      <c r="O132" s="98">
        <v>0</v>
      </c>
      <c r="P132" s="98">
        <v>0</v>
      </c>
      <c r="Q132" s="98">
        <v>0</v>
      </c>
      <c r="R132" s="28"/>
      <c r="S132" s="9" t="str">
        <v>SL150</v>
      </c>
      <c r="T132" t="s">
        <v>311</v>
      </c>
      <c r="U132" s="12">
        <f t="shared" si="2"/>
        <v>80853.875388961795</v>
      </c>
      <c r="V132" s="12">
        <f t="shared" si="2"/>
        <v>76641.188011414662</v>
      </c>
      <c r="W132" s="12">
        <f t="shared" si="2"/>
        <v>71792.641721703054</v>
      </c>
      <c r="X132" s="12">
        <f t="shared" si="2"/>
        <v>57022.037854878763</v>
      </c>
      <c r="Y132" s="12">
        <f t="shared" si="3"/>
        <v>75052.529208324733</v>
      </c>
      <c r="Z132" s="12">
        <f t="shared" si="4"/>
        <v>45558.240442524271</v>
      </c>
      <c r="AA132" s="12">
        <f t="shared" si="4"/>
        <v>27574.934769412244</v>
      </c>
      <c r="AB132" s="12">
        <f t="shared" si="4"/>
        <v>18188.842781941992</v>
      </c>
      <c r="AC132" s="12">
        <f t="shared" si="4"/>
        <v>9450.0845938604671</v>
      </c>
      <c r="AD132" s="12">
        <f t="shared" si="4"/>
        <v>2176.6955691535791</v>
      </c>
      <c r="AE132" s="12">
        <f t="shared" si="4"/>
        <v>232.67575570028959</v>
      </c>
      <c r="AF132" s="12">
        <f t="shared" si="4"/>
        <v>173.9257734362061</v>
      </c>
      <c r="AG132" s="12">
        <f t="shared" si="4"/>
        <v>0</v>
      </c>
      <c r="AH132" s="12">
        <f t="shared" si="4"/>
        <v>0</v>
      </c>
      <c r="AI132" s="12">
        <f t="shared" si="4"/>
        <v>0</v>
      </c>
    </row>
    <row r="133" spans="1:35" ht="14.65" thickBot="1" x14ac:dyDescent="0.5">
      <c r="A133" s="9" t="str">
        <v>SL151</v>
      </c>
      <c r="B133" t="s">
        <v>312</v>
      </c>
      <c r="C133" s="182">
        <v>624190.70386328024</v>
      </c>
      <c r="D133" s="182">
        <v>525064.51162489248</v>
      </c>
      <c r="E133" s="182">
        <v>284254.71134198026</v>
      </c>
      <c r="F133" s="182">
        <v>222393.92080464782</v>
      </c>
      <c r="G133" s="98">
        <v>144554.61466588874</v>
      </c>
      <c r="H133" s="98">
        <v>87747.261304746717</v>
      </c>
      <c r="I133" s="98">
        <v>53110.589504121235</v>
      </c>
      <c r="J133" s="98">
        <v>35032.545702276198</v>
      </c>
      <c r="K133" s="98">
        <v>18201.296497733889</v>
      </c>
      <c r="L133" s="98">
        <v>4192.4155330003487</v>
      </c>
      <c r="M133" s="98">
        <v>448.14418064433642</v>
      </c>
      <c r="N133" s="98">
        <v>334.98901935404382</v>
      </c>
      <c r="O133" s="98">
        <v>0</v>
      </c>
      <c r="P133" s="98">
        <v>0</v>
      </c>
      <c r="Q133" s="98">
        <v>0</v>
      </c>
      <c r="R133" s="28"/>
      <c r="S133" s="9" t="str">
        <v>SL151</v>
      </c>
      <c r="T133" t="s">
        <v>312</v>
      </c>
      <c r="U133" s="12">
        <f t="shared" si="2"/>
        <v>300975.93264078093</v>
      </c>
      <c r="V133" s="12">
        <f t="shared" si="2"/>
        <v>253178.6841822186</v>
      </c>
      <c r="W133" s="12">
        <f t="shared" si="2"/>
        <v>137063.6030369779</v>
      </c>
      <c r="X133" s="12">
        <f t="shared" si="2"/>
        <v>107235.20442316619</v>
      </c>
      <c r="Y133" s="12">
        <f t="shared" si="3"/>
        <v>144554.61466588874</v>
      </c>
      <c r="Z133" s="12">
        <f t="shared" si="4"/>
        <v>87747.261304746717</v>
      </c>
      <c r="AA133" s="12">
        <f t="shared" si="4"/>
        <v>53110.589504121235</v>
      </c>
      <c r="AB133" s="12">
        <f t="shared" si="4"/>
        <v>35032.545702276198</v>
      </c>
      <c r="AC133" s="12">
        <f t="shared" si="4"/>
        <v>18201.296497733889</v>
      </c>
      <c r="AD133" s="12">
        <f t="shared" si="4"/>
        <v>4192.4155330003487</v>
      </c>
      <c r="AE133" s="12">
        <f t="shared" si="4"/>
        <v>448.14418064433642</v>
      </c>
      <c r="AF133" s="12">
        <f t="shared" si="4"/>
        <v>334.98901935404382</v>
      </c>
      <c r="AG133" s="12">
        <f t="shared" si="4"/>
        <v>0</v>
      </c>
      <c r="AH133" s="12">
        <f t="shared" si="4"/>
        <v>0</v>
      </c>
      <c r="AI133" s="12">
        <f t="shared" si="4"/>
        <v>0</v>
      </c>
    </row>
    <row r="134" spans="1:35" ht="14.65" thickBot="1" x14ac:dyDescent="0.5">
      <c r="A134" s="9" t="str">
        <v>SL111</v>
      </c>
      <c r="B134" t="s">
        <v>313</v>
      </c>
      <c r="C134" s="182">
        <v>1729.6487988926058</v>
      </c>
      <c r="D134" s="182">
        <v>1501.3078202234694</v>
      </c>
      <c r="E134" s="182">
        <v>625.94347899764284</v>
      </c>
      <c r="F134" s="182">
        <v>232.65801059326191</v>
      </c>
      <c r="G134" s="98">
        <v>298.19723651309999</v>
      </c>
      <c r="H134" s="98">
        <v>181.01110706943663</v>
      </c>
      <c r="I134" s="98">
        <v>109.56018980311282</v>
      </c>
      <c r="J134" s="98">
        <v>72.267553274470316</v>
      </c>
      <c r="K134" s="98">
        <v>37.546890696811381</v>
      </c>
      <c r="L134" s="98">
        <v>8.6484041283969297</v>
      </c>
      <c r="M134" s="98">
        <v>0</v>
      </c>
      <c r="N134" s="98">
        <v>0</v>
      </c>
      <c r="O134" s="98">
        <v>0</v>
      </c>
      <c r="P134" s="98">
        <v>0</v>
      </c>
      <c r="Q134" s="98">
        <v>0</v>
      </c>
      <c r="R134" s="28"/>
      <c r="S134" s="9" t="str">
        <v>SL111</v>
      </c>
      <c r="T134" t="s">
        <v>313</v>
      </c>
      <c r="U134" s="12">
        <f t="shared" si="2"/>
        <v>834.01219717898016</v>
      </c>
      <c r="V134" s="12">
        <f t="shared" si="2"/>
        <v>723.90940553262271</v>
      </c>
      <c r="W134" s="12">
        <f t="shared" si="2"/>
        <v>301.82109602996508</v>
      </c>
      <c r="X134" s="12">
        <f t="shared" si="2"/>
        <v>112.18440340629218</v>
      </c>
      <c r="Y134" s="12">
        <f t="shared" si="3"/>
        <v>298.19723651309999</v>
      </c>
      <c r="Z134" s="12">
        <f t="shared" si="4"/>
        <v>181.01110706943663</v>
      </c>
      <c r="AA134" s="12">
        <f t="shared" si="4"/>
        <v>109.56018980311282</v>
      </c>
      <c r="AB134" s="12">
        <f t="shared" si="4"/>
        <v>72.267553274470316</v>
      </c>
      <c r="AC134" s="12">
        <f t="shared" si="4"/>
        <v>37.546890696811381</v>
      </c>
      <c r="AD134" s="12">
        <f t="shared" si="4"/>
        <v>8.6484041283969297</v>
      </c>
      <c r="AE134" s="12">
        <f t="shared" si="4"/>
        <v>0</v>
      </c>
      <c r="AF134" s="12">
        <f t="shared" si="4"/>
        <v>0</v>
      </c>
      <c r="AG134" s="12">
        <f t="shared" si="4"/>
        <v>0</v>
      </c>
      <c r="AH134" s="12">
        <f t="shared" si="4"/>
        <v>0</v>
      </c>
      <c r="AI134" s="12">
        <f t="shared" si="4"/>
        <v>0</v>
      </c>
    </row>
    <row r="135" spans="1:35" ht="14.65" thickBot="1" x14ac:dyDescent="0.5">
      <c r="A135" s="9" t="str">
        <v>SL112</v>
      </c>
      <c r="B135" t="s">
        <v>314</v>
      </c>
      <c r="C135" s="182">
        <v>28971.345764782607</v>
      </c>
      <c r="D135" s="182">
        <v>25831.995783014943</v>
      </c>
      <c r="E135" s="182">
        <v>8733.4629606059843</v>
      </c>
      <c r="F135" s="182">
        <v>2844.7432959548332</v>
      </c>
      <c r="G135" s="98">
        <v>2483.6487220080962</v>
      </c>
      <c r="H135" s="98">
        <v>1507.6196211581166</v>
      </c>
      <c r="I135" s="98">
        <v>912.5135717866109</v>
      </c>
      <c r="J135" s="98">
        <v>601.90771192779073</v>
      </c>
      <c r="K135" s="98">
        <v>312.72351207861243</v>
      </c>
      <c r="L135" s="98">
        <v>72.031512136293614</v>
      </c>
      <c r="M135" s="98">
        <v>0</v>
      </c>
      <c r="N135" s="98">
        <v>0</v>
      </c>
      <c r="O135" s="98">
        <v>0</v>
      </c>
      <c r="P135" s="98">
        <v>0</v>
      </c>
      <c r="Q135" s="98">
        <v>0</v>
      </c>
      <c r="R135" s="28"/>
      <c r="S135" s="9" t="str">
        <v>SL112</v>
      </c>
      <c r="T135" t="s">
        <v>314</v>
      </c>
      <c r="U135" s="12">
        <f t="shared" si="2"/>
        <v>13969.573333030445</v>
      </c>
      <c r="V135" s="12">
        <f t="shared" si="2"/>
        <v>12455.823155720369</v>
      </c>
      <c r="W135" s="12">
        <f t="shared" si="2"/>
        <v>4211.1523665495815</v>
      </c>
      <c r="X135" s="12">
        <f t="shared" si="2"/>
        <v>1371.6949985387043</v>
      </c>
      <c r="Y135" s="12">
        <f t="shared" si="3"/>
        <v>2483.6487220080962</v>
      </c>
      <c r="Z135" s="12">
        <f t="shared" si="4"/>
        <v>1507.6196211581166</v>
      </c>
      <c r="AA135" s="12">
        <f t="shared" si="4"/>
        <v>912.5135717866109</v>
      </c>
      <c r="AB135" s="12">
        <f t="shared" si="4"/>
        <v>601.90771192779073</v>
      </c>
      <c r="AC135" s="12">
        <f t="shared" si="4"/>
        <v>312.72351207861243</v>
      </c>
      <c r="AD135" s="12">
        <f t="shared" si="4"/>
        <v>72.031512136293614</v>
      </c>
      <c r="AE135" s="12">
        <f t="shared" si="4"/>
        <v>0</v>
      </c>
      <c r="AF135" s="12">
        <f t="shared" si="4"/>
        <v>0</v>
      </c>
      <c r="AG135" s="12">
        <f t="shared" si="4"/>
        <v>0</v>
      </c>
      <c r="AH135" s="12">
        <f t="shared" si="4"/>
        <v>0</v>
      </c>
      <c r="AI135" s="12">
        <f t="shared" si="4"/>
        <v>0</v>
      </c>
    </row>
    <row r="136" spans="1:35" ht="14.65" thickBot="1" x14ac:dyDescent="0.5">
      <c r="A136" s="9" t="str">
        <v>SL140</v>
      </c>
      <c r="B136" t="s">
        <v>315</v>
      </c>
      <c r="C136" s="182">
        <v>6910.6018149414631</v>
      </c>
      <c r="D136" s="182">
        <v>8177.7817290593339</v>
      </c>
      <c r="E136" s="182">
        <v>1887.766111685057</v>
      </c>
      <c r="F136" s="182">
        <v>777.30722865188932</v>
      </c>
      <c r="G136" s="98">
        <v>181.84361681800158</v>
      </c>
      <c r="H136" s="98">
        <v>110.38235893339973</v>
      </c>
      <c r="I136" s="98">
        <v>66.810884654826609</v>
      </c>
      <c r="J136" s="98">
        <v>44.069466973212492</v>
      </c>
      <c r="K136" s="98">
        <v>22.896464381816674</v>
      </c>
      <c r="L136" s="98">
        <v>5.2738821620244831</v>
      </c>
      <c r="M136" s="98">
        <v>0</v>
      </c>
      <c r="N136" s="98">
        <v>0</v>
      </c>
      <c r="O136" s="98">
        <v>0</v>
      </c>
      <c r="P136" s="98">
        <v>0</v>
      </c>
      <c r="Q136" s="98">
        <v>0</v>
      </c>
      <c r="R136" s="28"/>
      <c r="S136" s="9" t="str">
        <v>SL140</v>
      </c>
      <c r="T136" t="s">
        <v>315</v>
      </c>
      <c r="U136" s="12">
        <f t="shared" si="2"/>
        <v>3332.1944935864617</v>
      </c>
      <c r="V136" s="12">
        <f t="shared" si="2"/>
        <v>3943.2107328780176</v>
      </c>
      <c r="W136" s="12">
        <f t="shared" si="2"/>
        <v>910.25412995660429</v>
      </c>
      <c r="X136" s="12">
        <f t="shared" si="2"/>
        <v>374.80655614372398</v>
      </c>
      <c r="Y136" s="12">
        <f t="shared" si="3"/>
        <v>181.84361681800158</v>
      </c>
      <c r="Z136" s="12">
        <f t="shared" ref="Z136:AI137" si="5">INDEX($C$98:$Q$137,MATCH($S136,_xlfn.ANCHORARRAY($A$98),0),MATCH(Z$96,$C$96:$Q$96,0))</f>
        <v>110.38235893339973</v>
      </c>
      <c r="AA136" s="12">
        <f t="shared" si="5"/>
        <v>66.810884654826609</v>
      </c>
      <c r="AB136" s="12">
        <f t="shared" si="5"/>
        <v>44.069466973212492</v>
      </c>
      <c r="AC136" s="12">
        <f t="shared" si="5"/>
        <v>22.896464381816674</v>
      </c>
      <c r="AD136" s="12">
        <f t="shared" si="5"/>
        <v>5.2738821620244831</v>
      </c>
      <c r="AE136" s="12">
        <f t="shared" si="5"/>
        <v>0</v>
      </c>
      <c r="AF136" s="12">
        <f t="shared" si="5"/>
        <v>0</v>
      </c>
      <c r="AG136" s="12">
        <f t="shared" si="5"/>
        <v>0</v>
      </c>
      <c r="AH136" s="12">
        <f t="shared" si="5"/>
        <v>0</v>
      </c>
      <c r="AI136" s="12">
        <f t="shared" si="5"/>
        <v>0</v>
      </c>
    </row>
    <row r="137" spans="1:35" x14ac:dyDescent="0.45">
      <c r="A137" s="9" t="str">
        <v>SL144</v>
      </c>
      <c r="B137" t="s">
        <v>316</v>
      </c>
      <c r="C137" s="182">
        <v>2545.8657335932585</v>
      </c>
      <c r="D137" s="182">
        <v>2533.4289852128168</v>
      </c>
      <c r="E137" s="182">
        <v>957.03052531494632</v>
      </c>
      <c r="F137" s="182">
        <v>448.47449671723331</v>
      </c>
      <c r="G137" s="98">
        <v>239.40364509612388</v>
      </c>
      <c r="H137" s="98">
        <v>145.32233545163712</v>
      </c>
      <c r="I137" s="98">
        <v>87.958926457509719</v>
      </c>
      <c r="J137" s="98">
        <v>58.019034241876589</v>
      </c>
      <c r="K137" s="98">
        <v>30.14401675867812</v>
      </c>
      <c r="L137" s="98">
        <v>6.9432550643762747</v>
      </c>
      <c r="M137" s="98">
        <v>0</v>
      </c>
      <c r="N137" s="98">
        <v>0</v>
      </c>
      <c r="O137" s="98">
        <v>0</v>
      </c>
      <c r="P137" s="98">
        <v>0</v>
      </c>
      <c r="Q137" s="98">
        <v>0</v>
      </c>
      <c r="R137" s="28"/>
      <c r="S137" s="9" t="str">
        <v>SL144</v>
      </c>
      <c r="T137" t="s">
        <v>316</v>
      </c>
      <c r="U137" s="12">
        <f t="shared" si="2"/>
        <v>1227.580463476866</v>
      </c>
      <c r="V137" s="12">
        <f t="shared" si="2"/>
        <v>1221.5836392376477</v>
      </c>
      <c r="W137" s="12">
        <f t="shared" si="2"/>
        <v>461.4665888799492</v>
      </c>
      <c r="X137" s="12">
        <f t="shared" si="2"/>
        <v>216.24806181772215</v>
      </c>
      <c r="Y137" s="12">
        <f t="shared" si="3"/>
        <v>239.40364509612388</v>
      </c>
      <c r="Z137" s="12">
        <f t="shared" si="5"/>
        <v>145.32233545163712</v>
      </c>
      <c r="AA137" s="12">
        <f t="shared" si="5"/>
        <v>87.958926457509719</v>
      </c>
      <c r="AB137" s="12">
        <f t="shared" si="5"/>
        <v>58.019034241876589</v>
      </c>
      <c r="AC137" s="12">
        <f t="shared" si="5"/>
        <v>30.14401675867812</v>
      </c>
      <c r="AD137" s="12">
        <f t="shared" si="5"/>
        <v>6.9432550643762747</v>
      </c>
      <c r="AE137" s="12">
        <f t="shared" si="5"/>
        <v>0</v>
      </c>
      <c r="AF137" s="12">
        <f t="shared" si="5"/>
        <v>0</v>
      </c>
      <c r="AG137" s="12">
        <f t="shared" si="5"/>
        <v>0</v>
      </c>
      <c r="AH137" s="12">
        <f t="shared" si="5"/>
        <v>0</v>
      </c>
      <c r="AI137" s="12">
        <f t="shared" si="5"/>
        <v>0</v>
      </c>
    </row>
    <row r="139" spans="1:35" x14ac:dyDescent="0.45">
      <c r="A139" s="23" t="s">
        <v>15</v>
      </c>
      <c r="B139" s="49" t="s">
        <v>395</v>
      </c>
      <c r="C139" s="15" t="s">
        <v>5</v>
      </c>
      <c r="D139" s="15" t="s">
        <v>6</v>
      </c>
      <c r="E139" s="15" t="s">
        <v>7</v>
      </c>
      <c r="F139" s="15" t="s">
        <v>8</v>
      </c>
      <c r="G139" s="15" t="s">
        <v>9</v>
      </c>
      <c r="H139" s="15" t="s">
        <v>10</v>
      </c>
      <c r="I139" s="15" t="s">
        <v>11</v>
      </c>
      <c r="J139" s="15" t="s">
        <v>12</v>
      </c>
      <c r="K139" s="15" t="s">
        <v>13</v>
      </c>
      <c r="L139" s="15" t="s">
        <v>14</v>
      </c>
      <c r="M139" s="15" t="s">
        <v>49</v>
      </c>
      <c r="N139" s="15" t="s">
        <v>50</v>
      </c>
      <c r="O139" s="15" t="s">
        <v>51</v>
      </c>
      <c r="P139" s="15" t="s">
        <v>52</v>
      </c>
      <c r="Q139" s="15" t="s">
        <v>53</v>
      </c>
      <c r="R139" s="55"/>
      <c r="U139" s="55"/>
      <c r="V139" s="55"/>
    </row>
    <row r="140" spans="1:35" x14ac:dyDescent="0.45">
      <c r="B140" s="9" t="s">
        <v>411</v>
      </c>
      <c r="C140" s="114">
        <v>3.9909153378664852E-2</v>
      </c>
      <c r="D140" s="48">
        <v>0.10036409874522789</v>
      </c>
      <c r="E140" s="48">
        <v>5.6703919580784135E-2</v>
      </c>
      <c r="F140" s="48">
        <v>2.3545128743536425E-2</v>
      </c>
      <c r="G140" s="48">
        <v>3.5422237353326391E-2</v>
      </c>
      <c r="H140" s="48">
        <v>2.1823266989722256E-2</v>
      </c>
      <c r="I140" s="48">
        <v>1.9935780988294516E-2</v>
      </c>
      <c r="J140" s="48">
        <v>2.0957399820160205E-2</v>
      </c>
      <c r="K140" s="48">
        <v>2.0094840093029198E-2</v>
      </c>
      <c r="L140" s="48">
        <v>1.9998866368604373E-2</v>
      </c>
      <c r="M140" s="99">
        <v>0.02</v>
      </c>
      <c r="N140" s="99">
        <v>0.02</v>
      </c>
      <c r="O140" s="99">
        <v>0.02</v>
      </c>
      <c r="P140" s="99">
        <v>0.02</v>
      </c>
      <c r="Q140" s="99">
        <v>0.02</v>
      </c>
      <c r="R140" s="55"/>
      <c r="S140" s="55"/>
      <c r="T140" s="55"/>
      <c r="U140" s="55"/>
      <c r="V140" s="55"/>
    </row>
    <row r="141" spans="1:35" x14ac:dyDescent="0.45">
      <c r="T141" s="92"/>
    </row>
    <row r="142" spans="1:35" x14ac:dyDescent="0.45">
      <c r="I142" s="28"/>
      <c r="J142" s="28"/>
      <c r="K142" s="28"/>
      <c r="L142" s="28"/>
      <c r="M142" s="28"/>
      <c r="N142" s="28"/>
      <c r="O142" s="28"/>
      <c r="P142" s="28"/>
      <c r="Q142" s="28"/>
      <c r="R142" s="28"/>
      <c r="T142" s="92"/>
    </row>
    <row r="143" spans="1:35" x14ac:dyDescent="0.45">
      <c r="A143" t="s">
        <v>412</v>
      </c>
      <c r="B143" s="8" t="str">
        <f>'[4]Control panel'!$I$7</f>
        <v>National - base costs</v>
      </c>
      <c r="C143" s="228" t="s">
        <v>454</v>
      </c>
      <c r="D143" s="229"/>
      <c r="E143" s="229"/>
      <c r="F143" s="229"/>
      <c r="G143" s="229"/>
      <c r="H143" s="229"/>
      <c r="I143" s="229"/>
      <c r="J143" s="229"/>
      <c r="K143" s="229"/>
      <c r="L143" s="229"/>
      <c r="M143" s="28"/>
      <c r="N143" s="28"/>
      <c r="O143" s="28"/>
      <c r="P143" s="28"/>
      <c r="Q143" s="28"/>
      <c r="R143" s="9"/>
      <c r="S143" s="26"/>
      <c r="T143" s="26"/>
      <c r="U143" s="26"/>
      <c r="V143" s="26"/>
      <c r="W143" s="28"/>
      <c r="X143" s="28"/>
      <c r="Y143" s="28"/>
      <c r="Z143" s="28"/>
      <c r="AA143" s="28"/>
      <c r="AB143" s="28"/>
      <c r="AC143" s="28"/>
      <c r="AD143" s="28"/>
      <c r="AE143" s="28"/>
      <c r="AF143" s="28"/>
      <c r="AG143" s="28"/>
    </row>
    <row r="144" spans="1:35" x14ac:dyDescent="0.45">
      <c r="C144" s="15" t="s">
        <v>5</v>
      </c>
      <c r="D144" s="15" t="s">
        <v>6</v>
      </c>
      <c r="E144" s="16" t="s">
        <v>7</v>
      </c>
      <c r="F144" s="16" t="s">
        <v>8</v>
      </c>
      <c r="G144" s="15" t="s">
        <v>9</v>
      </c>
      <c r="H144" s="15" t="s">
        <v>10</v>
      </c>
      <c r="I144" s="15" t="s">
        <v>11</v>
      </c>
      <c r="J144" s="16" t="s">
        <v>12</v>
      </c>
      <c r="K144" s="16" t="s">
        <v>13</v>
      </c>
      <c r="L144" s="15" t="s">
        <v>14</v>
      </c>
      <c r="M144" s="28"/>
      <c r="N144" s="28"/>
      <c r="O144" s="28"/>
      <c r="P144" s="28"/>
      <c r="Q144" s="28"/>
      <c r="R144" s="9"/>
      <c r="S144" s="26"/>
      <c r="T144" s="26"/>
      <c r="U144" s="26"/>
      <c r="V144" s="26"/>
      <c r="W144" s="28"/>
      <c r="X144" s="28"/>
      <c r="Y144" s="28"/>
      <c r="Z144" s="28"/>
      <c r="AA144" s="28"/>
      <c r="AB144" s="28"/>
      <c r="AC144" s="28"/>
      <c r="AD144" s="28"/>
      <c r="AE144" s="28"/>
      <c r="AF144" s="28"/>
      <c r="AG144" s="28"/>
    </row>
    <row r="145" spans="1:33" x14ac:dyDescent="0.45">
      <c r="A145" s="9" t="str" cm="1">
        <f t="array" ref="A145:A184">TD_service_codes</f>
        <v>WN127</v>
      </c>
      <c r="B145" t="s">
        <v>274</v>
      </c>
      <c r="C145" s="115" t="e">
        <f>INDEX([4]!FC.TotalCosts_Service,MATCH($A145,[4]TotalCosts_Service!$B$9:$B$608,0),MATCH(C$144,[4]TotalCosts_Service!$CH$8:$CN$8,0))*million</f>
        <v>#N/A</v>
      </c>
      <c r="D145" s="115" t="e">
        <f>INDEX([4]!FC.TotalCosts_Service,MATCH($A145,[4]TotalCosts_Service!$B$9:$B$608,0),MATCH(D$144,[4]TotalCosts_Service!$CH$8:$CN$8,0))*million</f>
        <v>#N/A</v>
      </c>
      <c r="E145" s="115" t="e">
        <f>INDEX([4]!FC.TotalCosts_Service,MATCH($A145,[4]TotalCosts_Service!$B$9:$B$608,0),MATCH(E$144,[4]TotalCosts_Service!$CH$8:$CN$8,0))*million</f>
        <v>#N/A</v>
      </c>
      <c r="F145" s="115">
        <f>INDEX([4]!FC.TotalCosts_Service,MATCH($A145,[4]TotalCosts_Service!$B$9:$B$608,0),MATCH(F$144,[4]TotalCosts_Service!$CH$8:$CN$8,0))*million</f>
        <v>494004.98958327377</v>
      </c>
      <c r="G145" s="100">
        <f>INDEX([4]!FC.TotalCosts_Service,MATCH($A145,[4]TotalCosts_Service!$B$9:$B$608,0),MATCH(G$144,[4]TotalCosts_Service!$CH$8:$CN$8,0))*million</f>
        <v>219423.96728686948</v>
      </c>
      <c r="H145" s="100">
        <f>INDEX([4]!FC.TotalCosts_Service,MATCH($A145,[4]TotalCosts_Service!$B$9:$B$608,0),MATCH(H$144,[4]TotalCosts_Service!$CH$8:$CN$8,0))*million</f>
        <v>155874.38750755251</v>
      </c>
      <c r="I145" s="100">
        <f>INDEX([4]!FC.TotalCosts_Service,MATCH($A145,[4]TotalCosts_Service!$B$9:$B$608,0),MATCH(I$144,[4]TotalCosts_Service!$CH$8:$CN$8,0))*million</f>
        <v>57582.359741248496</v>
      </c>
      <c r="J145" s="100">
        <f>INDEX([4]!FC.TotalCosts_Service,MATCH($A145,[4]TotalCosts_Service!$B$9:$B$608,0),MATCH(J$144,[4]TotalCosts_Service!$CH$8:$CN$8,0))*million</f>
        <v>44644.340883251964</v>
      </c>
      <c r="K145" s="100">
        <f>INDEX([4]!FC.TotalCosts_Service,MATCH($A145,[4]TotalCosts_Service!$B$9:$B$608,0),MATCH(K$144,[4]TotalCosts_Service!$CH$8:$CN$8,0))*million</f>
        <v>41494.637768391083</v>
      </c>
      <c r="L145" s="100">
        <f>INDEX([4]!FC.TotalCosts_Service,MATCH($A145,[4]TotalCosts_Service!$B$9:$B$608,0),MATCH(L$144,[4]TotalCosts_Service!$CH$8:$CN$8,0))*million</f>
        <v>41771.821078962683</v>
      </c>
      <c r="M145" s="28"/>
      <c r="N145" s="28"/>
      <c r="O145" s="28"/>
      <c r="P145" s="28"/>
      <c r="Q145" s="28"/>
      <c r="R145" s="9"/>
      <c r="S145" s="55"/>
      <c r="T145" s="26"/>
      <c r="U145" s="26"/>
      <c r="V145" s="26"/>
      <c r="W145" s="28"/>
      <c r="X145" s="28"/>
      <c r="Y145" s="28"/>
      <c r="Z145" s="28"/>
      <c r="AA145" s="28"/>
      <c r="AB145" s="28"/>
      <c r="AC145" s="28"/>
      <c r="AD145" s="28"/>
      <c r="AE145" s="28"/>
      <c r="AF145" s="28"/>
      <c r="AG145" s="28"/>
    </row>
    <row r="146" spans="1:33" x14ac:dyDescent="0.45">
      <c r="A146" s="9" t="str">
        <v>WN346</v>
      </c>
      <c r="B146" t="s">
        <v>276</v>
      </c>
      <c r="C146" s="100" t="e">
        <f>INDEX([4]!FC.TotalCosts_Service,MATCH($A146,[4]TotalCosts_Service!$B$9:$B$608,0),MATCH(C$144,[4]TotalCosts_Service!$CH$8:$CN$8,0))*million</f>
        <v>#N/A</v>
      </c>
      <c r="D146" s="100" t="e">
        <f>INDEX([4]!FC.TotalCosts_Service,MATCH($A146,[4]TotalCosts_Service!$B$9:$B$608,0),MATCH(D$144,[4]TotalCosts_Service!$CH$8:$CN$8,0))*million</f>
        <v>#N/A</v>
      </c>
      <c r="E146" s="100" t="e">
        <f>INDEX([4]!FC.TotalCosts_Service,MATCH($A146,[4]TotalCosts_Service!$B$9:$B$608,0),MATCH(E$144,[4]TotalCosts_Service!$CH$8:$CN$8,0))*million</f>
        <v>#N/A</v>
      </c>
      <c r="F146" s="100">
        <f>INDEX([4]!FC.TotalCosts_Service,MATCH($A146,[4]TotalCosts_Service!$B$9:$B$608,0),MATCH(F$144,[4]TotalCosts_Service!$CH$8:$CN$8,0))*million</f>
        <v>1696.7620292524941</v>
      </c>
      <c r="G146" s="100">
        <f>INDEX([4]!FC.TotalCosts_Service,MATCH($A146,[4]TotalCosts_Service!$B$9:$B$608,0),MATCH(G$144,[4]TotalCosts_Service!$CH$8:$CN$8,0))*million</f>
        <v>736.17275250132843</v>
      </c>
      <c r="H146" s="100">
        <f>INDEX([4]!FC.TotalCosts_Service,MATCH($A146,[4]TotalCosts_Service!$B$9:$B$608,0),MATCH(H$144,[4]TotalCosts_Service!$CH$8:$CN$8,0))*million</f>
        <v>515.01118758918483</v>
      </c>
      <c r="I146" s="100">
        <f>INDEX([4]!FC.TotalCosts_Service,MATCH($A146,[4]TotalCosts_Service!$B$9:$B$608,0),MATCH(I$144,[4]TotalCosts_Service!$CH$8:$CN$8,0))*million</f>
        <v>190.45502504447481</v>
      </c>
      <c r="J146" s="100">
        <f>INDEX([4]!FC.TotalCosts_Service,MATCH($A146,[4]TotalCosts_Service!$B$9:$B$608,0),MATCH(J$144,[4]TotalCosts_Service!$CH$8:$CN$8,0))*million</f>
        <v>145.56755397180379</v>
      </c>
      <c r="K146" s="100">
        <f>INDEX([4]!FC.TotalCosts_Service,MATCH($A146,[4]TotalCosts_Service!$B$9:$B$608,0),MATCH(K$144,[4]TotalCosts_Service!$CH$8:$CN$8,0))*million</f>
        <v>133.22338954064085</v>
      </c>
      <c r="L146" s="100">
        <f>INDEX([4]!FC.TotalCosts_Service,MATCH($A146,[4]TotalCosts_Service!$B$9:$B$608,0),MATCH(L$144,[4]TotalCosts_Service!$CH$8:$CN$8,0))*million</f>
        <v>132.96738562632987</v>
      </c>
      <c r="M146" s="28"/>
      <c r="N146" s="28"/>
      <c r="O146" s="28"/>
      <c r="P146" s="28"/>
      <c r="Q146" s="28"/>
      <c r="R146" s="9"/>
      <c r="S146" s="26"/>
      <c r="T146" s="26"/>
      <c r="U146" s="26"/>
      <c r="V146" s="26"/>
      <c r="W146" s="28"/>
      <c r="X146" s="28"/>
      <c r="Y146" s="28"/>
      <c r="Z146" s="28"/>
      <c r="AA146" s="28"/>
      <c r="AB146" s="28"/>
      <c r="AC146" s="28"/>
      <c r="AD146" s="28"/>
      <c r="AE146" s="28"/>
      <c r="AF146" s="28"/>
      <c r="AG146" s="28"/>
    </row>
    <row r="147" spans="1:33" x14ac:dyDescent="0.45">
      <c r="A147" s="9" t="str">
        <v>WX130</v>
      </c>
      <c r="B147" t="s">
        <v>277</v>
      </c>
      <c r="C147" s="100" t="e">
        <f>INDEX([4]!FC.TotalCosts_Service,MATCH($A147,[4]TotalCosts_Service!$B$9:$B$608,0),MATCH(C$144,[4]TotalCosts_Service!$CH$8:$CN$8,0))*million</f>
        <v>#N/A</v>
      </c>
      <c r="D147" s="100" t="e">
        <f>INDEX([4]!FC.TotalCosts_Service,MATCH($A147,[4]TotalCosts_Service!$B$9:$B$608,0),MATCH(D$144,[4]TotalCosts_Service!$CH$8:$CN$8,0))*million</f>
        <v>#N/A</v>
      </c>
      <c r="E147" s="100" t="e">
        <f>INDEX([4]!FC.TotalCosts_Service,MATCH($A147,[4]TotalCosts_Service!$B$9:$B$608,0),MATCH(E$144,[4]TotalCosts_Service!$CH$8:$CN$8,0))*million</f>
        <v>#N/A</v>
      </c>
      <c r="F147" s="100">
        <f>INDEX([4]!FC.TotalCosts_Service,MATCH($A147,[4]TotalCosts_Service!$B$9:$B$608,0),MATCH(F$144,[4]TotalCosts_Service!$CH$8:$CN$8,0))*million</f>
        <v>12613141.733548516</v>
      </c>
      <c r="G147" s="100">
        <f>INDEX([4]!FC.TotalCosts_Service,MATCH($A147,[4]TotalCosts_Service!$B$9:$B$608,0),MATCH(G$144,[4]TotalCosts_Service!$CH$8:$CN$8,0))*million</f>
        <v>4096477.0233449535</v>
      </c>
      <c r="H147" s="100">
        <f>INDEX([4]!FC.TotalCosts_Service,MATCH($A147,[4]TotalCosts_Service!$B$9:$B$608,0),MATCH(H$144,[4]TotalCosts_Service!$CH$8:$CN$8,0))*million</f>
        <v>3067572.0652401615</v>
      </c>
      <c r="I147" s="100">
        <f>INDEX([4]!FC.TotalCosts_Service,MATCH($A147,[4]TotalCosts_Service!$B$9:$B$608,0),MATCH(I$144,[4]TotalCosts_Service!$CH$8:$CN$8,0))*million</f>
        <v>1193591.4086912719</v>
      </c>
      <c r="J147" s="100">
        <f>INDEX([4]!FC.TotalCosts_Service,MATCH($A147,[4]TotalCosts_Service!$B$9:$B$608,0),MATCH(J$144,[4]TotalCosts_Service!$CH$8:$CN$8,0))*million</f>
        <v>938612.97121697874</v>
      </c>
      <c r="K147" s="100">
        <f>INDEX([4]!FC.TotalCosts_Service,MATCH($A147,[4]TotalCosts_Service!$B$9:$B$608,0),MATCH(K$144,[4]TotalCosts_Service!$CH$8:$CN$8,0))*million</f>
        <v>884940.53315623768</v>
      </c>
      <c r="L147" s="100">
        <f>INDEX([4]!FC.TotalCosts_Service,MATCH($A147,[4]TotalCosts_Service!$B$9:$B$608,0),MATCH(L$144,[4]TotalCosts_Service!$CH$8:$CN$8,0))*million</f>
        <v>905361.34759272111</v>
      </c>
      <c r="M147" s="28"/>
      <c r="N147" s="28"/>
      <c r="O147" s="28"/>
      <c r="P147" s="28"/>
      <c r="Q147" s="28"/>
      <c r="R147" s="9"/>
      <c r="S147" s="92"/>
      <c r="T147" s="92"/>
      <c r="U147" s="26"/>
      <c r="V147" s="26"/>
      <c r="W147" s="28"/>
      <c r="X147" s="28"/>
      <c r="Y147" s="28"/>
      <c r="Z147" s="28"/>
      <c r="AA147" s="28"/>
      <c r="AB147" s="28"/>
      <c r="AC147" s="28"/>
      <c r="AD147" s="28"/>
      <c r="AE147" s="28"/>
      <c r="AF147" s="28"/>
      <c r="AG147" s="28"/>
    </row>
    <row r="148" spans="1:33" x14ac:dyDescent="0.45">
      <c r="A148" s="9" t="str">
        <v>WX347</v>
      </c>
      <c r="B148" t="s">
        <v>278</v>
      </c>
      <c r="C148" s="100" t="e">
        <f>INDEX([4]!FC.TotalCosts_Service,MATCH($A148,[4]TotalCosts_Service!$B$9:$B$608,0),MATCH(C$144,[4]TotalCosts_Service!$CH$8:$CN$8,0))*million</f>
        <v>#N/A</v>
      </c>
      <c r="D148" s="100" t="e">
        <f>INDEX([4]!FC.TotalCosts_Service,MATCH($A148,[4]TotalCosts_Service!$B$9:$B$608,0),MATCH(D$144,[4]TotalCosts_Service!$CH$8:$CN$8,0))*million</f>
        <v>#N/A</v>
      </c>
      <c r="E148" s="100" t="e">
        <f>INDEX([4]!FC.TotalCosts_Service,MATCH($A148,[4]TotalCosts_Service!$B$9:$B$608,0),MATCH(E$144,[4]TotalCosts_Service!$CH$8:$CN$8,0))*million</f>
        <v>#N/A</v>
      </c>
      <c r="F148" s="100">
        <f>INDEX([4]!FC.TotalCosts_Service,MATCH($A148,[4]TotalCosts_Service!$B$9:$B$608,0),MATCH(F$144,[4]TotalCosts_Service!$CH$8:$CN$8,0))*million</f>
        <v>153130379.85124862</v>
      </c>
      <c r="G148" s="100">
        <f>INDEX([4]!FC.TotalCosts_Service,MATCH($A148,[4]TotalCosts_Service!$B$9:$B$608,0),MATCH(G$144,[4]TotalCosts_Service!$CH$8:$CN$8,0))*million</f>
        <v>49881421.726046674</v>
      </c>
      <c r="H148" s="100">
        <f>INDEX([4]!FC.TotalCosts_Service,MATCH($A148,[4]TotalCosts_Service!$B$9:$B$608,0),MATCH(H$144,[4]TotalCosts_Service!$CH$8:$CN$8,0))*million</f>
        <v>38323190.668618426</v>
      </c>
      <c r="I148" s="100">
        <f>INDEX([4]!FC.TotalCosts_Service,MATCH($A148,[4]TotalCosts_Service!$B$9:$B$608,0),MATCH(I$144,[4]TotalCosts_Service!$CH$8:$CN$8,0))*million</f>
        <v>14305506.57273205</v>
      </c>
      <c r="J148" s="100">
        <f>INDEX([4]!FC.TotalCosts_Service,MATCH($A148,[4]TotalCosts_Service!$B$9:$B$608,0),MATCH(J$144,[4]TotalCosts_Service!$CH$8:$CN$8,0))*million</f>
        <v>11145283.90792734</v>
      </c>
      <c r="K148" s="100">
        <f>INDEX([4]!FC.TotalCosts_Service,MATCH($A148,[4]TotalCosts_Service!$B$9:$B$608,0),MATCH(K$144,[4]TotalCosts_Service!$CH$8:$CN$8,0))*million</f>
        <v>10328747.888472296</v>
      </c>
      <c r="L148" s="100">
        <f>INDEX([4]!FC.TotalCosts_Service,MATCH($A148,[4]TotalCosts_Service!$B$9:$B$608,0),MATCH(L$144,[4]TotalCosts_Service!$CH$8:$CN$8,0))*million</f>
        <v>10576800.318845455</v>
      </c>
      <c r="M148" s="28"/>
      <c r="N148" s="28"/>
      <c r="O148" s="28"/>
      <c r="P148" s="28"/>
      <c r="Q148" s="28"/>
      <c r="R148" s="9"/>
      <c r="S148" s="92"/>
      <c r="T148" s="92"/>
      <c r="U148" s="26"/>
      <c r="V148" s="26"/>
      <c r="W148" s="28"/>
      <c r="X148" s="28"/>
      <c r="Y148" s="28"/>
      <c r="Z148" s="28"/>
      <c r="AA148" s="28"/>
      <c r="AB148" s="28"/>
      <c r="AC148" s="28"/>
      <c r="AD148" s="28"/>
      <c r="AE148" s="28"/>
      <c r="AF148" s="28"/>
      <c r="AG148" s="28"/>
    </row>
    <row r="149" spans="1:33" x14ac:dyDescent="0.45">
      <c r="A149" s="9" t="str">
        <v>WX129</v>
      </c>
      <c r="B149" t="s">
        <v>279</v>
      </c>
      <c r="C149" s="100" t="e">
        <f>INDEX([4]!FC.TotalCosts_Service,MATCH($A149,[4]TotalCosts_Service!$B$9:$B$608,0),MATCH(C$144,[4]TotalCosts_Service!$CH$8:$CN$8,0))*million</f>
        <v>#N/A</v>
      </c>
      <c r="D149" s="100" t="e">
        <f>INDEX([4]!FC.TotalCosts_Service,MATCH($A149,[4]TotalCosts_Service!$B$9:$B$608,0),MATCH(D$144,[4]TotalCosts_Service!$CH$8:$CN$8,0))*million</f>
        <v>#N/A</v>
      </c>
      <c r="E149" s="100" t="e">
        <f>INDEX([4]!FC.TotalCosts_Service,MATCH($A149,[4]TotalCosts_Service!$B$9:$B$608,0),MATCH(E$144,[4]TotalCosts_Service!$CH$8:$CN$8,0))*million</f>
        <v>#N/A</v>
      </c>
      <c r="F149" s="100">
        <f>INDEX([4]!FC.TotalCosts_Service,MATCH($A149,[4]TotalCosts_Service!$B$9:$B$608,0),MATCH(F$144,[4]TotalCosts_Service!$CH$8:$CN$8,0))*million</f>
        <v>1683580.4985543217</v>
      </c>
      <c r="G149" s="100">
        <f>INDEX([4]!FC.TotalCosts_Service,MATCH($A149,[4]TotalCosts_Service!$B$9:$B$608,0),MATCH(G$144,[4]TotalCosts_Service!$CH$8:$CN$8,0))*million</f>
        <v>674087.43000320776</v>
      </c>
      <c r="H149" s="100">
        <f>INDEX([4]!FC.TotalCosts_Service,MATCH($A149,[4]TotalCosts_Service!$B$9:$B$608,0),MATCH(H$144,[4]TotalCosts_Service!$CH$8:$CN$8,0))*million</f>
        <v>360694.95331396599</v>
      </c>
      <c r="I149" s="100">
        <f>INDEX([4]!FC.TotalCosts_Service,MATCH($A149,[4]TotalCosts_Service!$B$9:$B$608,0),MATCH(I$144,[4]TotalCosts_Service!$CH$8:$CN$8,0))*million</f>
        <v>123130.11897275948</v>
      </c>
      <c r="J149" s="100">
        <f>INDEX([4]!FC.TotalCosts_Service,MATCH($A149,[4]TotalCosts_Service!$B$9:$B$608,0),MATCH(J$144,[4]TotalCosts_Service!$CH$8:$CN$8,0))*million</f>
        <v>87559.09456526587</v>
      </c>
      <c r="K149" s="100">
        <f>INDEX([4]!FC.TotalCosts_Service,MATCH($A149,[4]TotalCosts_Service!$B$9:$B$608,0),MATCH(K$144,[4]TotalCosts_Service!$CH$8:$CN$8,0))*million</f>
        <v>72756.680317609353</v>
      </c>
      <c r="L149" s="100">
        <f>INDEX([4]!FC.TotalCosts_Service,MATCH($A149,[4]TotalCosts_Service!$B$9:$B$608,0),MATCH(L$144,[4]TotalCosts_Service!$CH$8:$CN$8,0))*million</f>
        <v>146257.68181584979</v>
      </c>
      <c r="M149" s="28"/>
      <c r="N149" s="28"/>
      <c r="O149" s="28"/>
      <c r="P149" s="28"/>
      <c r="Q149" s="28"/>
      <c r="R149" s="9"/>
      <c r="S149" s="26"/>
      <c r="T149" s="26"/>
      <c r="U149" s="26"/>
      <c r="V149" s="26"/>
      <c r="W149" s="28"/>
      <c r="X149" s="28"/>
      <c r="Y149" s="28"/>
      <c r="Z149" s="28"/>
      <c r="AA149" s="28"/>
      <c r="AB149" s="28"/>
      <c r="AC149" s="28"/>
      <c r="AD149" s="28"/>
      <c r="AE149" s="28"/>
      <c r="AF149" s="28"/>
      <c r="AG149" s="28"/>
    </row>
    <row r="150" spans="1:33" x14ac:dyDescent="0.45">
      <c r="A150" s="9" t="str">
        <v>WN123</v>
      </c>
      <c r="B150" t="s">
        <v>280</v>
      </c>
      <c r="C150" s="100" t="e">
        <f>INDEX([4]!FC.TotalCosts_Service,MATCH($A150,[4]TotalCosts_Service!$B$9:$B$608,0),MATCH(C$144,[4]TotalCosts_Service!$CH$8:$CN$8,0))*million</f>
        <v>#N/A</v>
      </c>
      <c r="D150" s="100" t="e">
        <f>INDEX([4]!FC.TotalCosts_Service,MATCH($A150,[4]TotalCosts_Service!$B$9:$B$608,0),MATCH(D$144,[4]TotalCosts_Service!$CH$8:$CN$8,0))*million</f>
        <v>#N/A</v>
      </c>
      <c r="E150" s="100" t="e">
        <f>INDEX([4]!FC.TotalCosts_Service,MATCH($A150,[4]TotalCosts_Service!$B$9:$B$608,0),MATCH(E$144,[4]TotalCosts_Service!$CH$8:$CN$8,0))*million</f>
        <v>#N/A</v>
      </c>
      <c r="F150" s="100">
        <f>INDEX([4]!FC.TotalCosts_Service,MATCH($A150,[4]TotalCosts_Service!$B$9:$B$608,0),MATCH(F$144,[4]TotalCosts_Service!$CH$8:$CN$8,0))*million</f>
        <v>2032.4527493775984</v>
      </c>
      <c r="G150" s="100">
        <f>INDEX([4]!FC.TotalCosts_Service,MATCH($A150,[4]TotalCosts_Service!$B$9:$B$608,0),MATCH(G$144,[4]TotalCosts_Service!$CH$8:$CN$8,0))*million</f>
        <v>0</v>
      </c>
      <c r="H150" s="100">
        <f>INDEX([4]!FC.TotalCosts_Service,MATCH($A150,[4]TotalCosts_Service!$B$9:$B$608,0),MATCH(H$144,[4]TotalCosts_Service!$CH$8:$CN$8,0))*million</f>
        <v>0</v>
      </c>
      <c r="I150" s="100">
        <f>INDEX([4]!FC.TotalCosts_Service,MATCH($A150,[4]TotalCosts_Service!$B$9:$B$608,0),MATCH(I$144,[4]TotalCosts_Service!$CH$8:$CN$8,0))*million</f>
        <v>0</v>
      </c>
      <c r="J150" s="100">
        <f>INDEX([4]!FC.TotalCosts_Service,MATCH($A150,[4]TotalCosts_Service!$B$9:$B$608,0),MATCH(J$144,[4]TotalCosts_Service!$CH$8:$CN$8,0))*million</f>
        <v>0</v>
      </c>
      <c r="K150" s="100">
        <f>INDEX([4]!FC.TotalCosts_Service,MATCH($A150,[4]TotalCosts_Service!$B$9:$B$608,0),MATCH(K$144,[4]TotalCosts_Service!$CH$8:$CN$8,0))*million</f>
        <v>0</v>
      </c>
      <c r="L150" s="100">
        <f>INDEX([4]!FC.TotalCosts_Service,MATCH($A150,[4]TotalCosts_Service!$B$9:$B$608,0),MATCH(L$144,[4]TotalCosts_Service!$CH$8:$CN$8,0))*million</f>
        <v>0</v>
      </c>
      <c r="M150" s="28"/>
      <c r="N150" s="28"/>
      <c r="O150" s="28"/>
      <c r="P150" s="28"/>
      <c r="Q150" s="28"/>
      <c r="R150" s="9"/>
      <c r="S150" s="26"/>
      <c r="T150" s="26"/>
      <c r="U150" s="26"/>
      <c r="V150" s="26"/>
      <c r="W150" s="28"/>
      <c r="X150" s="28"/>
      <c r="Y150" s="28"/>
      <c r="Z150" s="28"/>
      <c r="AA150" s="28"/>
      <c r="AB150" s="28"/>
      <c r="AC150" s="28"/>
      <c r="AD150" s="28"/>
      <c r="AE150" s="28"/>
      <c r="AF150" s="28"/>
      <c r="AG150" s="28"/>
    </row>
    <row r="151" spans="1:33" x14ac:dyDescent="0.45">
      <c r="A151" s="9" t="str">
        <v>WN300</v>
      </c>
      <c r="B151" t="s">
        <v>281</v>
      </c>
      <c r="C151" s="100" t="e">
        <f>INDEX([4]!FC.TotalCosts_Service,MATCH($A151,[4]TotalCosts_Service!$B$9:$B$608,0),MATCH(C$144,[4]TotalCosts_Service!$CH$8:$CN$8,0))*million</f>
        <v>#N/A</v>
      </c>
      <c r="D151" s="100" t="e">
        <f>INDEX([4]!FC.TotalCosts_Service,MATCH($A151,[4]TotalCosts_Service!$B$9:$B$608,0),MATCH(D$144,[4]TotalCosts_Service!$CH$8:$CN$8,0))*million</f>
        <v>#N/A</v>
      </c>
      <c r="E151" s="100" t="e">
        <f>INDEX([4]!FC.TotalCosts_Service,MATCH($A151,[4]TotalCosts_Service!$B$9:$B$608,0),MATCH(E$144,[4]TotalCosts_Service!$CH$8:$CN$8,0))*million</f>
        <v>#N/A</v>
      </c>
      <c r="F151" s="100">
        <f>INDEX([4]!FC.TotalCosts_Service,MATCH($A151,[4]TotalCosts_Service!$B$9:$B$608,0),MATCH(F$144,[4]TotalCosts_Service!$CH$8:$CN$8,0))*million</f>
        <v>34551318.056597315</v>
      </c>
      <c r="G151" s="100">
        <f>INDEX([4]!FC.TotalCosts_Service,MATCH($A151,[4]TotalCosts_Service!$B$9:$B$608,0),MATCH(G$144,[4]TotalCosts_Service!$CH$8:$CN$8,0))*million</f>
        <v>10477194.740343003</v>
      </c>
      <c r="H151" s="100">
        <f>INDEX([4]!FC.TotalCosts_Service,MATCH($A151,[4]TotalCosts_Service!$B$9:$B$608,0),MATCH(H$144,[4]TotalCosts_Service!$CH$8:$CN$8,0))*million</f>
        <v>4861647.1592921866</v>
      </c>
      <c r="I151" s="100">
        <f>INDEX([4]!FC.TotalCosts_Service,MATCH($A151,[4]TotalCosts_Service!$B$9:$B$608,0),MATCH(I$144,[4]TotalCosts_Service!$CH$8:$CN$8,0))*million</f>
        <v>303924.47872254136</v>
      </c>
      <c r="J151" s="100">
        <f>INDEX([4]!FC.TotalCosts_Service,MATCH($A151,[4]TotalCosts_Service!$B$9:$B$608,0),MATCH(J$144,[4]TotalCosts_Service!$CH$8:$CN$8,0))*million</f>
        <v>0</v>
      </c>
      <c r="K151" s="100">
        <f>INDEX([4]!FC.TotalCosts_Service,MATCH($A151,[4]TotalCosts_Service!$B$9:$B$608,0),MATCH(K$144,[4]TotalCosts_Service!$CH$8:$CN$8,0))*million</f>
        <v>0</v>
      </c>
      <c r="L151" s="100">
        <f>INDEX([4]!FC.TotalCosts_Service,MATCH($A151,[4]TotalCosts_Service!$B$9:$B$608,0),MATCH(L$144,[4]TotalCosts_Service!$CH$8:$CN$8,0))*million</f>
        <v>0</v>
      </c>
      <c r="M151" s="28"/>
      <c r="N151" s="28"/>
      <c r="O151" s="28"/>
      <c r="P151" s="28"/>
      <c r="Q151" s="28"/>
      <c r="R151" s="9"/>
      <c r="S151" s="26"/>
      <c r="T151" s="26"/>
      <c r="U151" s="26"/>
      <c r="V151" s="26"/>
      <c r="W151" s="28"/>
      <c r="X151" s="28"/>
      <c r="Y151" s="28"/>
      <c r="Z151" s="28"/>
      <c r="AA151" s="28"/>
      <c r="AB151" s="28"/>
      <c r="AC151" s="28"/>
      <c r="AD151" s="28"/>
      <c r="AE151" s="28"/>
      <c r="AF151" s="28"/>
      <c r="AG151" s="28"/>
    </row>
    <row r="152" spans="1:33" x14ac:dyDescent="0.45">
      <c r="A152" s="9" t="str">
        <v>WN301</v>
      </c>
      <c r="B152" t="s">
        <v>282</v>
      </c>
      <c r="C152" s="100" t="e">
        <f>INDEX([4]!FC.TotalCosts_Service,MATCH($A152,[4]TotalCosts_Service!$B$9:$B$608,0),MATCH(C$144,[4]TotalCosts_Service!$CH$8:$CN$8,0))*million</f>
        <v>#N/A</v>
      </c>
      <c r="D152" s="100" t="e">
        <f>INDEX([4]!FC.TotalCosts_Service,MATCH($A152,[4]TotalCosts_Service!$B$9:$B$608,0),MATCH(D$144,[4]TotalCosts_Service!$CH$8:$CN$8,0))*million</f>
        <v>#N/A</v>
      </c>
      <c r="E152" s="100" t="e">
        <f>INDEX([4]!FC.TotalCosts_Service,MATCH($A152,[4]TotalCosts_Service!$B$9:$B$608,0),MATCH(E$144,[4]TotalCosts_Service!$CH$8:$CN$8,0))*million</f>
        <v>#N/A</v>
      </c>
      <c r="F152" s="100">
        <f>INDEX([4]!FC.TotalCosts_Service,MATCH($A152,[4]TotalCosts_Service!$B$9:$B$608,0),MATCH(F$144,[4]TotalCosts_Service!$CH$8:$CN$8,0))*million</f>
        <v>20831862.191613849</v>
      </c>
      <c r="G152" s="100">
        <f>INDEX([4]!FC.TotalCosts_Service,MATCH($A152,[4]TotalCosts_Service!$B$9:$B$608,0),MATCH(G$144,[4]TotalCosts_Service!$CH$8:$CN$8,0))*million</f>
        <v>5311579.6633551596</v>
      </c>
      <c r="H152" s="100">
        <f>INDEX([4]!FC.TotalCosts_Service,MATCH($A152,[4]TotalCosts_Service!$B$9:$B$608,0),MATCH(H$144,[4]TotalCosts_Service!$CH$8:$CN$8,0))*million</f>
        <v>2441606.1035738126</v>
      </c>
      <c r="I152" s="100">
        <f>INDEX([4]!FC.TotalCosts_Service,MATCH($A152,[4]TotalCosts_Service!$B$9:$B$608,0),MATCH(I$144,[4]TotalCosts_Service!$CH$8:$CN$8,0))*million</f>
        <v>150092.73325945571</v>
      </c>
      <c r="J152" s="100">
        <f>INDEX([4]!FC.TotalCosts_Service,MATCH($A152,[4]TotalCosts_Service!$B$9:$B$608,0),MATCH(J$144,[4]TotalCosts_Service!$CH$8:$CN$8,0))*million</f>
        <v>0</v>
      </c>
      <c r="K152" s="100">
        <f>INDEX([4]!FC.TotalCosts_Service,MATCH($A152,[4]TotalCosts_Service!$B$9:$B$608,0),MATCH(K$144,[4]TotalCosts_Service!$CH$8:$CN$8,0))*million</f>
        <v>0</v>
      </c>
      <c r="L152" s="100">
        <f>INDEX([4]!FC.TotalCosts_Service,MATCH($A152,[4]TotalCosts_Service!$B$9:$B$608,0),MATCH(L$144,[4]TotalCosts_Service!$CH$8:$CN$8,0))*million</f>
        <v>0</v>
      </c>
      <c r="M152" s="28"/>
      <c r="N152" s="28"/>
      <c r="O152" s="28"/>
      <c r="P152" s="28"/>
      <c r="Q152" s="28"/>
      <c r="R152" s="9"/>
      <c r="S152" s="26"/>
      <c r="T152" s="26"/>
      <c r="U152" s="26"/>
      <c r="V152" s="26"/>
      <c r="W152" s="28"/>
      <c r="X152" s="28"/>
      <c r="Y152" s="28"/>
      <c r="Z152" s="28"/>
      <c r="AA152" s="28"/>
      <c r="AB152" s="28"/>
      <c r="AC152" s="28"/>
      <c r="AD152" s="28"/>
      <c r="AE152" s="28"/>
      <c r="AF152" s="28"/>
      <c r="AG152" s="28"/>
    </row>
    <row r="153" spans="1:33" x14ac:dyDescent="0.45">
      <c r="A153" s="9" t="str">
        <v>WX310</v>
      </c>
      <c r="B153" t="s">
        <v>283</v>
      </c>
      <c r="C153" s="100" t="e">
        <f>INDEX([4]!FC.TotalCosts_Service,MATCH($A153,[4]TotalCosts_Service!$B$9:$B$608,0),MATCH(C$144,[4]TotalCosts_Service!$CH$8:$CN$8,0))*million</f>
        <v>#N/A</v>
      </c>
      <c r="D153" s="100" t="e">
        <f>INDEX([4]!FC.TotalCosts_Service,MATCH($A153,[4]TotalCosts_Service!$B$9:$B$608,0),MATCH(D$144,[4]TotalCosts_Service!$CH$8:$CN$8,0))*million</f>
        <v>#N/A</v>
      </c>
      <c r="E153" s="100" t="e">
        <f>INDEX([4]!FC.TotalCosts_Service,MATCH($A153,[4]TotalCosts_Service!$B$9:$B$608,0),MATCH(E$144,[4]TotalCosts_Service!$CH$8:$CN$8,0))*million</f>
        <v>#N/A</v>
      </c>
      <c r="F153" s="100">
        <f>INDEX([4]!FC.TotalCosts_Service,MATCH($A153,[4]TotalCosts_Service!$B$9:$B$608,0),MATCH(F$144,[4]TotalCosts_Service!$CH$8:$CN$8,0))*million</f>
        <v>63695063.241337642</v>
      </c>
      <c r="G153" s="100">
        <f>INDEX([4]!FC.TotalCosts_Service,MATCH($A153,[4]TotalCosts_Service!$B$9:$B$608,0),MATCH(G$144,[4]TotalCosts_Service!$CH$8:$CN$8,0))*million</f>
        <v>19930206.162307393</v>
      </c>
      <c r="H153" s="100">
        <f>INDEX([4]!FC.TotalCosts_Service,MATCH($A153,[4]TotalCosts_Service!$B$9:$B$608,0),MATCH(H$144,[4]TotalCosts_Service!$CH$8:$CN$8,0))*million</f>
        <v>9150949.2934773844</v>
      </c>
      <c r="I153" s="100">
        <f>INDEX([4]!FC.TotalCosts_Service,MATCH($A153,[4]TotalCosts_Service!$B$9:$B$608,0),MATCH(I$144,[4]TotalCosts_Service!$CH$8:$CN$8,0))*million</f>
        <v>569968.93750939588</v>
      </c>
      <c r="J153" s="100">
        <f>INDEX([4]!FC.TotalCosts_Service,MATCH($A153,[4]TotalCosts_Service!$B$9:$B$608,0),MATCH(J$144,[4]TotalCosts_Service!$CH$8:$CN$8,0))*million</f>
        <v>0</v>
      </c>
      <c r="K153" s="100">
        <f>INDEX([4]!FC.TotalCosts_Service,MATCH($A153,[4]TotalCosts_Service!$B$9:$B$608,0),MATCH(K$144,[4]TotalCosts_Service!$CH$8:$CN$8,0))*million</f>
        <v>0</v>
      </c>
      <c r="L153" s="100">
        <f>INDEX([4]!FC.TotalCosts_Service,MATCH($A153,[4]TotalCosts_Service!$B$9:$B$608,0),MATCH(L$144,[4]TotalCosts_Service!$CH$8:$CN$8,0))*million</f>
        <v>0</v>
      </c>
      <c r="M153" s="28"/>
      <c r="N153" s="28"/>
      <c r="O153" s="28"/>
      <c r="P153" s="28"/>
      <c r="Q153" s="28"/>
      <c r="R153" s="9"/>
      <c r="S153" s="26"/>
      <c r="T153" s="26"/>
      <c r="U153" s="26"/>
      <c r="V153" s="26"/>
      <c r="W153" s="28"/>
      <c r="X153" s="28"/>
      <c r="Y153" s="28"/>
      <c r="Z153" s="28"/>
      <c r="AA153" s="28"/>
      <c r="AB153" s="28"/>
      <c r="AC153" s="28"/>
      <c r="AD153" s="28"/>
      <c r="AE153" s="28"/>
      <c r="AF153" s="28"/>
      <c r="AG153" s="28"/>
    </row>
    <row r="154" spans="1:33" x14ac:dyDescent="0.45">
      <c r="A154" s="9" t="str">
        <v>WX311</v>
      </c>
      <c r="B154" t="s">
        <v>284</v>
      </c>
      <c r="C154" s="100" t="e">
        <f>INDEX([4]!FC.TotalCosts_Service,MATCH($A154,[4]TotalCosts_Service!$B$9:$B$608,0),MATCH(C$144,[4]TotalCosts_Service!$CH$8:$CN$8,0))*million</f>
        <v>#N/A</v>
      </c>
      <c r="D154" s="100" t="e">
        <f>INDEX([4]!FC.TotalCosts_Service,MATCH($A154,[4]TotalCosts_Service!$B$9:$B$608,0),MATCH(D$144,[4]TotalCosts_Service!$CH$8:$CN$8,0))*million</f>
        <v>#N/A</v>
      </c>
      <c r="E154" s="100" t="e">
        <f>INDEX([4]!FC.TotalCosts_Service,MATCH($A154,[4]TotalCosts_Service!$B$9:$B$608,0),MATCH(E$144,[4]TotalCosts_Service!$CH$8:$CN$8,0))*million</f>
        <v>#N/A</v>
      </c>
      <c r="F154" s="100">
        <f>INDEX([4]!FC.TotalCosts_Service,MATCH($A154,[4]TotalCosts_Service!$B$9:$B$608,0),MATCH(F$144,[4]TotalCosts_Service!$CH$8:$CN$8,0))*million</f>
        <v>34581013.668831803</v>
      </c>
      <c r="G154" s="100">
        <f>INDEX([4]!FC.TotalCosts_Service,MATCH($A154,[4]TotalCosts_Service!$B$9:$B$608,0),MATCH(G$144,[4]TotalCosts_Service!$CH$8:$CN$8,0))*million</f>
        <v>11569088.727604141</v>
      </c>
      <c r="H154" s="100">
        <f>INDEX([4]!FC.TotalCosts_Service,MATCH($A154,[4]TotalCosts_Service!$B$9:$B$608,0),MATCH(H$144,[4]TotalCosts_Service!$CH$8:$CN$8,0))*million</f>
        <v>5256681.8016062714</v>
      </c>
      <c r="I154" s="100">
        <f>INDEX([4]!FC.TotalCosts_Service,MATCH($A154,[4]TotalCosts_Service!$B$9:$B$608,0),MATCH(I$144,[4]TotalCosts_Service!$CH$8:$CN$8,0))*million</f>
        <v>322180.6568537936</v>
      </c>
      <c r="J154" s="100">
        <f>INDEX([4]!FC.TotalCosts_Service,MATCH($A154,[4]TotalCosts_Service!$B$9:$B$608,0),MATCH(J$144,[4]TotalCosts_Service!$CH$8:$CN$8,0))*million</f>
        <v>0</v>
      </c>
      <c r="K154" s="100">
        <f>INDEX([4]!FC.TotalCosts_Service,MATCH($A154,[4]TotalCosts_Service!$B$9:$B$608,0),MATCH(K$144,[4]TotalCosts_Service!$CH$8:$CN$8,0))*million</f>
        <v>0</v>
      </c>
      <c r="L154" s="100">
        <f>INDEX([4]!FC.TotalCosts_Service,MATCH($A154,[4]TotalCosts_Service!$B$9:$B$608,0),MATCH(L$144,[4]TotalCosts_Service!$CH$8:$CN$8,0))*million</f>
        <v>0</v>
      </c>
      <c r="M154" s="12"/>
      <c r="N154" s="12"/>
      <c r="P154" s="6"/>
      <c r="Q154" s="6"/>
      <c r="R154" s="9"/>
      <c r="S154" s="26"/>
      <c r="T154" s="26"/>
      <c r="U154" s="26"/>
      <c r="V154" s="26"/>
      <c r="W154" s="28"/>
      <c r="X154" s="28"/>
      <c r="Y154" s="28"/>
      <c r="Z154" s="28"/>
      <c r="AA154" s="28"/>
      <c r="AB154" s="28"/>
      <c r="AC154" s="28"/>
      <c r="AD154" s="28"/>
      <c r="AE154" s="28"/>
      <c r="AF154" s="28"/>
      <c r="AG154" s="28"/>
    </row>
    <row r="155" spans="1:33" x14ac:dyDescent="0.45">
      <c r="A155" s="9" t="str">
        <v>WN302</v>
      </c>
      <c r="B155" t="s">
        <v>285</v>
      </c>
      <c r="C155" s="100" t="e">
        <f>INDEX([4]!FC.TotalCosts_Service,MATCH($A155,[4]TotalCosts_Service!$B$9:$B$608,0),MATCH(C$144,[4]TotalCosts_Service!$CH$8:$CN$8,0))*million</f>
        <v>#N/A</v>
      </c>
      <c r="D155" s="100" t="e">
        <f>INDEX([4]!FC.TotalCosts_Service,MATCH($A155,[4]TotalCosts_Service!$B$9:$B$608,0),MATCH(D$144,[4]TotalCosts_Service!$CH$8:$CN$8,0))*million</f>
        <v>#N/A</v>
      </c>
      <c r="E155" s="100" t="e">
        <f>INDEX([4]!FC.TotalCosts_Service,MATCH($A155,[4]TotalCosts_Service!$B$9:$B$608,0),MATCH(E$144,[4]TotalCosts_Service!$CH$8:$CN$8,0))*million</f>
        <v>#N/A</v>
      </c>
      <c r="F155" s="100">
        <f>INDEX([4]!FC.TotalCosts_Service,MATCH($A155,[4]TotalCosts_Service!$B$9:$B$608,0),MATCH(F$144,[4]TotalCosts_Service!$CH$8:$CN$8,0))*million</f>
        <v>346150.87184835691</v>
      </c>
      <c r="G155" s="100">
        <f>INDEX([4]!FC.TotalCosts_Service,MATCH($A155,[4]TotalCosts_Service!$B$9:$B$608,0),MATCH(G$144,[4]TotalCosts_Service!$CH$8:$CN$8,0))*million</f>
        <v>61981.84163603979</v>
      </c>
      <c r="H155" s="100">
        <f>INDEX([4]!FC.TotalCosts_Service,MATCH($A155,[4]TotalCosts_Service!$B$9:$B$608,0),MATCH(H$144,[4]TotalCosts_Service!$CH$8:$CN$8,0))*million</f>
        <v>23775.937785851664</v>
      </c>
      <c r="I155" s="100">
        <f>INDEX([4]!FC.TotalCosts_Service,MATCH($A155,[4]TotalCosts_Service!$B$9:$B$608,0),MATCH(I$144,[4]TotalCosts_Service!$CH$8:$CN$8,0))*million</f>
        <v>1319.2632545179431</v>
      </c>
      <c r="J155" s="100">
        <f>INDEX([4]!FC.TotalCosts_Service,MATCH($A155,[4]TotalCosts_Service!$B$9:$B$608,0),MATCH(J$144,[4]TotalCosts_Service!$CH$8:$CN$8,0))*million</f>
        <v>0</v>
      </c>
      <c r="K155" s="100">
        <f>INDEX([4]!FC.TotalCosts_Service,MATCH($A155,[4]TotalCosts_Service!$B$9:$B$608,0),MATCH(K$144,[4]TotalCosts_Service!$CH$8:$CN$8,0))*million</f>
        <v>0</v>
      </c>
      <c r="L155" s="100">
        <f>INDEX([4]!FC.TotalCosts_Service,MATCH($A155,[4]TotalCosts_Service!$B$9:$B$608,0),MATCH(L$144,[4]TotalCosts_Service!$CH$8:$CN$8,0))*million</f>
        <v>0</v>
      </c>
      <c r="M155" s="12"/>
      <c r="N155" s="12"/>
      <c r="P155" s="6"/>
      <c r="Q155" s="6"/>
      <c r="R155" s="6"/>
      <c r="S155" s="6"/>
      <c r="T155" s="6"/>
      <c r="U155" s="6"/>
      <c r="V155" s="6"/>
      <c r="W155" s="6"/>
      <c r="X155" s="6"/>
      <c r="Y155" s="6"/>
      <c r="Z155" s="6"/>
    </row>
    <row r="156" spans="1:33" x14ac:dyDescent="0.45">
      <c r="A156" s="9" t="str">
        <v>WX312</v>
      </c>
      <c r="B156" t="s">
        <v>286</v>
      </c>
      <c r="C156" s="100" t="e">
        <f>INDEX([4]!FC.TotalCosts_Service,MATCH($A156,[4]TotalCosts_Service!$B$9:$B$608,0),MATCH(C$144,[4]TotalCosts_Service!$CH$8:$CN$8,0))*million</f>
        <v>#N/A</v>
      </c>
      <c r="D156" s="100" t="e">
        <f>INDEX([4]!FC.TotalCosts_Service,MATCH($A156,[4]TotalCosts_Service!$B$9:$B$608,0),MATCH(D$144,[4]TotalCosts_Service!$CH$8:$CN$8,0))*million</f>
        <v>#N/A</v>
      </c>
      <c r="E156" s="100" t="e">
        <f>INDEX([4]!FC.TotalCosts_Service,MATCH($A156,[4]TotalCosts_Service!$B$9:$B$608,0),MATCH(E$144,[4]TotalCosts_Service!$CH$8:$CN$8,0))*million</f>
        <v>#N/A</v>
      </c>
      <c r="F156" s="100">
        <f>INDEX([4]!FC.TotalCosts_Service,MATCH($A156,[4]TotalCosts_Service!$B$9:$B$608,0),MATCH(F$144,[4]TotalCosts_Service!$CH$8:$CN$8,0))*million</f>
        <v>1240425.8750573297</v>
      </c>
      <c r="G156" s="100">
        <f>INDEX([4]!FC.TotalCosts_Service,MATCH($A156,[4]TotalCosts_Service!$B$9:$B$608,0),MATCH(G$144,[4]TotalCosts_Service!$CH$8:$CN$8,0))*million</f>
        <v>319743.25218969875</v>
      </c>
      <c r="H156" s="100">
        <f>INDEX([4]!FC.TotalCosts_Service,MATCH($A156,[4]TotalCosts_Service!$B$9:$B$608,0),MATCH(H$144,[4]TotalCosts_Service!$CH$8:$CN$8,0))*million</f>
        <v>124677.75791268647</v>
      </c>
      <c r="I156" s="100">
        <f>INDEX([4]!FC.TotalCosts_Service,MATCH($A156,[4]TotalCosts_Service!$B$9:$B$608,0),MATCH(I$144,[4]TotalCosts_Service!$CH$8:$CN$8,0))*million</f>
        <v>7333.2833752472998</v>
      </c>
      <c r="J156" s="100">
        <f>INDEX([4]!FC.TotalCosts_Service,MATCH($A156,[4]TotalCosts_Service!$B$9:$B$608,0),MATCH(J$144,[4]TotalCosts_Service!$CH$8:$CN$8,0))*million</f>
        <v>0</v>
      </c>
      <c r="K156" s="100">
        <f>INDEX([4]!FC.TotalCosts_Service,MATCH($A156,[4]TotalCosts_Service!$B$9:$B$608,0),MATCH(K$144,[4]TotalCosts_Service!$CH$8:$CN$8,0))*million</f>
        <v>0</v>
      </c>
      <c r="L156" s="100">
        <f>INDEX([4]!FC.TotalCosts_Service,MATCH($A156,[4]TotalCosts_Service!$B$9:$B$608,0),MATCH(L$144,[4]TotalCosts_Service!$CH$8:$CN$8,0))*million</f>
        <v>0</v>
      </c>
      <c r="M156" s="12"/>
      <c r="N156" s="12"/>
      <c r="P156" s="6"/>
      <c r="Q156" s="6"/>
      <c r="R156" s="6"/>
      <c r="S156" s="6"/>
      <c r="T156" s="6"/>
      <c r="U156" s="6"/>
      <c r="V156" s="6"/>
      <c r="W156" s="6"/>
      <c r="X156" s="6"/>
      <c r="Y156" s="6"/>
      <c r="Z156" s="6"/>
    </row>
    <row r="157" spans="1:33" x14ac:dyDescent="0.45">
      <c r="A157" s="9" t="str">
        <v>WX338</v>
      </c>
      <c r="B157" t="s">
        <v>287</v>
      </c>
      <c r="C157" s="100" t="e">
        <f>INDEX([4]!FC.TotalCosts_Service,MATCH($A157,[4]TotalCosts_Service!$B$9:$B$608,0),MATCH(C$144,[4]TotalCosts_Service!$CH$8:$CN$8,0))*million</f>
        <v>#N/A</v>
      </c>
      <c r="D157" s="100" t="e">
        <f>INDEX([4]!FC.TotalCosts_Service,MATCH($A157,[4]TotalCosts_Service!$B$9:$B$608,0),MATCH(D$144,[4]TotalCosts_Service!$CH$8:$CN$8,0))*million</f>
        <v>#N/A</v>
      </c>
      <c r="E157" s="100" t="e">
        <f>INDEX([4]!FC.TotalCosts_Service,MATCH($A157,[4]TotalCosts_Service!$B$9:$B$608,0),MATCH(E$144,[4]TotalCosts_Service!$CH$8:$CN$8,0))*million</f>
        <v>#N/A</v>
      </c>
      <c r="F157" s="100">
        <f>INDEX([4]!FC.TotalCosts_Service,MATCH($A157,[4]TotalCosts_Service!$B$9:$B$608,0),MATCH(F$144,[4]TotalCosts_Service!$CH$8:$CN$8,0))*million</f>
        <v>353935.50991685339</v>
      </c>
      <c r="G157" s="100">
        <f>INDEX([4]!FC.TotalCosts_Service,MATCH($A157,[4]TotalCosts_Service!$B$9:$B$608,0),MATCH(G$144,[4]TotalCosts_Service!$CH$8:$CN$8,0))*million</f>
        <v>106370.99610773876</v>
      </c>
      <c r="H157" s="100">
        <f>INDEX([4]!FC.TotalCosts_Service,MATCH($A157,[4]TotalCosts_Service!$B$9:$B$608,0),MATCH(H$144,[4]TotalCosts_Service!$CH$8:$CN$8,0))*million</f>
        <v>41104.601920202535</v>
      </c>
      <c r="I157" s="100">
        <f>INDEX([4]!FC.TotalCosts_Service,MATCH($A157,[4]TotalCosts_Service!$B$9:$B$608,0),MATCH(I$144,[4]TotalCosts_Service!$CH$8:$CN$8,0))*million</f>
        <v>2407.2785717685015</v>
      </c>
      <c r="J157" s="100">
        <f>INDEX([4]!FC.TotalCosts_Service,MATCH($A157,[4]TotalCosts_Service!$B$9:$B$608,0),MATCH(J$144,[4]TotalCosts_Service!$CH$8:$CN$8,0))*million</f>
        <v>0</v>
      </c>
      <c r="K157" s="100">
        <f>INDEX([4]!FC.TotalCosts_Service,MATCH($A157,[4]TotalCosts_Service!$B$9:$B$608,0),MATCH(K$144,[4]TotalCosts_Service!$CH$8:$CN$8,0))*million</f>
        <v>0</v>
      </c>
      <c r="L157" s="100">
        <f>INDEX([4]!FC.TotalCosts_Service,MATCH($A157,[4]TotalCosts_Service!$B$9:$B$608,0),MATCH(L$144,[4]TotalCosts_Service!$CH$8:$CN$8,0))*million</f>
        <v>0</v>
      </c>
      <c r="M157" s="12"/>
      <c r="N157" s="12"/>
      <c r="P157" s="6"/>
      <c r="Q157" s="6"/>
      <c r="R157" s="6"/>
      <c r="S157" s="6"/>
      <c r="T157" s="6"/>
      <c r="U157" s="6"/>
      <c r="V157" s="6"/>
      <c r="W157" s="6"/>
      <c r="X157" s="6"/>
      <c r="Y157" s="6"/>
      <c r="Z157" s="6"/>
    </row>
    <row r="158" spans="1:33" x14ac:dyDescent="0.45">
      <c r="A158" s="9" t="str">
        <v>WN336</v>
      </c>
      <c r="B158" t="s">
        <v>288</v>
      </c>
      <c r="C158" s="100" t="e">
        <f>INDEX([4]!FC.TotalCosts_Service,MATCH($A158,[4]TotalCosts_Service!$B$9:$B$608,0),MATCH(C$144,[4]TotalCosts_Service!$CH$8:$CN$8,0))*million</f>
        <v>#N/A</v>
      </c>
      <c r="D158" s="100" t="e">
        <f>INDEX([4]!FC.TotalCosts_Service,MATCH($A158,[4]TotalCosts_Service!$B$9:$B$608,0),MATCH(D$144,[4]TotalCosts_Service!$CH$8:$CN$8,0))*million</f>
        <v>#N/A</v>
      </c>
      <c r="E158" s="100" t="e">
        <f>INDEX([4]!FC.TotalCosts_Service,MATCH($A158,[4]TotalCosts_Service!$B$9:$B$608,0),MATCH(E$144,[4]TotalCosts_Service!$CH$8:$CN$8,0))*million</f>
        <v>#N/A</v>
      </c>
      <c r="F158" s="100">
        <f>INDEX([4]!FC.TotalCosts_Service,MATCH($A158,[4]TotalCosts_Service!$B$9:$B$608,0),MATCH(F$144,[4]TotalCosts_Service!$CH$8:$CN$8,0))*million</f>
        <v>158607.69492772871</v>
      </c>
      <c r="G158" s="100">
        <f>INDEX([4]!FC.TotalCosts_Service,MATCH($A158,[4]TotalCosts_Service!$B$9:$B$608,0),MATCH(G$144,[4]TotalCosts_Service!$CH$8:$CN$8,0))*million</f>
        <v>32802.313924195601</v>
      </c>
      <c r="H158" s="100">
        <f>INDEX([4]!FC.TotalCosts_Service,MATCH($A158,[4]TotalCosts_Service!$B$9:$B$608,0),MATCH(H$144,[4]TotalCosts_Service!$CH$8:$CN$8,0))*million</f>
        <v>12463.614947947977</v>
      </c>
      <c r="I158" s="100">
        <f>INDEX([4]!FC.TotalCosts_Service,MATCH($A158,[4]TotalCosts_Service!$B$9:$B$608,0),MATCH(I$144,[4]TotalCosts_Service!$CH$8:$CN$8,0))*million</f>
        <v>688.10133574281554</v>
      </c>
      <c r="J158" s="100">
        <f>INDEX([4]!FC.TotalCosts_Service,MATCH($A158,[4]TotalCosts_Service!$B$9:$B$608,0),MATCH(J$144,[4]TotalCosts_Service!$CH$8:$CN$8,0))*million</f>
        <v>0</v>
      </c>
      <c r="K158" s="100">
        <f>INDEX([4]!FC.TotalCosts_Service,MATCH($A158,[4]TotalCosts_Service!$B$9:$B$608,0),MATCH(K$144,[4]TotalCosts_Service!$CH$8:$CN$8,0))*million</f>
        <v>0</v>
      </c>
      <c r="L158" s="100">
        <f>INDEX([4]!FC.TotalCosts_Service,MATCH($A158,[4]TotalCosts_Service!$B$9:$B$608,0),MATCH(L$144,[4]TotalCosts_Service!$CH$8:$CN$8,0))*million</f>
        <v>0</v>
      </c>
      <c r="M158" s="12"/>
      <c r="N158" s="12"/>
      <c r="P158" s="6"/>
      <c r="Q158" s="6"/>
      <c r="R158" s="6"/>
      <c r="S158" s="6"/>
      <c r="T158" s="6"/>
      <c r="U158" s="6"/>
      <c r="V158" s="6"/>
      <c r="W158" s="6"/>
      <c r="X158" s="6"/>
      <c r="Y158" s="6"/>
      <c r="Z158" s="6"/>
    </row>
    <row r="159" spans="1:33" x14ac:dyDescent="0.45">
      <c r="A159" s="9" t="str">
        <v>WN303</v>
      </c>
      <c r="B159" t="s">
        <v>289</v>
      </c>
      <c r="C159" s="100" t="e">
        <f>INDEX([4]!FC.TotalCosts_Service,MATCH($A159,[4]TotalCosts_Service!$B$9:$B$608,0),MATCH(C$144,[4]TotalCosts_Service!$CH$8:$CN$8,0))*million</f>
        <v>#N/A</v>
      </c>
      <c r="D159" s="100" t="e">
        <f>INDEX([4]!FC.TotalCosts_Service,MATCH($A159,[4]TotalCosts_Service!$B$9:$B$608,0),MATCH(D$144,[4]TotalCosts_Service!$CH$8:$CN$8,0))*million</f>
        <v>#N/A</v>
      </c>
      <c r="E159" s="100" t="e">
        <f>INDEX([4]!FC.TotalCosts_Service,MATCH($A159,[4]TotalCosts_Service!$B$9:$B$608,0),MATCH(E$144,[4]TotalCosts_Service!$CH$8:$CN$8,0))*million</f>
        <v>#N/A</v>
      </c>
      <c r="F159" s="100">
        <f>INDEX([4]!FC.TotalCosts_Service,MATCH($A159,[4]TotalCosts_Service!$B$9:$B$608,0),MATCH(F$144,[4]TotalCosts_Service!$CH$8:$CN$8,0))*million</f>
        <v>1640528.0187242881</v>
      </c>
      <c r="G159" s="100">
        <f>INDEX([4]!FC.TotalCosts_Service,MATCH($A159,[4]TotalCosts_Service!$B$9:$B$608,0),MATCH(G$144,[4]TotalCosts_Service!$CH$8:$CN$8,0))*million</f>
        <v>412115.50513163779</v>
      </c>
      <c r="H159" s="100">
        <f>INDEX([4]!FC.TotalCosts_Service,MATCH($A159,[4]TotalCosts_Service!$B$9:$B$608,0),MATCH(H$144,[4]TotalCosts_Service!$CH$8:$CN$8,0))*million</f>
        <v>156667.66512388934</v>
      </c>
      <c r="I159" s="100">
        <f>INDEX([4]!FC.TotalCosts_Service,MATCH($A159,[4]TotalCosts_Service!$B$9:$B$608,0),MATCH(I$144,[4]TotalCosts_Service!$CH$8:$CN$8,0))*million</f>
        <v>8664.6537910369025</v>
      </c>
      <c r="J159" s="100">
        <f>INDEX([4]!FC.TotalCosts_Service,MATCH($A159,[4]TotalCosts_Service!$B$9:$B$608,0),MATCH(J$144,[4]TotalCosts_Service!$CH$8:$CN$8,0))*million</f>
        <v>0</v>
      </c>
      <c r="K159" s="100">
        <f>INDEX([4]!FC.TotalCosts_Service,MATCH($A159,[4]TotalCosts_Service!$B$9:$B$608,0),MATCH(K$144,[4]TotalCosts_Service!$CH$8:$CN$8,0))*million</f>
        <v>0</v>
      </c>
      <c r="L159" s="100">
        <f>INDEX([4]!FC.TotalCosts_Service,MATCH($A159,[4]TotalCosts_Service!$B$9:$B$608,0),MATCH(L$144,[4]TotalCosts_Service!$CH$8:$CN$8,0))*million</f>
        <v>0</v>
      </c>
      <c r="M159" s="12"/>
      <c r="N159" s="12"/>
      <c r="P159" s="6"/>
      <c r="Q159" s="6"/>
      <c r="R159" s="6"/>
      <c r="S159" s="6"/>
      <c r="T159" s="6"/>
      <c r="U159" s="6"/>
      <c r="V159" s="6"/>
      <c r="W159" s="6"/>
      <c r="X159" s="6"/>
      <c r="Y159" s="6"/>
      <c r="Z159" s="6"/>
    </row>
    <row r="160" spans="1:33" x14ac:dyDescent="0.45">
      <c r="A160" s="9" t="str">
        <v>WN337</v>
      </c>
      <c r="B160" t="s">
        <v>290</v>
      </c>
      <c r="C160" s="100" t="e">
        <f>INDEX([4]!FC.TotalCosts_Service,MATCH($A160,[4]TotalCosts_Service!$B$9:$B$608,0),MATCH(C$144,[4]TotalCosts_Service!$CH$8:$CN$8,0))*million</f>
        <v>#N/A</v>
      </c>
      <c r="D160" s="100" t="e">
        <f>INDEX([4]!FC.TotalCosts_Service,MATCH($A160,[4]TotalCosts_Service!$B$9:$B$608,0),MATCH(D$144,[4]TotalCosts_Service!$CH$8:$CN$8,0))*million</f>
        <v>#N/A</v>
      </c>
      <c r="E160" s="100" t="e">
        <f>INDEX([4]!FC.TotalCosts_Service,MATCH($A160,[4]TotalCosts_Service!$B$9:$B$608,0),MATCH(E$144,[4]TotalCosts_Service!$CH$8:$CN$8,0))*million</f>
        <v>#N/A</v>
      </c>
      <c r="F160" s="100">
        <f>INDEX([4]!FC.TotalCosts_Service,MATCH($A160,[4]TotalCosts_Service!$B$9:$B$608,0),MATCH(F$144,[4]TotalCosts_Service!$CH$8:$CN$8,0))*million</f>
        <v>863381.4809703225</v>
      </c>
      <c r="G160" s="100">
        <f>INDEX([4]!FC.TotalCosts_Service,MATCH($A160,[4]TotalCosts_Service!$B$9:$B$608,0),MATCH(G$144,[4]TotalCosts_Service!$CH$8:$CN$8,0))*million</f>
        <v>152311.42257407369</v>
      </c>
      <c r="H160" s="100">
        <f>INDEX([4]!FC.TotalCosts_Service,MATCH($A160,[4]TotalCosts_Service!$B$9:$B$608,0),MATCH(H$144,[4]TotalCosts_Service!$CH$8:$CN$8,0))*million</f>
        <v>58447.564544655674</v>
      </c>
      <c r="I160" s="100">
        <f>INDEX([4]!FC.TotalCosts_Service,MATCH($A160,[4]TotalCosts_Service!$B$9:$B$608,0),MATCH(I$144,[4]TotalCosts_Service!$CH$8:$CN$8,0))*million</f>
        <v>3247.2218133400406</v>
      </c>
      <c r="J160" s="100">
        <f>INDEX([4]!FC.TotalCosts_Service,MATCH($A160,[4]TotalCosts_Service!$B$9:$B$608,0),MATCH(J$144,[4]TotalCosts_Service!$CH$8:$CN$8,0))*million</f>
        <v>0</v>
      </c>
      <c r="K160" s="100">
        <f>INDEX([4]!FC.TotalCosts_Service,MATCH($A160,[4]TotalCosts_Service!$B$9:$B$608,0),MATCH(K$144,[4]TotalCosts_Service!$CH$8:$CN$8,0))*million</f>
        <v>0</v>
      </c>
      <c r="L160" s="100">
        <f>INDEX([4]!FC.TotalCosts_Service,MATCH($A160,[4]TotalCosts_Service!$B$9:$B$608,0),MATCH(L$144,[4]TotalCosts_Service!$CH$8:$CN$8,0))*million</f>
        <v>0</v>
      </c>
      <c r="M160" s="12"/>
      <c r="N160" s="12"/>
      <c r="P160" s="6"/>
      <c r="Q160" s="6"/>
      <c r="R160" s="6"/>
      <c r="S160" s="6"/>
      <c r="T160" s="6"/>
      <c r="U160" s="6"/>
      <c r="V160" s="6"/>
      <c r="W160" s="6"/>
      <c r="X160" s="6"/>
      <c r="Y160" s="6"/>
      <c r="Z160" s="6"/>
    </row>
    <row r="161" spans="1:26" x14ac:dyDescent="0.45">
      <c r="A161" s="9" t="str">
        <v>WX313</v>
      </c>
      <c r="B161" t="s">
        <v>291</v>
      </c>
      <c r="C161" s="100" t="e">
        <f>INDEX([4]!FC.TotalCosts_Service,MATCH($A161,[4]TotalCosts_Service!$B$9:$B$608,0),MATCH(C$144,[4]TotalCosts_Service!$CH$8:$CN$8,0))*million</f>
        <v>#N/A</v>
      </c>
      <c r="D161" s="100" t="e">
        <f>INDEX([4]!FC.TotalCosts_Service,MATCH($A161,[4]TotalCosts_Service!$B$9:$B$608,0),MATCH(D$144,[4]TotalCosts_Service!$CH$8:$CN$8,0))*million</f>
        <v>#N/A</v>
      </c>
      <c r="E161" s="100" t="e">
        <f>INDEX([4]!FC.TotalCosts_Service,MATCH($A161,[4]TotalCosts_Service!$B$9:$B$608,0),MATCH(E$144,[4]TotalCosts_Service!$CH$8:$CN$8,0))*million</f>
        <v>#N/A</v>
      </c>
      <c r="F161" s="100">
        <f>INDEX([4]!FC.TotalCosts_Service,MATCH($A161,[4]TotalCosts_Service!$B$9:$B$608,0),MATCH(F$144,[4]TotalCosts_Service!$CH$8:$CN$8,0))*million</f>
        <v>773931.41368708853</v>
      </c>
      <c r="G161" s="100">
        <f>INDEX([4]!FC.TotalCosts_Service,MATCH($A161,[4]TotalCosts_Service!$B$9:$B$608,0),MATCH(G$144,[4]TotalCosts_Service!$CH$8:$CN$8,0))*million</f>
        <v>257251.41155040925</v>
      </c>
      <c r="H161" s="100">
        <f>INDEX([4]!FC.TotalCosts_Service,MATCH($A161,[4]TotalCosts_Service!$B$9:$B$608,0),MATCH(H$144,[4]TotalCosts_Service!$CH$8:$CN$8,0))*million</f>
        <v>99491.626526109801</v>
      </c>
      <c r="I161" s="100">
        <f>INDEX([4]!FC.TotalCosts_Service,MATCH($A161,[4]TotalCosts_Service!$B$9:$B$608,0),MATCH(I$144,[4]TotalCosts_Service!$CH$8:$CN$8,0))*million</f>
        <v>5842.1368836219672</v>
      </c>
      <c r="J161" s="100">
        <f>INDEX([4]!FC.TotalCosts_Service,MATCH($A161,[4]TotalCosts_Service!$B$9:$B$608,0),MATCH(J$144,[4]TotalCosts_Service!$CH$8:$CN$8,0))*million</f>
        <v>0</v>
      </c>
      <c r="K161" s="100">
        <f>INDEX([4]!FC.TotalCosts_Service,MATCH($A161,[4]TotalCosts_Service!$B$9:$B$608,0),MATCH(K$144,[4]TotalCosts_Service!$CH$8:$CN$8,0))*million</f>
        <v>0</v>
      </c>
      <c r="L161" s="100">
        <f>INDEX([4]!FC.TotalCosts_Service,MATCH($A161,[4]TotalCosts_Service!$B$9:$B$608,0),MATCH(L$144,[4]TotalCosts_Service!$CH$8:$CN$8,0))*million</f>
        <v>0</v>
      </c>
      <c r="M161" s="12"/>
      <c r="N161" s="12"/>
      <c r="P161" s="6"/>
      <c r="Q161" s="6"/>
      <c r="R161" s="6"/>
      <c r="S161" s="6"/>
      <c r="T161" s="6"/>
      <c r="U161" s="6"/>
      <c r="V161" s="6"/>
      <c r="W161" s="6"/>
      <c r="X161" s="6"/>
      <c r="Y161" s="6"/>
      <c r="Z161" s="6"/>
    </row>
    <row r="162" spans="1:26" x14ac:dyDescent="0.45">
      <c r="A162" s="9" t="str">
        <v>WX339</v>
      </c>
      <c r="B162" t="s">
        <v>292</v>
      </c>
      <c r="C162" s="100" t="e">
        <f>INDEX([4]!FC.TotalCosts_Service,MATCH($A162,[4]TotalCosts_Service!$B$9:$B$608,0),MATCH(C$144,[4]TotalCosts_Service!$CH$8:$CN$8,0))*million</f>
        <v>#N/A</v>
      </c>
      <c r="D162" s="100" t="e">
        <f>INDEX([4]!FC.TotalCosts_Service,MATCH($A162,[4]TotalCosts_Service!$B$9:$B$608,0),MATCH(D$144,[4]TotalCosts_Service!$CH$8:$CN$8,0))*million</f>
        <v>#N/A</v>
      </c>
      <c r="E162" s="100" t="e">
        <f>INDEX([4]!FC.TotalCosts_Service,MATCH($A162,[4]TotalCosts_Service!$B$9:$B$608,0),MATCH(E$144,[4]TotalCosts_Service!$CH$8:$CN$8,0))*million</f>
        <v>#N/A</v>
      </c>
      <c r="F162" s="100">
        <f>INDEX([4]!FC.TotalCosts_Service,MATCH($A162,[4]TotalCosts_Service!$B$9:$B$608,0),MATCH(F$144,[4]TotalCosts_Service!$CH$8:$CN$8,0))*million</f>
        <v>1916626.6314547767</v>
      </c>
      <c r="G162" s="100">
        <f>INDEX([4]!FC.TotalCosts_Service,MATCH($A162,[4]TotalCosts_Service!$B$9:$B$608,0),MATCH(G$144,[4]TotalCosts_Service!$CH$8:$CN$8,0))*million</f>
        <v>563296.46398625814</v>
      </c>
      <c r="H162" s="100">
        <f>INDEX([4]!FC.TotalCosts_Service,MATCH($A162,[4]TotalCosts_Service!$B$9:$B$608,0),MATCH(H$144,[4]TotalCosts_Service!$CH$8:$CN$8,0))*million</f>
        <v>219881.68856733566</v>
      </c>
      <c r="I162" s="100">
        <f>INDEX([4]!FC.TotalCosts_Service,MATCH($A162,[4]TotalCosts_Service!$B$9:$B$608,0),MATCH(I$144,[4]TotalCosts_Service!$CH$8:$CN$8,0))*million</f>
        <v>12954.881418440476</v>
      </c>
      <c r="J162" s="100">
        <f>INDEX([4]!FC.TotalCosts_Service,MATCH($A162,[4]TotalCosts_Service!$B$9:$B$608,0),MATCH(J$144,[4]TotalCosts_Service!$CH$8:$CN$8,0))*million</f>
        <v>0</v>
      </c>
      <c r="K162" s="100">
        <f>INDEX([4]!FC.TotalCosts_Service,MATCH($A162,[4]TotalCosts_Service!$B$9:$B$608,0),MATCH(K$144,[4]TotalCosts_Service!$CH$8:$CN$8,0))*million</f>
        <v>0</v>
      </c>
      <c r="L162" s="100">
        <f>INDEX([4]!FC.TotalCosts_Service,MATCH($A162,[4]TotalCosts_Service!$B$9:$B$608,0),MATCH(L$144,[4]TotalCosts_Service!$CH$8:$CN$8,0))*million</f>
        <v>0</v>
      </c>
      <c r="M162" s="12"/>
      <c r="N162" s="12"/>
      <c r="P162" s="6"/>
      <c r="Q162" s="6"/>
      <c r="R162" s="6"/>
      <c r="S162" s="6"/>
      <c r="T162" s="6"/>
      <c r="U162" s="6"/>
      <c r="V162" s="6"/>
      <c r="W162" s="6"/>
      <c r="X162" s="6"/>
      <c r="Y162" s="6"/>
      <c r="Z162" s="6"/>
    </row>
    <row r="163" spans="1:26" x14ac:dyDescent="0.45">
      <c r="A163" s="9" t="str">
        <v>WN332</v>
      </c>
      <c r="B163" t="s">
        <v>293</v>
      </c>
      <c r="C163" s="100" t="e">
        <f>INDEX([4]!FC.TotalCosts_Service,MATCH($A163,[4]TotalCosts_Service!$B$9:$B$608,0),MATCH(C$144,[4]TotalCosts_Service!$CH$8:$CN$8,0))*million</f>
        <v>#N/A</v>
      </c>
      <c r="D163" s="100" t="e">
        <f>INDEX([4]!FC.TotalCosts_Service,MATCH($A163,[4]TotalCosts_Service!$B$9:$B$608,0),MATCH(D$144,[4]TotalCosts_Service!$CH$8:$CN$8,0))*million</f>
        <v>#N/A</v>
      </c>
      <c r="E163" s="100" t="e">
        <f>INDEX([4]!FC.TotalCosts_Service,MATCH($A163,[4]TotalCosts_Service!$B$9:$B$608,0),MATCH(E$144,[4]TotalCosts_Service!$CH$8:$CN$8,0))*million</f>
        <v>#N/A</v>
      </c>
      <c r="F163" s="100">
        <f>INDEX([4]!FC.TotalCosts_Service,MATCH($A163,[4]TotalCosts_Service!$B$9:$B$608,0),MATCH(F$144,[4]TotalCosts_Service!$CH$8:$CN$8,0))*million</f>
        <v>2934779.8391642617</v>
      </c>
      <c r="G163" s="100">
        <f>INDEX([4]!FC.TotalCosts_Service,MATCH($A163,[4]TotalCosts_Service!$B$9:$B$608,0),MATCH(G$144,[4]TotalCosts_Service!$CH$8:$CN$8,0))*million</f>
        <v>905095.28640242585</v>
      </c>
      <c r="H163" s="100">
        <f>INDEX([4]!FC.TotalCosts_Service,MATCH($A163,[4]TotalCosts_Service!$B$9:$B$608,0),MATCH(H$144,[4]TotalCosts_Service!$CH$8:$CN$8,0))*million</f>
        <v>1194575.1817983915</v>
      </c>
      <c r="I163" s="100">
        <f>INDEX([4]!FC.TotalCosts_Service,MATCH($A163,[4]TotalCosts_Service!$B$9:$B$608,0),MATCH(I$144,[4]TotalCosts_Service!$CH$8:$CN$8,0))*million</f>
        <v>1318769.4955525789</v>
      </c>
      <c r="J163" s="100">
        <f>INDEX([4]!FC.TotalCosts_Service,MATCH($A163,[4]TotalCosts_Service!$B$9:$B$608,0),MATCH(J$144,[4]TotalCosts_Service!$CH$8:$CN$8,0))*million</f>
        <v>1545353.5755811334</v>
      </c>
      <c r="K163" s="100">
        <f>INDEX([4]!FC.TotalCosts_Service,MATCH($A163,[4]TotalCosts_Service!$B$9:$B$608,0),MATCH(K$144,[4]TotalCosts_Service!$CH$8:$CN$8,0))*million</f>
        <v>1859844.2949394574</v>
      </c>
      <c r="L163" s="100">
        <f>INDEX([4]!FC.TotalCosts_Service,MATCH($A163,[4]TotalCosts_Service!$B$9:$B$608,0),MATCH(L$144,[4]TotalCosts_Service!$CH$8:$CN$8,0))*million</f>
        <v>2333140.0815500156</v>
      </c>
      <c r="M163" s="12"/>
      <c r="N163" s="12"/>
      <c r="P163" s="6"/>
      <c r="Q163" s="6"/>
      <c r="R163" s="6"/>
      <c r="S163" s="6"/>
      <c r="T163" s="6"/>
      <c r="U163" s="6"/>
      <c r="V163" s="6"/>
      <c r="W163" s="6"/>
      <c r="X163" s="6"/>
      <c r="Y163" s="6"/>
      <c r="Z163" s="6"/>
    </row>
    <row r="164" spans="1:26" x14ac:dyDescent="0.45">
      <c r="A164" s="9" t="str">
        <v>WX334</v>
      </c>
      <c r="B164" t="s">
        <v>295</v>
      </c>
      <c r="C164" s="100" t="e">
        <f>INDEX([4]!FC.TotalCosts_Service,MATCH($A164,[4]TotalCosts_Service!$B$9:$B$608,0),MATCH(C$144,[4]TotalCosts_Service!$CH$8:$CN$8,0))*million</f>
        <v>#N/A</v>
      </c>
      <c r="D164" s="100" t="e">
        <f>INDEX([4]!FC.TotalCosts_Service,MATCH($A164,[4]TotalCosts_Service!$B$9:$B$608,0),MATCH(D$144,[4]TotalCosts_Service!$CH$8:$CN$8,0))*million</f>
        <v>#N/A</v>
      </c>
      <c r="E164" s="100" t="e">
        <f>INDEX([4]!FC.TotalCosts_Service,MATCH($A164,[4]TotalCosts_Service!$B$9:$B$608,0),MATCH(E$144,[4]TotalCosts_Service!$CH$8:$CN$8,0))*million</f>
        <v>#N/A</v>
      </c>
      <c r="F164" s="100">
        <f>INDEX([4]!FC.TotalCosts_Service,MATCH($A164,[4]TotalCosts_Service!$B$9:$B$608,0),MATCH(F$144,[4]TotalCosts_Service!$CH$8:$CN$8,0))*million</f>
        <v>3036953.4678108292</v>
      </c>
      <c r="G164" s="100">
        <f>INDEX([4]!FC.TotalCosts_Service,MATCH($A164,[4]TotalCosts_Service!$B$9:$B$608,0),MATCH(G$144,[4]TotalCosts_Service!$CH$8:$CN$8,0))*million</f>
        <v>1574273.2244915282</v>
      </c>
      <c r="H164" s="100">
        <f>INDEX([4]!FC.TotalCosts_Service,MATCH($A164,[4]TotalCosts_Service!$B$9:$B$608,0),MATCH(H$144,[4]TotalCosts_Service!$CH$8:$CN$8,0))*million</f>
        <v>1992803.3266679659</v>
      </c>
      <c r="I164" s="100">
        <f>INDEX([4]!FC.TotalCosts_Service,MATCH($A164,[4]TotalCosts_Service!$B$9:$B$608,0),MATCH(I$144,[4]TotalCosts_Service!$CH$8:$CN$8,0))*million</f>
        <v>2168739.3590314728</v>
      </c>
      <c r="J164" s="100">
        <f>INDEX([4]!FC.TotalCosts_Service,MATCH($A164,[4]TotalCosts_Service!$B$9:$B$608,0),MATCH(J$144,[4]TotalCosts_Service!$CH$8:$CN$8,0))*million</f>
        <v>2463419.834746398</v>
      </c>
      <c r="K164" s="100">
        <f>INDEX([4]!FC.TotalCosts_Service,MATCH($A164,[4]TotalCosts_Service!$B$9:$B$608,0),MATCH(K$144,[4]TotalCosts_Service!$CH$8:$CN$8,0))*million</f>
        <v>2856767.1557650114</v>
      </c>
      <c r="L164" s="100">
        <f>INDEX([4]!FC.TotalCosts_Service,MATCH($A164,[4]TotalCosts_Service!$B$9:$B$608,0),MATCH(L$144,[4]TotalCosts_Service!$CH$8:$CN$8,0))*million</f>
        <v>3479052.7757513202</v>
      </c>
      <c r="M164" s="12"/>
      <c r="N164" s="12"/>
      <c r="P164" s="6"/>
      <c r="Q164" s="6"/>
      <c r="R164" s="6"/>
      <c r="S164" s="6"/>
      <c r="T164" s="6"/>
      <c r="U164" s="6"/>
      <c r="V164" s="6"/>
      <c r="W164" s="6"/>
      <c r="X164" s="6"/>
      <c r="Y164" s="6"/>
      <c r="Z164" s="6"/>
    </row>
    <row r="165" spans="1:26" x14ac:dyDescent="0.45">
      <c r="A165" s="9" t="str">
        <v>WN333</v>
      </c>
      <c r="B165" t="s">
        <v>296</v>
      </c>
      <c r="C165" s="100" t="e">
        <f>INDEX([4]!FC.TotalCosts_Service,MATCH($A165,[4]TotalCosts_Service!$B$9:$B$608,0),MATCH(C$144,[4]TotalCosts_Service!$CH$8:$CN$8,0))*million</f>
        <v>#N/A</v>
      </c>
      <c r="D165" s="100" t="e">
        <f>INDEX([4]!FC.TotalCosts_Service,MATCH($A165,[4]TotalCosts_Service!$B$9:$B$608,0),MATCH(D$144,[4]TotalCosts_Service!$CH$8:$CN$8,0))*million</f>
        <v>#N/A</v>
      </c>
      <c r="E165" s="100" t="e">
        <f>INDEX([4]!FC.TotalCosts_Service,MATCH($A165,[4]TotalCosts_Service!$B$9:$B$608,0),MATCH(E$144,[4]TotalCosts_Service!$CH$8:$CN$8,0))*million</f>
        <v>#N/A</v>
      </c>
      <c r="F165" s="100">
        <f>INDEX([4]!FC.TotalCosts_Service,MATCH($A165,[4]TotalCosts_Service!$B$9:$B$608,0),MATCH(F$144,[4]TotalCosts_Service!$CH$8:$CN$8,0))*million</f>
        <v>256227.55440886441</v>
      </c>
      <c r="G165" s="100">
        <f>INDEX([4]!FC.TotalCosts_Service,MATCH($A165,[4]TotalCosts_Service!$B$9:$B$608,0),MATCH(G$144,[4]TotalCosts_Service!$CH$8:$CN$8,0))*million</f>
        <v>159516.90713252657</v>
      </c>
      <c r="H165" s="100">
        <f>INDEX([4]!FC.TotalCosts_Service,MATCH($A165,[4]TotalCosts_Service!$B$9:$B$608,0),MATCH(H$144,[4]TotalCosts_Service!$CH$8:$CN$8,0))*million</f>
        <v>171043.70695379455</v>
      </c>
      <c r="I165" s="100">
        <f>INDEX([4]!FC.TotalCosts_Service,MATCH($A165,[4]TotalCosts_Service!$B$9:$B$608,0),MATCH(I$144,[4]TotalCosts_Service!$CH$8:$CN$8,0))*million</f>
        <v>170658.00093871017</v>
      </c>
      <c r="J165" s="100">
        <f>INDEX([4]!FC.TotalCosts_Service,MATCH($A165,[4]TotalCosts_Service!$B$9:$B$608,0),MATCH(J$144,[4]TotalCosts_Service!$CH$8:$CN$8,0))*million</f>
        <v>172747.5621819337</v>
      </c>
      <c r="K165" s="100">
        <f>INDEX([4]!FC.TotalCosts_Service,MATCH($A165,[4]TotalCosts_Service!$B$9:$B$608,0),MATCH(K$144,[4]TotalCosts_Service!$CH$8:$CN$8,0))*million</f>
        <v>171522.56929011855</v>
      </c>
      <c r="L165" s="100">
        <f>INDEX([4]!FC.TotalCosts_Service,MATCH($A165,[4]TotalCosts_Service!$B$9:$B$608,0),MATCH(L$144,[4]TotalCosts_Service!$CH$8:$CN$8,0))*million</f>
        <v>321653.91924236796</v>
      </c>
      <c r="M165" s="12"/>
      <c r="N165" s="12"/>
      <c r="P165" s="6"/>
      <c r="Q165" s="6"/>
      <c r="R165" s="6"/>
      <c r="S165" s="6"/>
      <c r="T165" s="6"/>
      <c r="U165" s="6"/>
      <c r="V165" s="6"/>
      <c r="W165" s="6"/>
      <c r="X165" s="6"/>
      <c r="Y165" s="6"/>
      <c r="Z165" s="6"/>
    </row>
    <row r="166" spans="1:26" x14ac:dyDescent="0.45">
      <c r="A166" s="9" t="str">
        <v>WX335</v>
      </c>
      <c r="B166" t="s">
        <v>297</v>
      </c>
      <c r="C166" s="100" t="e">
        <f>INDEX([4]!FC.TotalCosts_Service,MATCH($A166,[4]TotalCosts_Service!$B$9:$B$608,0),MATCH(C$144,[4]TotalCosts_Service!$CH$8:$CN$8,0))*million</f>
        <v>#N/A</v>
      </c>
      <c r="D166" s="100" t="e">
        <f>INDEX([4]!FC.TotalCosts_Service,MATCH($A166,[4]TotalCosts_Service!$B$9:$B$608,0),MATCH(D$144,[4]TotalCosts_Service!$CH$8:$CN$8,0))*million</f>
        <v>#N/A</v>
      </c>
      <c r="E166" s="100" t="e">
        <f>INDEX([4]!FC.TotalCosts_Service,MATCH($A166,[4]TotalCosts_Service!$B$9:$B$608,0),MATCH(E$144,[4]TotalCosts_Service!$CH$8:$CN$8,0))*million</f>
        <v>#N/A</v>
      </c>
      <c r="F166" s="100">
        <f>INDEX([4]!FC.TotalCosts_Service,MATCH($A166,[4]TotalCosts_Service!$B$9:$B$608,0),MATCH(F$144,[4]TotalCosts_Service!$CH$8:$CN$8,0))*million</f>
        <v>50796.655364845072</v>
      </c>
      <c r="G166" s="100">
        <f>INDEX([4]!FC.TotalCosts_Service,MATCH($A166,[4]TotalCosts_Service!$B$9:$B$608,0),MATCH(G$144,[4]TotalCosts_Service!$CH$8:$CN$8,0))*million</f>
        <v>78756.410022268945</v>
      </c>
      <c r="H166" s="100">
        <f>INDEX([4]!FC.TotalCosts_Service,MATCH($A166,[4]TotalCosts_Service!$B$9:$B$608,0),MATCH(H$144,[4]TotalCosts_Service!$CH$8:$CN$8,0))*million</f>
        <v>85844.484036214664</v>
      </c>
      <c r="I166" s="100">
        <f>INDEX([4]!FC.TotalCosts_Service,MATCH($A166,[4]TotalCosts_Service!$B$9:$B$608,0),MATCH(I$144,[4]TotalCosts_Service!$CH$8:$CN$8,0))*million</f>
        <v>90828.471398915557</v>
      </c>
      <c r="J166" s="100">
        <f>INDEX([4]!FC.TotalCosts_Service,MATCH($A166,[4]TotalCosts_Service!$B$9:$B$608,0),MATCH(J$144,[4]TotalCosts_Service!$CH$8:$CN$8,0))*million</f>
        <v>93935.873042825304</v>
      </c>
      <c r="K166" s="100">
        <f>INDEX([4]!FC.TotalCosts_Service,MATCH($A166,[4]TotalCosts_Service!$B$9:$B$608,0),MATCH(K$144,[4]TotalCosts_Service!$CH$8:$CN$8,0))*million</f>
        <v>98303.976720078252</v>
      </c>
      <c r="L166" s="100">
        <f>INDEX([4]!FC.TotalCosts_Service,MATCH($A166,[4]TotalCosts_Service!$B$9:$B$608,0),MATCH(L$144,[4]TotalCosts_Service!$CH$8:$CN$8,0))*million</f>
        <v>1440423.1226858504</v>
      </c>
      <c r="M166" s="12"/>
      <c r="N166" s="12"/>
      <c r="P166" s="6"/>
      <c r="Q166" s="6"/>
      <c r="R166" s="6"/>
      <c r="S166" s="6"/>
      <c r="T166" s="6"/>
      <c r="U166" s="6"/>
      <c r="V166" s="6"/>
      <c r="W166" s="6"/>
      <c r="X166" s="6"/>
      <c r="Y166" s="6"/>
      <c r="Z166" s="6"/>
    </row>
    <row r="167" spans="1:26" x14ac:dyDescent="0.45">
      <c r="A167" s="9" t="str">
        <v>WN348</v>
      </c>
      <c r="B167" t="s">
        <v>298</v>
      </c>
      <c r="C167" s="100" t="e">
        <f>INDEX([4]!FC.TotalCosts_Service,MATCH($A167,[4]TotalCosts_Service!$B$9:$B$608,0),MATCH(C$144,[4]TotalCosts_Service!$CH$8:$CN$8,0))*million</f>
        <v>#N/A</v>
      </c>
      <c r="D167" s="100" t="e">
        <f>INDEX([4]!FC.TotalCosts_Service,MATCH($A167,[4]TotalCosts_Service!$B$9:$B$608,0),MATCH(D$144,[4]TotalCosts_Service!$CH$8:$CN$8,0))*million</f>
        <v>#N/A</v>
      </c>
      <c r="E167" s="100" t="e">
        <f>INDEX([4]!FC.TotalCosts_Service,MATCH($A167,[4]TotalCosts_Service!$B$9:$B$608,0),MATCH(E$144,[4]TotalCosts_Service!$CH$8:$CN$8,0))*million</f>
        <v>#N/A</v>
      </c>
      <c r="F167" s="100">
        <f>INDEX([4]!FC.TotalCosts_Service,MATCH($A167,[4]TotalCosts_Service!$B$9:$B$608,0),MATCH(F$144,[4]TotalCosts_Service!$CH$8:$CN$8,0))*million</f>
        <v>51079265.231080942</v>
      </c>
      <c r="G167" s="100">
        <f>INDEX([4]!FC.TotalCosts_Service,MATCH($A167,[4]TotalCosts_Service!$B$9:$B$608,0),MATCH(G$144,[4]TotalCosts_Service!$CH$8:$CN$8,0))*million</f>
        <v>40055644.525058426</v>
      </c>
      <c r="H167" s="100">
        <f>INDEX([4]!FC.TotalCosts_Service,MATCH($A167,[4]TotalCosts_Service!$B$9:$B$608,0),MATCH(H$144,[4]TotalCosts_Service!$CH$8:$CN$8,0))*million</f>
        <v>54336100.069678381</v>
      </c>
      <c r="I167" s="100">
        <f>INDEX([4]!FC.TotalCosts_Service,MATCH($A167,[4]TotalCosts_Service!$B$9:$B$608,0),MATCH(I$144,[4]TotalCosts_Service!$CH$8:$CN$8,0))*million</f>
        <v>80607187.017060518</v>
      </c>
      <c r="J167" s="100">
        <f>INDEX([4]!FC.TotalCosts_Service,MATCH($A167,[4]TotalCosts_Service!$B$9:$B$608,0),MATCH(J$144,[4]TotalCosts_Service!$CH$8:$CN$8,0))*million</f>
        <v>80742450.400080189</v>
      </c>
      <c r="K167" s="100">
        <f>INDEX([4]!FC.TotalCosts_Service,MATCH($A167,[4]TotalCosts_Service!$B$9:$B$608,0),MATCH(K$144,[4]TotalCosts_Service!$CH$8:$CN$8,0))*million</f>
        <v>63068305.029597804</v>
      </c>
      <c r="L167" s="100">
        <f>INDEX([4]!FC.TotalCosts_Service,MATCH($A167,[4]TotalCosts_Service!$B$9:$B$608,0),MATCH(L$144,[4]TotalCosts_Service!$CH$8:$CN$8,0))*million</f>
        <v>37448993.345893309</v>
      </c>
      <c r="M167" s="12"/>
      <c r="N167" s="12"/>
      <c r="P167" s="6"/>
      <c r="Q167" s="6"/>
      <c r="R167" s="6"/>
      <c r="S167" s="6"/>
      <c r="T167" s="6"/>
      <c r="U167" s="6"/>
      <c r="V167" s="6"/>
      <c r="W167" s="6"/>
      <c r="X167" s="6"/>
      <c r="Y167" s="6"/>
      <c r="Z167" s="6"/>
    </row>
    <row r="168" spans="1:26" x14ac:dyDescent="0.45">
      <c r="A168" s="9" t="str">
        <v>WN350</v>
      </c>
      <c r="B168" t="s">
        <v>300</v>
      </c>
      <c r="C168" s="100" t="e">
        <f>INDEX([4]!FC.TotalCosts_Service,MATCH($A168,[4]TotalCosts_Service!$B$9:$B$608,0),MATCH(C$144,[4]TotalCosts_Service!$CH$8:$CN$8,0))*million</f>
        <v>#N/A</v>
      </c>
      <c r="D168" s="100" t="e">
        <f>INDEX([4]!FC.TotalCosts_Service,MATCH($A168,[4]TotalCosts_Service!$B$9:$B$608,0),MATCH(D$144,[4]TotalCosts_Service!$CH$8:$CN$8,0))*million</f>
        <v>#N/A</v>
      </c>
      <c r="E168" s="100" t="e">
        <f>INDEX([4]!FC.TotalCosts_Service,MATCH($A168,[4]TotalCosts_Service!$B$9:$B$608,0),MATCH(E$144,[4]TotalCosts_Service!$CH$8:$CN$8,0))*million</f>
        <v>#N/A</v>
      </c>
      <c r="F168" s="100">
        <f>INDEX([4]!FC.TotalCosts_Service,MATCH($A168,[4]TotalCosts_Service!$B$9:$B$608,0),MATCH(F$144,[4]TotalCosts_Service!$CH$8:$CN$8,0))*million</f>
        <v>151451019.81441465</v>
      </c>
      <c r="G168" s="100">
        <f>INDEX([4]!FC.TotalCosts_Service,MATCH($A168,[4]TotalCosts_Service!$B$9:$B$608,0),MATCH(G$144,[4]TotalCosts_Service!$CH$8:$CN$8,0))*million</f>
        <v>89800855.522688389</v>
      </c>
      <c r="H168" s="100">
        <f>INDEX([4]!FC.TotalCosts_Service,MATCH($A168,[4]TotalCosts_Service!$B$9:$B$608,0),MATCH(H$144,[4]TotalCosts_Service!$CH$8:$CN$8,0))*million</f>
        <v>118203597.68120404</v>
      </c>
      <c r="I168" s="100">
        <f>INDEX([4]!FC.TotalCosts_Service,MATCH($A168,[4]TotalCosts_Service!$B$9:$B$608,0),MATCH(I$144,[4]TotalCosts_Service!$CH$8:$CN$8,0))*million</f>
        <v>123174888.28306788</v>
      </c>
      <c r="J168" s="100">
        <f>INDEX([4]!FC.TotalCosts_Service,MATCH($A168,[4]TotalCosts_Service!$B$9:$B$608,0),MATCH(J$144,[4]TotalCosts_Service!$CH$8:$CN$8,0))*million</f>
        <v>113192332.18931839</v>
      </c>
      <c r="K168" s="100">
        <f>INDEX([4]!FC.TotalCosts_Service,MATCH($A168,[4]TotalCosts_Service!$B$9:$B$608,0),MATCH(K$144,[4]TotalCosts_Service!$CH$8:$CN$8,0))*million</f>
        <v>112100400.82479325</v>
      </c>
      <c r="L168" s="100">
        <f>INDEX([4]!FC.TotalCosts_Service,MATCH($A168,[4]TotalCosts_Service!$B$9:$B$608,0),MATCH(L$144,[4]TotalCosts_Service!$CH$8:$CN$8,0))*million</f>
        <v>115874809.14553604</v>
      </c>
      <c r="M168" s="12"/>
      <c r="N168" s="12"/>
      <c r="P168" s="6"/>
      <c r="Q168" s="6"/>
      <c r="R168" s="6"/>
      <c r="S168" s="6"/>
      <c r="T168" s="6"/>
      <c r="U168" s="6"/>
      <c r="V168" s="6"/>
      <c r="W168" s="6"/>
      <c r="X168" s="6"/>
      <c r="Y168" s="6"/>
      <c r="Z168" s="6"/>
    </row>
    <row r="169" spans="1:26" x14ac:dyDescent="0.45">
      <c r="A169" s="9" t="str">
        <v>WX349</v>
      </c>
      <c r="B169" t="s">
        <v>301</v>
      </c>
      <c r="C169" s="100" t="e">
        <f>INDEX([4]!FC.TotalCosts_Service,MATCH($A169,[4]TotalCosts_Service!$B$9:$B$608,0),MATCH(C$144,[4]TotalCosts_Service!$CH$8:$CN$8,0))*million</f>
        <v>#N/A</v>
      </c>
      <c r="D169" s="100" t="e">
        <f>INDEX([4]!FC.TotalCosts_Service,MATCH($A169,[4]TotalCosts_Service!$B$9:$B$608,0),MATCH(D$144,[4]TotalCosts_Service!$CH$8:$CN$8,0))*million</f>
        <v>#N/A</v>
      </c>
      <c r="E169" s="100" t="e">
        <f>INDEX([4]!FC.TotalCosts_Service,MATCH($A169,[4]TotalCosts_Service!$B$9:$B$608,0),MATCH(E$144,[4]TotalCosts_Service!$CH$8:$CN$8,0))*million</f>
        <v>#N/A</v>
      </c>
      <c r="F169" s="100">
        <f>INDEX([4]!FC.TotalCosts_Service,MATCH($A169,[4]TotalCosts_Service!$B$9:$B$608,0),MATCH(F$144,[4]TotalCosts_Service!$CH$8:$CN$8,0))*million</f>
        <v>31035903.277018171</v>
      </c>
      <c r="G169" s="100">
        <f>INDEX([4]!FC.TotalCosts_Service,MATCH($A169,[4]TotalCosts_Service!$B$9:$B$608,0),MATCH(G$144,[4]TotalCosts_Service!$CH$8:$CN$8,0))*million</f>
        <v>25785443.075565103</v>
      </c>
      <c r="H169" s="100">
        <f>INDEX([4]!FC.TotalCosts_Service,MATCH($A169,[4]TotalCosts_Service!$B$9:$B$608,0),MATCH(H$144,[4]TotalCosts_Service!$CH$8:$CN$8,0))*million</f>
        <v>35563092.157698594</v>
      </c>
      <c r="I169" s="100">
        <f>INDEX([4]!FC.TotalCosts_Service,MATCH($A169,[4]TotalCosts_Service!$B$9:$B$608,0),MATCH(I$144,[4]TotalCosts_Service!$CH$8:$CN$8,0))*million</f>
        <v>52725811.775582321</v>
      </c>
      <c r="J169" s="100">
        <f>INDEX([4]!FC.TotalCosts_Service,MATCH($A169,[4]TotalCosts_Service!$B$9:$B$608,0),MATCH(J$144,[4]TotalCosts_Service!$CH$8:$CN$8,0))*million</f>
        <v>53525326.028283119</v>
      </c>
      <c r="K169" s="100">
        <f>INDEX([4]!FC.TotalCosts_Service,MATCH($A169,[4]TotalCosts_Service!$B$9:$B$608,0),MATCH(K$144,[4]TotalCosts_Service!$CH$8:$CN$8,0))*million</f>
        <v>40990716.824281715</v>
      </c>
      <c r="L169" s="100">
        <f>INDEX([4]!FC.TotalCosts_Service,MATCH($A169,[4]TotalCosts_Service!$B$9:$B$608,0),MATCH(L$144,[4]TotalCosts_Service!$CH$8:$CN$8,0))*million</f>
        <v>24489547.236529887</v>
      </c>
      <c r="M169" s="12"/>
      <c r="N169" s="12"/>
      <c r="P169" s="6"/>
      <c r="Q169" s="6"/>
      <c r="R169" s="6"/>
      <c r="S169" s="6"/>
      <c r="T169" s="6"/>
      <c r="U169" s="6"/>
      <c r="V169" s="6"/>
      <c r="W169" s="6"/>
      <c r="X169" s="6"/>
      <c r="Y169" s="6"/>
      <c r="Z169" s="6"/>
    </row>
    <row r="170" spans="1:26" x14ac:dyDescent="0.45">
      <c r="A170" s="9" t="str">
        <v>WX351</v>
      </c>
      <c r="B170" t="s">
        <v>302</v>
      </c>
      <c r="C170" s="100" t="e">
        <f>INDEX([4]!FC.TotalCosts_Service,MATCH($A170,[4]TotalCosts_Service!$B$9:$B$608,0),MATCH(C$144,[4]TotalCosts_Service!$CH$8:$CN$8,0))*million</f>
        <v>#N/A</v>
      </c>
      <c r="D170" s="100" t="e">
        <f>INDEX([4]!FC.TotalCosts_Service,MATCH($A170,[4]TotalCosts_Service!$B$9:$B$608,0),MATCH(D$144,[4]TotalCosts_Service!$CH$8:$CN$8,0))*million</f>
        <v>#N/A</v>
      </c>
      <c r="E170" s="100" t="e">
        <f>INDEX([4]!FC.TotalCosts_Service,MATCH($A170,[4]TotalCosts_Service!$B$9:$B$608,0),MATCH(E$144,[4]TotalCosts_Service!$CH$8:$CN$8,0))*million</f>
        <v>#N/A</v>
      </c>
      <c r="F170" s="100">
        <f>INDEX([4]!FC.TotalCosts_Service,MATCH($A170,[4]TotalCosts_Service!$B$9:$B$608,0),MATCH(F$144,[4]TotalCosts_Service!$CH$8:$CN$8,0))*million</f>
        <v>79407375.905386806</v>
      </c>
      <c r="G170" s="100">
        <f>INDEX([4]!FC.TotalCosts_Service,MATCH($A170,[4]TotalCosts_Service!$B$9:$B$608,0),MATCH(G$144,[4]TotalCosts_Service!$CH$8:$CN$8,0))*million</f>
        <v>52898502.38261696</v>
      </c>
      <c r="H170" s="100">
        <f>INDEX([4]!FC.TotalCosts_Service,MATCH($A170,[4]TotalCosts_Service!$B$9:$B$608,0),MATCH(H$144,[4]TotalCosts_Service!$CH$8:$CN$8,0))*million</f>
        <v>70811550.455634087</v>
      </c>
      <c r="I170" s="100">
        <f>INDEX([4]!FC.TotalCosts_Service,MATCH($A170,[4]TotalCosts_Service!$B$9:$B$608,0),MATCH(I$144,[4]TotalCosts_Service!$CH$8:$CN$8,0))*million</f>
        <v>74593737.872301906</v>
      </c>
      <c r="J170" s="100">
        <f>INDEX([4]!FC.TotalCosts_Service,MATCH($A170,[4]TotalCosts_Service!$B$9:$B$608,0),MATCH(J$144,[4]TotalCosts_Service!$CH$8:$CN$8,0))*million</f>
        <v>68671738.875046581</v>
      </c>
      <c r="K170" s="100">
        <f>INDEX([4]!FC.TotalCosts_Service,MATCH($A170,[4]TotalCosts_Service!$B$9:$B$608,0),MATCH(K$144,[4]TotalCosts_Service!$CH$8:$CN$8,0))*million</f>
        <v>68435494.545886293</v>
      </c>
      <c r="L170" s="100">
        <f>INDEX([4]!FC.TotalCosts_Service,MATCH($A170,[4]TotalCosts_Service!$B$9:$B$608,0),MATCH(L$144,[4]TotalCosts_Service!$CH$8:$CN$8,0))*million</f>
        <v>70677386.508151188</v>
      </c>
      <c r="M170" s="12"/>
      <c r="N170" s="12"/>
      <c r="P170" s="6"/>
      <c r="Q170" s="6"/>
      <c r="R170" s="6"/>
      <c r="S170" s="6"/>
      <c r="T170" s="6"/>
      <c r="U170" s="6"/>
      <c r="V170" s="6"/>
      <c r="W170" s="6"/>
      <c r="X170" s="6"/>
      <c r="Y170" s="6"/>
      <c r="Z170" s="6"/>
    </row>
    <row r="171" spans="1:26" x14ac:dyDescent="0.45">
      <c r="A171" s="9" t="str">
        <v>WX355</v>
      </c>
      <c r="B171" t="s">
        <v>303</v>
      </c>
      <c r="C171" s="100" t="e">
        <f>INDEX([4]!FC.TotalCosts_Service,MATCH($A171,[4]TotalCosts_Service!$B$9:$B$608,0),MATCH(C$144,[4]TotalCosts_Service!$CH$8:$CN$8,0))*million</f>
        <v>#N/A</v>
      </c>
      <c r="D171" s="100" t="e">
        <f>INDEX([4]!FC.TotalCosts_Service,MATCH($A171,[4]TotalCosts_Service!$B$9:$B$608,0),MATCH(D$144,[4]TotalCosts_Service!$CH$8:$CN$8,0))*million</f>
        <v>#N/A</v>
      </c>
      <c r="E171" s="100" t="e">
        <f>INDEX([4]!FC.TotalCosts_Service,MATCH($A171,[4]TotalCosts_Service!$B$9:$B$608,0),MATCH(E$144,[4]TotalCosts_Service!$CH$8:$CN$8,0))*million</f>
        <v>#N/A</v>
      </c>
      <c r="F171" s="100">
        <f>INDEX([4]!FC.TotalCosts_Service,MATCH($A171,[4]TotalCosts_Service!$B$9:$B$608,0),MATCH(F$144,[4]TotalCosts_Service!$CH$8:$CN$8,0))*million</f>
        <v>23153629.479076944</v>
      </c>
      <c r="G171" s="100">
        <f>INDEX([4]!FC.TotalCosts_Service,MATCH($A171,[4]TotalCosts_Service!$B$9:$B$608,0),MATCH(G$144,[4]TotalCosts_Service!$CH$8:$CN$8,0))*million</f>
        <v>15461616.53371791</v>
      </c>
      <c r="H171" s="100">
        <f>INDEX([4]!FC.TotalCosts_Service,MATCH($A171,[4]TotalCosts_Service!$B$9:$B$608,0),MATCH(H$144,[4]TotalCosts_Service!$CH$8:$CN$8,0))*million</f>
        <v>14950384.780907085</v>
      </c>
      <c r="I171" s="100">
        <f>INDEX([4]!FC.TotalCosts_Service,MATCH($A171,[4]TotalCosts_Service!$B$9:$B$608,0),MATCH(I$144,[4]TotalCosts_Service!$CH$8:$CN$8,0))*million</f>
        <v>10455367.233149709</v>
      </c>
      <c r="J171" s="100">
        <f>INDEX([4]!FC.TotalCosts_Service,MATCH($A171,[4]TotalCosts_Service!$B$9:$B$608,0),MATCH(J$144,[4]TotalCosts_Service!$CH$8:$CN$8,0))*million</f>
        <v>9882970.5573033188</v>
      </c>
      <c r="K171" s="100">
        <f>INDEX([4]!FC.TotalCosts_Service,MATCH($A171,[4]TotalCosts_Service!$B$9:$B$608,0),MATCH(K$144,[4]TotalCosts_Service!$CH$8:$CN$8,0))*million</f>
        <v>7911291.392588852</v>
      </c>
      <c r="L171" s="100">
        <f>INDEX([4]!FC.TotalCosts_Service,MATCH($A171,[4]TotalCosts_Service!$B$9:$B$608,0),MATCH(L$144,[4]TotalCosts_Service!$CH$8:$CN$8,0))*million</f>
        <v>0</v>
      </c>
      <c r="M171" s="12"/>
      <c r="N171" s="12"/>
      <c r="P171" s="6"/>
      <c r="Q171" s="6"/>
      <c r="R171" s="6"/>
      <c r="S171" s="6"/>
      <c r="T171" s="6"/>
      <c r="U171" s="6"/>
      <c r="V171" s="6"/>
      <c r="W171" s="6"/>
      <c r="X171" s="6"/>
      <c r="Y171" s="6"/>
      <c r="Z171" s="6"/>
    </row>
    <row r="172" spans="1:26" x14ac:dyDescent="0.45">
      <c r="A172" s="9" t="str">
        <v>WN354</v>
      </c>
      <c r="B172" t="s">
        <v>304</v>
      </c>
      <c r="C172" s="100" t="e">
        <f>INDEX([4]!FC.TotalCosts_Service,MATCH($A172,[4]TotalCosts_Service!$B$9:$B$608,0),MATCH(C$144,[4]TotalCosts_Service!$CH$8:$CN$8,0))*million</f>
        <v>#N/A</v>
      </c>
      <c r="D172" s="100" t="e">
        <f>INDEX([4]!FC.TotalCosts_Service,MATCH($A172,[4]TotalCosts_Service!$B$9:$B$608,0),MATCH(D$144,[4]TotalCosts_Service!$CH$8:$CN$8,0))*million</f>
        <v>#N/A</v>
      </c>
      <c r="E172" s="100" t="e">
        <f>INDEX([4]!FC.TotalCosts_Service,MATCH($A172,[4]TotalCosts_Service!$B$9:$B$608,0),MATCH(E$144,[4]TotalCosts_Service!$CH$8:$CN$8,0))*million</f>
        <v>#N/A</v>
      </c>
      <c r="F172" s="100">
        <f>INDEX([4]!FC.TotalCosts_Service,MATCH($A172,[4]TotalCosts_Service!$B$9:$B$608,0),MATCH(F$144,[4]TotalCosts_Service!$CH$8:$CN$8,0))*million</f>
        <v>39706063.904815093</v>
      </c>
      <c r="G172" s="100">
        <f>INDEX([4]!FC.TotalCosts_Service,MATCH($A172,[4]TotalCosts_Service!$B$9:$B$608,0),MATCH(G$144,[4]TotalCosts_Service!$CH$8:$CN$8,0))*million</f>
        <v>24798196.52477733</v>
      </c>
      <c r="H172" s="100">
        <f>INDEX([4]!FC.TotalCosts_Service,MATCH($A172,[4]TotalCosts_Service!$B$9:$B$608,0),MATCH(H$144,[4]TotalCosts_Service!$CH$8:$CN$8,0))*million</f>
        <v>23976828.558713961</v>
      </c>
      <c r="I172" s="100">
        <f>INDEX([4]!FC.TotalCosts_Service,MATCH($A172,[4]TotalCosts_Service!$B$9:$B$608,0),MATCH(I$144,[4]TotalCosts_Service!$CH$8:$CN$8,0))*million</f>
        <v>16722872.385986481</v>
      </c>
      <c r="J172" s="100">
        <f>INDEX([4]!FC.TotalCosts_Service,MATCH($A172,[4]TotalCosts_Service!$B$9:$B$608,0),MATCH(J$144,[4]TotalCosts_Service!$CH$8:$CN$8,0))*million</f>
        <v>15795430.350566061</v>
      </c>
      <c r="K172" s="100">
        <f>INDEX([4]!FC.TotalCosts_Service,MATCH($A172,[4]TotalCosts_Service!$B$9:$B$608,0),MATCH(K$144,[4]TotalCosts_Service!$CH$8:$CN$8,0))*million</f>
        <v>12652932.086185452</v>
      </c>
      <c r="L172" s="100">
        <f>INDEX([4]!FC.TotalCosts_Service,MATCH($A172,[4]TotalCosts_Service!$B$9:$B$608,0),MATCH(L$144,[4]TotalCosts_Service!$CH$8:$CN$8,0))*million</f>
        <v>0</v>
      </c>
      <c r="M172" s="12"/>
      <c r="N172" s="12"/>
      <c r="P172" s="6"/>
      <c r="Q172" s="6"/>
      <c r="R172" s="6"/>
      <c r="S172" s="6"/>
      <c r="T172" s="6"/>
      <c r="U172" s="6"/>
      <c r="V172" s="6"/>
      <c r="W172" s="6"/>
      <c r="X172" s="6"/>
      <c r="Y172" s="6"/>
      <c r="Z172" s="6"/>
    </row>
    <row r="173" spans="1:26" x14ac:dyDescent="0.45">
      <c r="A173" s="9" t="str">
        <v>WN158</v>
      </c>
      <c r="B173" t="s">
        <v>305</v>
      </c>
      <c r="C173" s="100" t="e">
        <f>INDEX([4]!FC.TotalCosts_Service,MATCH($A173,[4]TotalCosts_Service!$B$9:$B$608,0),MATCH(C$144,[4]TotalCosts_Service!$CH$8:$CN$8,0))*million</f>
        <v>#N/A</v>
      </c>
      <c r="D173" s="100" t="e">
        <f>INDEX([4]!FC.TotalCosts_Service,MATCH($A173,[4]TotalCosts_Service!$B$9:$B$608,0),MATCH(D$144,[4]TotalCosts_Service!$CH$8:$CN$8,0))*million</f>
        <v>#N/A</v>
      </c>
      <c r="E173" s="100" t="e">
        <f>INDEX([4]!FC.TotalCosts_Service,MATCH($A173,[4]TotalCosts_Service!$B$9:$B$608,0),MATCH(E$144,[4]TotalCosts_Service!$CH$8:$CN$8,0))*million</f>
        <v>#N/A</v>
      </c>
      <c r="F173" s="100">
        <f>INDEX([4]!FC.TotalCosts_Service,MATCH($A173,[4]TotalCosts_Service!$B$9:$B$608,0),MATCH(F$144,[4]TotalCosts_Service!$CH$8:$CN$8,0))*million</f>
        <v>1255226.5465084636</v>
      </c>
      <c r="G173" s="100">
        <f>INDEX([4]!FC.TotalCosts_Service,MATCH($A173,[4]TotalCosts_Service!$B$9:$B$608,0),MATCH(G$144,[4]TotalCosts_Service!$CH$8:$CN$8,0))*million</f>
        <v>991649.565477508</v>
      </c>
      <c r="H173" s="100">
        <f>INDEX([4]!FC.TotalCosts_Service,MATCH($A173,[4]TotalCosts_Service!$B$9:$B$608,0),MATCH(H$144,[4]TotalCosts_Service!$CH$8:$CN$8,0))*million</f>
        <v>878172.02230032627</v>
      </c>
      <c r="I173" s="100">
        <f>INDEX([4]!FC.TotalCosts_Service,MATCH($A173,[4]TotalCosts_Service!$B$9:$B$608,0),MATCH(I$144,[4]TotalCosts_Service!$CH$8:$CN$8,0))*million</f>
        <v>793286.14538714744</v>
      </c>
      <c r="J173" s="100">
        <f>INDEX([4]!FC.TotalCosts_Service,MATCH($A173,[4]TotalCosts_Service!$B$9:$B$608,0),MATCH(J$144,[4]TotalCosts_Service!$CH$8:$CN$8,0))*million</f>
        <v>622370.04954869801</v>
      </c>
      <c r="K173" s="100">
        <f>INDEX([4]!FC.TotalCosts_Service,MATCH($A173,[4]TotalCosts_Service!$B$9:$B$608,0),MATCH(K$144,[4]TotalCosts_Service!$CH$8:$CN$8,0))*million</f>
        <v>478751.72861855896</v>
      </c>
      <c r="L173" s="100">
        <f>INDEX([4]!FC.TotalCosts_Service,MATCH($A173,[4]TotalCosts_Service!$B$9:$B$608,0),MATCH(L$144,[4]TotalCosts_Service!$CH$8:$CN$8,0))*million</f>
        <v>369348.6400367996</v>
      </c>
      <c r="M173" s="12"/>
      <c r="N173" s="12"/>
      <c r="P173" s="6"/>
      <c r="Q173" s="6"/>
      <c r="R173" s="6"/>
      <c r="S173" s="6"/>
      <c r="T173" s="6"/>
      <c r="U173" s="6"/>
      <c r="V173" s="6"/>
      <c r="W173" s="6"/>
      <c r="X173" s="6"/>
      <c r="Y173" s="6"/>
      <c r="Z173" s="6"/>
    </row>
    <row r="174" spans="1:26" x14ac:dyDescent="0.45">
      <c r="A174" s="9" t="str">
        <v>WX135</v>
      </c>
      <c r="B174" t="s">
        <v>306</v>
      </c>
      <c r="C174" s="100" t="e">
        <f>INDEX([4]!FC.TotalCosts_Service,MATCH($A174,[4]TotalCosts_Service!$B$9:$B$608,0),MATCH(C$144,[4]TotalCosts_Service!$CH$8:$CN$8,0))*million</f>
        <v>#N/A</v>
      </c>
      <c r="D174" s="100" t="e">
        <f>INDEX([4]!FC.TotalCosts_Service,MATCH($A174,[4]TotalCosts_Service!$B$9:$B$608,0),MATCH(D$144,[4]TotalCosts_Service!$CH$8:$CN$8,0))*million</f>
        <v>#N/A</v>
      </c>
      <c r="E174" s="100" t="e">
        <f>INDEX([4]!FC.TotalCosts_Service,MATCH($A174,[4]TotalCosts_Service!$B$9:$B$608,0),MATCH(E$144,[4]TotalCosts_Service!$CH$8:$CN$8,0))*million</f>
        <v>#N/A</v>
      </c>
      <c r="F174" s="100">
        <f>INDEX([4]!FC.TotalCosts_Service,MATCH($A174,[4]TotalCosts_Service!$B$9:$B$608,0),MATCH(F$144,[4]TotalCosts_Service!$CH$8:$CN$8,0))*million</f>
        <v>171036.94102571771</v>
      </c>
      <c r="G174" s="100">
        <f>INDEX([4]!FC.TotalCosts_Service,MATCH($A174,[4]TotalCosts_Service!$B$9:$B$608,0),MATCH(G$144,[4]TotalCosts_Service!$CH$8:$CN$8,0))*million</f>
        <v>123155.80585317717</v>
      </c>
      <c r="H174" s="100">
        <f>INDEX([4]!FC.TotalCosts_Service,MATCH($A174,[4]TotalCosts_Service!$B$9:$B$608,0),MATCH(H$144,[4]TotalCosts_Service!$CH$8:$CN$8,0))*million</f>
        <v>109139.22737622468</v>
      </c>
      <c r="I174" s="100">
        <f>INDEX([4]!FC.TotalCosts_Service,MATCH($A174,[4]TotalCosts_Service!$B$9:$B$608,0),MATCH(I$144,[4]TotalCosts_Service!$CH$8:$CN$8,0))*million</f>
        <v>96476.073379054127</v>
      </c>
      <c r="J174" s="100">
        <f>INDEX([4]!FC.TotalCosts_Service,MATCH($A174,[4]TotalCosts_Service!$B$9:$B$608,0),MATCH(J$144,[4]TotalCosts_Service!$CH$8:$CN$8,0))*million</f>
        <v>75320.162997179999</v>
      </c>
      <c r="K174" s="100">
        <f>INDEX([4]!FC.TotalCosts_Service,MATCH($A174,[4]TotalCosts_Service!$B$9:$B$608,0),MATCH(K$144,[4]TotalCosts_Service!$CH$8:$CN$8,0))*million</f>
        <v>57544.61139030206</v>
      </c>
      <c r="L174" s="100">
        <f>INDEX([4]!FC.TotalCosts_Service,MATCH($A174,[4]TotalCosts_Service!$B$9:$B$608,0),MATCH(L$144,[4]TotalCosts_Service!$CH$8:$CN$8,0))*million</f>
        <v>43813.006579943496</v>
      </c>
      <c r="M174" s="12"/>
      <c r="N174" s="12"/>
      <c r="P174" s="6"/>
      <c r="Q174" s="6"/>
      <c r="R174" s="6"/>
      <c r="S174" s="6"/>
      <c r="T174" s="6"/>
      <c r="U174" s="6"/>
      <c r="V174" s="6"/>
      <c r="W174" s="6"/>
      <c r="X174" s="6"/>
      <c r="Y174" s="6"/>
      <c r="Z174" s="6"/>
    </row>
    <row r="175" spans="1:26" x14ac:dyDescent="0.45">
      <c r="A175" s="9" t="str">
        <v>WN138</v>
      </c>
      <c r="B175" t="s">
        <v>307</v>
      </c>
      <c r="C175" s="100" t="e">
        <f>INDEX([4]!FC.TotalCosts_Service,MATCH($A175,[4]TotalCosts_Service!$B$9:$B$608,0),MATCH(C$144,[4]TotalCosts_Service!$CH$8:$CN$8,0))*million</f>
        <v>#N/A</v>
      </c>
      <c r="D175" s="100" t="e">
        <f>INDEX([4]!FC.TotalCosts_Service,MATCH($A175,[4]TotalCosts_Service!$B$9:$B$608,0),MATCH(D$144,[4]TotalCosts_Service!$CH$8:$CN$8,0))*million</f>
        <v>#N/A</v>
      </c>
      <c r="E175" s="100" t="e">
        <f>INDEX([4]!FC.TotalCosts_Service,MATCH($A175,[4]TotalCosts_Service!$B$9:$B$608,0),MATCH(E$144,[4]TotalCosts_Service!$CH$8:$CN$8,0))*million</f>
        <v>#N/A</v>
      </c>
      <c r="F175" s="100">
        <f>INDEX([4]!FC.TotalCosts_Service,MATCH($A175,[4]TotalCosts_Service!$B$9:$B$608,0),MATCH(F$144,[4]TotalCosts_Service!$CH$8:$CN$8,0))*million</f>
        <v>629064.30393024569</v>
      </c>
      <c r="G175" s="100">
        <f>INDEX([4]!FC.TotalCosts_Service,MATCH($A175,[4]TotalCosts_Service!$B$9:$B$608,0),MATCH(G$144,[4]TotalCosts_Service!$CH$8:$CN$8,0))*million</f>
        <v>434138.78653378063</v>
      </c>
      <c r="H175" s="100">
        <f>INDEX([4]!FC.TotalCosts_Service,MATCH($A175,[4]TotalCosts_Service!$B$9:$B$608,0),MATCH(H$144,[4]TotalCosts_Service!$CH$8:$CN$8,0))*million</f>
        <v>322347.95202382462</v>
      </c>
      <c r="I175" s="100">
        <f>INDEX([4]!FC.TotalCosts_Service,MATCH($A175,[4]TotalCosts_Service!$B$9:$B$608,0),MATCH(I$144,[4]TotalCosts_Service!$CH$8:$CN$8,0))*million</f>
        <v>222589.01787982369</v>
      </c>
      <c r="J175" s="100">
        <f>INDEX([4]!FC.TotalCosts_Service,MATCH($A175,[4]TotalCosts_Service!$B$9:$B$608,0),MATCH(J$144,[4]TotalCosts_Service!$CH$8:$CN$8,0))*million</f>
        <v>144190.33816194409</v>
      </c>
      <c r="K175" s="100">
        <f>INDEX([4]!FC.TotalCosts_Service,MATCH($A175,[4]TotalCosts_Service!$B$9:$B$608,0),MATCH(K$144,[4]TotalCosts_Service!$CH$8:$CN$8,0))*million</f>
        <v>87246.031073758932</v>
      </c>
      <c r="L175" s="100">
        <f>INDEX([4]!FC.TotalCosts_Service,MATCH($A175,[4]TotalCosts_Service!$B$9:$B$608,0),MATCH(L$144,[4]TotalCosts_Service!$CH$8:$CN$8,0))*million</f>
        <v>65629.129936244935</v>
      </c>
      <c r="M175" s="12"/>
      <c r="N175" s="12"/>
      <c r="P175" s="6"/>
      <c r="Q175" s="6"/>
      <c r="R175" s="6"/>
      <c r="S175" s="6"/>
      <c r="T175" s="6"/>
      <c r="U175" s="6"/>
      <c r="V175" s="6"/>
      <c r="W175" s="6"/>
      <c r="X175" s="6"/>
      <c r="Y175" s="6"/>
      <c r="Z175" s="6"/>
    </row>
    <row r="176" spans="1:26" x14ac:dyDescent="0.45">
      <c r="A176" s="9" t="str">
        <v>WX134</v>
      </c>
      <c r="B176" t="s">
        <v>308</v>
      </c>
      <c r="C176" s="100" t="e">
        <f>INDEX([4]!FC.TotalCosts_Service,MATCH($A176,[4]TotalCosts_Service!$B$9:$B$608,0),MATCH(C$144,[4]TotalCosts_Service!$CH$8:$CN$8,0))*million</f>
        <v>#N/A</v>
      </c>
      <c r="D176" s="100" t="e">
        <f>INDEX([4]!FC.TotalCosts_Service,MATCH($A176,[4]TotalCosts_Service!$B$9:$B$608,0),MATCH(D$144,[4]TotalCosts_Service!$CH$8:$CN$8,0))*million</f>
        <v>#N/A</v>
      </c>
      <c r="E176" s="100" t="e">
        <f>INDEX([4]!FC.TotalCosts_Service,MATCH($A176,[4]TotalCosts_Service!$B$9:$B$608,0),MATCH(E$144,[4]TotalCosts_Service!$CH$8:$CN$8,0))*million</f>
        <v>#N/A</v>
      </c>
      <c r="F176" s="100">
        <f>INDEX([4]!FC.TotalCosts_Service,MATCH($A176,[4]TotalCosts_Service!$B$9:$B$608,0),MATCH(F$144,[4]TotalCosts_Service!$CH$8:$CN$8,0))*million</f>
        <v>2035.5065616112136</v>
      </c>
      <c r="G176" s="100">
        <f>INDEX([4]!FC.TotalCosts_Service,MATCH($A176,[4]TotalCosts_Service!$B$9:$B$608,0),MATCH(G$144,[4]TotalCosts_Service!$CH$8:$CN$8,0))*million</f>
        <v>1310.5710036574151</v>
      </c>
      <c r="H176" s="100">
        <f>INDEX([4]!FC.TotalCosts_Service,MATCH($A176,[4]TotalCosts_Service!$B$9:$B$608,0),MATCH(H$144,[4]TotalCosts_Service!$CH$8:$CN$8,0))*million</f>
        <v>1002.6365458705624</v>
      </c>
      <c r="I176" s="100">
        <f>INDEX([4]!FC.TotalCosts_Service,MATCH($A176,[4]TotalCosts_Service!$B$9:$B$608,0),MATCH(I$144,[4]TotalCosts_Service!$CH$8:$CN$8,0))*million</f>
        <v>760.38048476429788</v>
      </c>
      <c r="J176" s="100">
        <f>INDEX([4]!FC.TotalCosts_Service,MATCH($A176,[4]TotalCosts_Service!$B$9:$B$608,0),MATCH(J$144,[4]TotalCosts_Service!$CH$8:$CN$8,0))*million</f>
        <v>524.96365285332638</v>
      </c>
      <c r="K176" s="100">
        <f>INDEX([4]!FC.TotalCosts_Service,MATCH($A176,[4]TotalCosts_Service!$B$9:$B$608,0),MATCH(K$144,[4]TotalCosts_Service!$CH$8:$CN$8,0))*million</f>
        <v>342.16406152175119</v>
      </c>
      <c r="L176" s="100">
        <f>INDEX([4]!FC.TotalCosts_Service,MATCH($A176,[4]TotalCosts_Service!$B$9:$B$608,0),MATCH(L$144,[4]TotalCosts_Service!$CH$8:$CN$8,0))*million</f>
        <v>468.27096475649302</v>
      </c>
      <c r="M176" s="12"/>
      <c r="N176" s="12"/>
      <c r="P176" s="6"/>
      <c r="Q176" s="6"/>
      <c r="R176" s="6"/>
      <c r="S176" s="6"/>
      <c r="T176" s="6"/>
      <c r="U176" s="6"/>
      <c r="V176" s="6"/>
      <c r="W176" s="6"/>
      <c r="X176" s="6"/>
      <c r="Y176" s="6"/>
      <c r="Z176" s="6"/>
    </row>
    <row r="177" spans="1:26" x14ac:dyDescent="0.45">
      <c r="A177" s="9" t="str">
        <v>SL121</v>
      </c>
      <c r="B177" t="s">
        <v>309</v>
      </c>
      <c r="C177" s="100" t="e">
        <f>INDEX([4]!FC.TotalCosts_Service,MATCH($A177,[4]TotalCosts_Service!$B$9:$B$608,0),MATCH(C$144,[4]TotalCosts_Service!$CH$8:$CN$8,0))*million</f>
        <v>#N/A</v>
      </c>
      <c r="D177" s="100" t="e">
        <f>INDEX([4]!FC.TotalCosts_Service,MATCH($A177,[4]TotalCosts_Service!$B$9:$B$608,0),MATCH(D$144,[4]TotalCosts_Service!$CH$8:$CN$8,0))*million</f>
        <v>#N/A</v>
      </c>
      <c r="E177" s="100" t="e">
        <f>INDEX([4]!FC.TotalCosts_Service,MATCH($A177,[4]TotalCosts_Service!$B$9:$B$608,0),MATCH(E$144,[4]TotalCosts_Service!$CH$8:$CN$8,0))*million</f>
        <v>#N/A</v>
      </c>
      <c r="F177" s="100">
        <f>INDEX([4]!FC.TotalCosts_Service,MATCH($A177,[4]TotalCosts_Service!$B$9:$B$608,0),MATCH(F$144,[4]TotalCosts_Service!$CH$8:$CN$8,0))*million</f>
        <v>30546003.26568846</v>
      </c>
      <c r="G177" s="100">
        <f>INDEX([4]!FC.TotalCosts_Service,MATCH($A177,[4]TotalCosts_Service!$B$9:$B$608,0),MATCH(G$144,[4]TotalCosts_Service!$CH$8:$CN$8,0))*million</f>
        <v>21802117.69066266</v>
      </c>
      <c r="H177" s="100">
        <f>INDEX([4]!FC.TotalCosts_Service,MATCH($A177,[4]TotalCosts_Service!$B$9:$B$608,0),MATCH(H$144,[4]TotalCosts_Service!$CH$8:$CN$8,0))*million</f>
        <v>17452984.936597444</v>
      </c>
      <c r="I177" s="100">
        <f>INDEX([4]!FC.TotalCosts_Service,MATCH($A177,[4]TotalCosts_Service!$B$9:$B$608,0),MATCH(I$144,[4]TotalCosts_Service!$CH$8:$CN$8,0))*million</f>
        <v>11788669.681392124</v>
      </c>
      <c r="J177" s="100">
        <f>INDEX([4]!FC.TotalCosts_Service,MATCH($A177,[4]TotalCosts_Service!$B$9:$B$608,0),MATCH(J$144,[4]TotalCosts_Service!$CH$8:$CN$8,0))*million</f>
        <v>8322351.8982665753</v>
      </c>
      <c r="K177" s="100">
        <f>INDEX([4]!FC.TotalCosts_Service,MATCH($A177,[4]TotalCosts_Service!$B$9:$B$608,0),MATCH(K$144,[4]TotalCosts_Service!$CH$8:$CN$8,0))*million</f>
        <v>4932832.6534712566</v>
      </c>
      <c r="L177" s="100">
        <f>INDEX([4]!FC.TotalCosts_Service,MATCH($A177,[4]TotalCosts_Service!$B$9:$B$608,0),MATCH(L$144,[4]TotalCosts_Service!$CH$8:$CN$8,0))*million</f>
        <v>1365740.146352839</v>
      </c>
      <c r="M177" s="12"/>
      <c r="N177" s="12"/>
      <c r="P177" s="6"/>
      <c r="Q177" s="6"/>
      <c r="R177" s="6"/>
      <c r="S177" s="6"/>
      <c r="T177" s="6"/>
      <c r="U177" s="6"/>
      <c r="V177" s="6"/>
      <c r="W177" s="6"/>
      <c r="X177" s="6"/>
      <c r="Y177" s="6"/>
      <c r="Z177" s="6"/>
    </row>
    <row r="178" spans="1:26" x14ac:dyDescent="0.45">
      <c r="A178" s="9" t="str">
        <v>SL122</v>
      </c>
      <c r="B178" t="s">
        <v>310</v>
      </c>
      <c r="C178" s="100" t="e">
        <f>INDEX([4]!FC.TotalCosts_Service,MATCH($A178,[4]TotalCosts_Service!$B$9:$B$608,0),MATCH(C$144,[4]TotalCosts_Service!$CH$8:$CN$8,0))*million</f>
        <v>#N/A</v>
      </c>
      <c r="D178" s="100" t="e">
        <f>INDEX([4]!FC.TotalCosts_Service,MATCH($A178,[4]TotalCosts_Service!$B$9:$B$608,0),MATCH(D$144,[4]TotalCosts_Service!$CH$8:$CN$8,0))*million</f>
        <v>#N/A</v>
      </c>
      <c r="E178" s="100" t="e">
        <f>INDEX([4]!FC.TotalCosts_Service,MATCH($A178,[4]TotalCosts_Service!$B$9:$B$608,0),MATCH(E$144,[4]TotalCosts_Service!$CH$8:$CN$8,0))*million</f>
        <v>#N/A</v>
      </c>
      <c r="F178" s="100">
        <f>INDEX([4]!FC.TotalCosts_Service,MATCH($A178,[4]TotalCosts_Service!$B$9:$B$608,0),MATCH(F$144,[4]TotalCosts_Service!$CH$8:$CN$8,0))*million</f>
        <v>317397904.93518466</v>
      </c>
      <c r="G178" s="100">
        <f>INDEX([4]!FC.TotalCosts_Service,MATCH($A178,[4]TotalCosts_Service!$B$9:$B$608,0),MATCH(G$144,[4]TotalCosts_Service!$CH$8:$CN$8,0))*million</f>
        <v>244110946.47924551</v>
      </c>
      <c r="H178" s="100">
        <f>INDEX([4]!FC.TotalCosts_Service,MATCH($A178,[4]TotalCosts_Service!$B$9:$B$608,0),MATCH(H$144,[4]TotalCosts_Service!$CH$8:$CN$8,0))*million</f>
        <v>201064562.49378148</v>
      </c>
      <c r="I178" s="100">
        <f>INDEX([4]!FC.TotalCosts_Service,MATCH($A178,[4]TotalCosts_Service!$B$9:$B$608,0),MATCH(I$144,[4]TotalCosts_Service!$CH$8:$CN$8,0))*million</f>
        <v>136063227.66807789</v>
      </c>
      <c r="J178" s="100">
        <f>INDEX([4]!FC.TotalCosts_Service,MATCH($A178,[4]TotalCosts_Service!$B$9:$B$608,0),MATCH(J$144,[4]TotalCosts_Service!$CH$8:$CN$8,0))*million</f>
        <v>96417310.13556312</v>
      </c>
      <c r="K178" s="100">
        <f>INDEX([4]!FC.TotalCosts_Service,MATCH($A178,[4]TotalCosts_Service!$B$9:$B$608,0),MATCH(K$144,[4]TotalCosts_Service!$CH$8:$CN$8,0))*million</f>
        <v>57349375.216460027</v>
      </c>
      <c r="L178" s="100">
        <f>INDEX([4]!FC.TotalCosts_Service,MATCH($A178,[4]TotalCosts_Service!$B$9:$B$608,0),MATCH(L$144,[4]TotalCosts_Service!$CH$8:$CN$8,0))*million</f>
        <v>15911362.493166126</v>
      </c>
      <c r="M178" s="12"/>
      <c r="N178" s="12"/>
      <c r="P178" s="6"/>
      <c r="Q178" s="6"/>
      <c r="R178" s="6"/>
      <c r="S178" s="6"/>
      <c r="T178" s="6"/>
      <c r="U178" s="6"/>
      <c r="V178" s="6"/>
      <c r="W178" s="6"/>
      <c r="X178" s="6"/>
      <c r="Y178" s="6"/>
      <c r="Z178" s="6"/>
    </row>
    <row r="179" spans="1:26" x14ac:dyDescent="0.45">
      <c r="A179" s="9" t="str">
        <v>SL150</v>
      </c>
      <c r="B179" t="s">
        <v>311</v>
      </c>
      <c r="C179" s="100" t="e">
        <f>INDEX([4]!FC.TotalCosts_Service,MATCH($A179,[4]TotalCosts_Service!$B$9:$B$608,0),MATCH(C$144,[4]TotalCosts_Service!$CH$8:$CN$8,0))*million</f>
        <v>#N/A</v>
      </c>
      <c r="D179" s="100" t="e">
        <f>INDEX([4]!FC.TotalCosts_Service,MATCH($A179,[4]TotalCosts_Service!$B$9:$B$608,0),MATCH(D$144,[4]TotalCosts_Service!$CH$8:$CN$8,0))*million</f>
        <v>#N/A</v>
      </c>
      <c r="E179" s="100" t="e">
        <f>INDEX([4]!FC.TotalCosts_Service,MATCH($A179,[4]TotalCosts_Service!$B$9:$B$608,0),MATCH(E$144,[4]TotalCosts_Service!$CH$8:$CN$8,0))*million</f>
        <v>#N/A</v>
      </c>
      <c r="F179" s="100">
        <f>INDEX([4]!FC.TotalCosts_Service,MATCH($A179,[4]TotalCosts_Service!$B$9:$B$608,0),MATCH(F$144,[4]TotalCosts_Service!$CH$8:$CN$8,0))*million</f>
        <v>50575933.10083098</v>
      </c>
      <c r="G179" s="100">
        <f>INDEX([4]!FC.TotalCosts_Service,MATCH($A179,[4]TotalCosts_Service!$B$9:$B$608,0),MATCH(G$144,[4]TotalCosts_Service!$CH$8:$CN$8,0))*million</f>
        <v>35891489.825268097</v>
      </c>
      <c r="H179" s="100">
        <f>INDEX([4]!FC.TotalCosts_Service,MATCH($A179,[4]TotalCosts_Service!$B$9:$B$608,0),MATCH(H$144,[4]TotalCosts_Service!$CH$8:$CN$8,0))*million</f>
        <v>29115945.659016728</v>
      </c>
      <c r="I179" s="100">
        <f>INDEX([4]!FC.TotalCosts_Service,MATCH($A179,[4]TotalCosts_Service!$B$9:$B$608,0),MATCH(I$144,[4]TotalCosts_Service!$CH$8:$CN$8,0))*million</f>
        <v>19681466.002040017</v>
      </c>
      <c r="J179" s="100">
        <f>INDEX([4]!FC.TotalCosts_Service,MATCH($A179,[4]TotalCosts_Service!$B$9:$B$608,0),MATCH(J$144,[4]TotalCosts_Service!$CH$8:$CN$8,0))*million</f>
        <v>14092266.992631774</v>
      </c>
      <c r="K179" s="100">
        <f>INDEX([4]!FC.TotalCosts_Service,MATCH($A179,[4]TotalCosts_Service!$B$9:$B$608,0),MATCH(K$144,[4]TotalCosts_Service!$CH$8:$CN$8,0))*million</f>
        <v>8371052.8766698074</v>
      </c>
      <c r="L179" s="100">
        <f>INDEX([4]!FC.TotalCosts_Service,MATCH($A179,[4]TotalCosts_Service!$B$9:$B$608,0),MATCH(L$144,[4]TotalCosts_Service!$CH$8:$CN$8,0))*million</f>
        <v>2337411.3985130503</v>
      </c>
      <c r="M179" s="12"/>
      <c r="N179" s="12"/>
      <c r="P179" s="6"/>
      <c r="Q179" s="6"/>
      <c r="R179" s="6"/>
      <c r="S179" s="6"/>
      <c r="T179" s="6"/>
      <c r="U179" s="6"/>
      <c r="V179" s="6"/>
      <c r="W179" s="6"/>
      <c r="X179" s="6"/>
      <c r="Y179" s="6"/>
      <c r="Z179" s="6"/>
    </row>
    <row r="180" spans="1:26" x14ac:dyDescent="0.45">
      <c r="A180" s="9" t="str">
        <v>SL151</v>
      </c>
      <c r="B180" t="s">
        <v>312</v>
      </c>
      <c r="C180" s="100" t="e">
        <f>INDEX([4]!FC.TotalCosts_Service,MATCH($A180,[4]TotalCosts_Service!$B$9:$B$608,0),MATCH(C$144,[4]TotalCosts_Service!$CH$8:$CN$8,0))*million</f>
        <v>#N/A</v>
      </c>
      <c r="D180" s="100" t="e">
        <f>INDEX([4]!FC.TotalCosts_Service,MATCH($A180,[4]TotalCosts_Service!$B$9:$B$608,0),MATCH(D$144,[4]TotalCosts_Service!$CH$8:$CN$8,0))*million</f>
        <v>#N/A</v>
      </c>
      <c r="E180" s="100" t="e">
        <f>INDEX([4]!FC.TotalCosts_Service,MATCH($A180,[4]TotalCosts_Service!$B$9:$B$608,0),MATCH(E$144,[4]TotalCosts_Service!$CH$8:$CN$8,0))*million</f>
        <v>#N/A</v>
      </c>
      <c r="F180" s="100">
        <f>INDEX([4]!FC.TotalCosts_Service,MATCH($A180,[4]TotalCosts_Service!$B$9:$B$608,0),MATCH(F$144,[4]TotalCosts_Service!$CH$8:$CN$8,0))*million</f>
        <v>90238752.210666955</v>
      </c>
      <c r="G180" s="100">
        <f>INDEX([4]!FC.TotalCosts_Service,MATCH($A180,[4]TotalCosts_Service!$B$9:$B$608,0),MATCH(G$144,[4]TotalCosts_Service!$CH$8:$CN$8,0))*million</f>
        <v>64052796.75371629</v>
      </c>
      <c r="H180" s="100">
        <f>INDEX([4]!FC.TotalCosts_Service,MATCH($A180,[4]TotalCosts_Service!$B$9:$B$608,0),MATCH(H$144,[4]TotalCosts_Service!$CH$8:$CN$8,0))*million</f>
        <v>52815642.111733086</v>
      </c>
      <c r="I180" s="100">
        <f>INDEX([4]!FC.TotalCosts_Service,MATCH($A180,[4]TotalCosts_Service!$B$9:$B$608,0),MATCH(I$144,[4]TotalCosts_Service!$CH$8:$CN$8,0))*million</f>
        <v>35373280.269649938</v>
      </c>
      <c r="J180" s="100">
        <f>INDEX([4]!FC.TotalCosts_Service,MATCH($A180,[4]TotalCosts_Service!$B$9:$B$608,0),MATCH(J$144,[4]TotalCosts_Service!$CH$8:$CN$8,0))*million</f>
        <v>25647630.780392718</v>
      </c>
      <c r="K180" s="100">
        <f>INDEX([4]!FC.TotalCosts_Service,MATCH($A180,[4]TotalCosts_Service!$B$9:$B$608,0),MATCH(K$144,[4]TotalCosts_Service!$CH$8:$CN$8,0))*million</f>
        <v>14848990.906670084</v>
      </c>
      <c r="L180" s="100">
        <f>INDEX([4]!FC.TotalCosts_Service,MATCH($A180,[4]TotalCosts_Service!$B$9:$B$608,0),MATCH(L$144,[4]TotalCosts_Service!$CH$8:$CN$8,0))*million</f>
        <v>4148572.6467589866</v>
      </c>
      <c r="M180" s="12"/>
      <c r="N180" s="12"/>
      <c r="P180" s="6"/>
      <c r="Q180" s="6"/>
      <c r="R180" s="6"/>
      <c r="S180" s="6"/>
      <c r="T180" s="6"/>
      <c r="U180" s="6"/>
      <c r="V180" s="6"/>
      <c r="W180" s="6"/>
      <c r="X180" s="6"/>
      <c r="Y180" s="6"/>
      <c r="Z180" s="6"/>
    </row>
    <row r="181" spans="1:26" x14ac:dyDescent="0.45">
      <c r="A181" s="9" t="str">
        <v>SL111</v>
      </c>
      <c r="B181" t="s">
        <v>313</v>
      </c>
      <c r="C181" s="100" t="e">
        <f>INDEX([4]!FC.TotalCosts_Service,MATCH($A181,[4]TotalCosts_Service!$B$9:$B$608,0),MATCH(C$144,[4]TotalCosts_Service!$CH$8:$CN$8,0))*million</f>
        <v>#N/A</v>
      </c>
      <c r="D181" s="100" t="e">
        <f>INDEX([4]!FC.TotalCosts_Service,MATCH($A181,[4]TotalCosts_Service!$B$9:$B$608,0),MATCH(D$144,[4]TotalCosts_Service!$CH$8:$CN$8,0))*million</f>
        <v>#N/A</v>
      </c>
      <c r="E181" s="100" t="e">
        <f>INDEX([4]!FC.TotalCosts_Service,MATCH($A181,[4]TotalCosts_Service!$B$9:$B$608,0),MATCH(E$144,[4]TotalCosts_Service!$CH$8:$CN$8,0))*million</f>
        <v>#N/A</v>
      </c>
      <c r="F181" s="100">
        <f>INDEX([4]!FC.TotalCosts_Service,MATCH($A181,[4]TotalCosts_Service!$B$9:$B$608,0),MATCH(F$144,[4]TotalCosts_Service!$CH$8:$CN$8,0))*million</f>
        <v>25460.326320373344</v>
      </c>
      <c r="G181" s="100">
        <f>INDEX([4]!FC.TotalCosts_Service,MATCH($A181,[4]TotalCosts_Service!$B$9:$B$608,0),MATCH(G$144,[4]TotalCosts_Service!$CH$8:$CN$8,0))*million</f>
        <v>17443.821364876912</v>
      </c>
      <c r="H181" s="100">
        <f>INDEX([4]!FC.TotalCosts_Service,MATCH($A181,[4]TotalCosts_Service!$B$9:$B$608,0),MATCH(H$144,[4]TotalCosts_Service!$CH$8:$CN$8,0))*million</f>
        <v>9923.0532330876486</v>
      </c>
      <c r="I181" s="100">
        <f>INDEX([4]!FC.TotalCosts_Service,MATCH($A181,[4]TotalCosts_Service!$B$9:$B$608,0),MATCH(I$144,[4]TotalCosts_Service!$CH$8:$CN$8,0))*million</f>
        <v>5808.0159806898546</v>
      </c>
      <c r="J181" s="100">
        <f>INDEX([4]!FC.TotalCosts_Service,MATCH($A181,[4]TotalCosts_Service!$B$9:$B$608,0),MATCH(J$144,[4]TotalCosts_Service!$CH$8:$CN$8,0))*million</f>
        <v>3653.5992009568049</v>
      </c>
      <c r="K181" s="100">
        <f>INDEX([4]!FC.TotalCosts_Service,MATCH($A181,[4]TotalCosts_Service!$B$9:$B$608,0),MATCH(K$144,[4]TotalCosts_Service!$CH$8:$CN$8,0))*million</f>
        <v>1823.2389673154776</v>
      </c>
      <c r="L181" s="100">
        <f>INDEX([4]!FC.TotalCosts_Service,MATCH($A181,[4]TotalCosts_Service!$B$9:$B$608,0),MATCH(L$144,[4]TotalCosts_Service!$CH$8:$CN$8,0))*million</f>
        <v>1210.0274419827454</v>
      </c>
      <c r="M181" s="12"/>
      <c r="N181" s="12"/>
      <c r="P181" s="6"/>
      <c r="Q181" s="6"/>
      <c r="R181" s="6"/>
      <c r="S181" s="6"/>
      <c r="T181" s="6"/>
      <c r="U181" s="6"/>
      <c r="V181" s="6"/>
      <c r="W181" s="6"/>
      <c r="X181" s="6"/>
      <c r="Y181" s="6"/>
      <c r="Z181" s="6"/>
    </row>
    <row r="182" spans="1:26" x14ac:dyDescent="0.45">
      <c r="A182" s="9" t="str">
        <v>SL112</v>
      </c>
      <c r="B182" t="s">
        <v>314</v>
      </c>
      <c r="C182" s="100" t="e">
        <f>INDEX([4]!FC.TotalCosts_Service,MATCH($A182,[4]TotalCosts_Service!$B$9:$B$608,0),MATCH(C$144,[4]TotalCosts_Service!$CH$8:$CN$8,0))*million</f>
        <v>#N/A</v>
      </c>
      <c r="D182" s="100" t="e">
        <f>INDEX([4]!FC.TotalCosts_Service,MATCH($A182,[4]TotalCosts_Service!$B$9:$B$608,0),MATCH(D$144,[4]TotalCosts_Service!$CH$8:$CN$8,0))*million</f>
        <v>#N/A</v>
      </c>
      <c r="E182" s="100" t="e">
        <f>INDEX([4]!FC.TotalCosts_Service,MATCH($A182,[4]TotalCosts_Service!$B$9:$B$608,0),MATCH(E$144,[4]TotalCosts_Service!$CH$8:$CN$8,0))*million</f>
        <v>#N/A</v>
      </c>
      <c r="F182" s="100">
        <f>INDEX([4]!FC.TotalCosts_Service,MATCH($A182,[4]TotalCosts_Service!$B$9:$B$608,0),MATCH(F$144,[4]TotalCosts_Service!$CH$8:$CN$8,0))*million</f>
        <v>263901.09322004899</v>
      </c>
      <c r="G182" s="100">
        <f>INDEX([4]!FC.TotalCosts_Service,MATCH($A182,[4]TotalCosts_Service!$B$9:$B$608,0),MATCH(G$144,[4]TotalCosts_Service!$CH$8:$CN$8,0))*million</f>
        <v>162898.72014343418</v>
      </c>
      <c r="H182" s="100">
        <f>INDEX([4]!FC.TotalCosts_Service,MATCH($A182,[4]TotalCosts_Service!$B$9:$B$608,0),MATCH(H$144,[4]TotalCosts_Service!$CH$8:$CN$8,0))*million</f>
        <v>92677.745058750559</v>
      </c>
      <c r="I182" s="100">
        <f>INDEX([4]!FC.TotalCosts_Service,MATCH($A182,[4]TotalCosts_Service!$B$9:$B$608,0),MATCH(I$144,[4]TotalCosts_Service!$CH$8:$CN$8,0))*million</f>
        <v>54296.697224290234</v>
      </c>
      <c r="J182" s="100">
        <f>INDEX([4]!FC.TotalCosts_Service,MATCH($A182,[4]TotalCosts_Service!$B$9:$B$608,0),MATCH(J$144,[4]TotalCosts_Service!$CH$8:$CN$8,0))*million</f>
        <v>34160.070635008531</v>
      </c>
      <c r="K182" s="100">
        <f>INDEX([4]!FC.TotalCosts_Service,MATCH($A182,[4]TotalCosts_Service!$B$9:$B$608,0),MATCH(K$144,[4]TotalCosts_Service!$CH$8:$CN$8,0))*million</f>
        <v>17062.245086422787</v>
      </c>
      <c r="L182" s="100">
        <f>INDEX([4]!FC.TotalCosts_Service,MATCH($A182,[4]TotalCosts_Service!$B$9:$B$608,0),MATCH(L$144,[4]TotalCosts_Service!$CH$8:$CN$8,0))*million</f>
        <v>11693.608377516055</v>
      </c>
      <c r="M182" s="12"/>
      <c r="N182" s="12"/>
      <c r="P182" s="6"/>
      <c r="Q182" s="6"/>
      <c r="R182" s="6"/>
      <c r="S182" s="6"/>
      <c r="T182" s="6"/>
      <c r="U182" s="6"/>
      <c r="V182" s="6"/>
      <c r="W182" s="6"/>
      <c r="X182" s="6"/>
      <c r="Y182" s="6"/>
      <c r="Z182" s="6"/>
    </row>
    <row r="183" spans="1:26" x14ac:dyDescent="0.45">
      <c r="A183" s="9" t="str">
        <v>SL140</v>
      </c>
      <c r="B183" t="s">
        <v>315</v>
      </c>
      <c r="C183" s="100" t="e">
        <f>INDEX([4]!FC.TotalCosts_Service,MATCH($A183,[4]TotalCosts_Service!$B$9:$B$608,0),MATCH(C$144,[4]TotalCosts_Service!$CH$8:$CN$8,0))*million</f>
        <v>#N/A</v>
      </c>
      <c r="D183" s="100" t="e">
        <f>INDEX([4]!FC.TotalCosts_Service,MATCH($A183,[4]TotalCosts_Service!$B$9:$B$608,0),MATCH(D$144,[4]TotalCosts_Service!$CH$8:$CN$8,0))*million</f>
        <v>#N/A</v>
      </c>
      <c r="E183" s="100" t="e">
        <f>INDEX([4]!FC.TotalCosts_Service,MATCH($A183,[4]TotalCosts_Service!$B$9:$B$608,0),MATCH(E$144,[4]TotalCosts_Service!$CH$8:$CN$8,0))*million</f>
        <v>#N/A</v>
      </c>
      <c r="F183" s="100">
        <f>INDEX([4]!FC.TotalCosts_Service,MATCH($A183,[4]TotalCosts_Service!$B$9:$B$608,0),MATCH(F$144,[4]TotalCosts_Service!$CH$8:$CN$8,0))*million</f>
        <v>22688.054645675256</v>
      </c>
      <c r="G183" s="100">
        <f>INDEX([4]!FC.TotalCosts_Service,MATCH($A183,[4]TotalCosts_Service!$B$9:$B$608,0),MATCH(G$144,[4]TotalCosts_Service!$CH$8:$CN$8,0))*million</f>
        <v>11844.891926113198</v>
      </c>
      <c r="H183" s="100">
        <f>INDEX([4]!FC.TotalCosts_Service,MATCH($A183,[4]TotalCosts_Service!$B$9:$B$608,0),MATCH(H$144,[4]TotalCosts_Service!$CH$8:$CN$8,0))*million</f>
        <v>6740.4131939613471</v>
      </c>
      <c r="I183" s="100">
        <f>INDEX([4]!FC.TotalCosts_Service,MATCH($A183,[4]TotalCosts_Service!$B$9:$B$608,0),MATCH(I$144,[4]TotalCosts_Service!$CH$8:$CN$8,0))*million</f>
        <v>3948.3876218890719</v>
      </c>
      <c r="J183" s="100">
        <f>INDEX([4]!FC.TotalCosts_Service,MATCH($A183,[4]TotalCosts_Service!$B$9:$B$608,0),MATCH(J$144,[4]TotalCosts_Service!$CH$8:$CN$8,0))*million</f>
        <v>2483.8688213235728</v>
      </c>
      <c r="K183" s="100">
        <f>INDEX([4]!FC.TotalCosts_Service,MATCH($A183,[4]TotalCosts_Service!$B$9:$B$608,0),MATCH(K$144,[4]TotalCosts_Service!$CH$8:$CN$8,0))*million</f>
        <v>1240.3374795736038</v>
      </c>
      <c r="L183" s="100">
        <f>INDEX([4]!FC.TotalCosts_Service,MATCH($A183,[4]TotalCosts_Service!$B$9:$B$608,0),MATCH(L$144,[4]TotalCosts_Service!$CH$8:$CN$8,0))*million</f>
        <v>841.95409820305099</v>
      </c>
      <c r="M183" s="12"/>
      <c r="N183" s="12"/>
      <c r="P183" s="6"/>
      <c r="Q183" s="6"/>
      <c r="R183" s="6"/>
      <c r="S183" s="6"/>
      <c r="T183" s="6"/>
      <c r="U183" s="6"/>
      <c r="V183" s="6"/>
      <c r="W183" s="6"/>
      <c r="X183" s="6"/>
      <c r="Y183" s="6"/>
      <c r="Z183" s="6"/>
    </row>
    <row r="184" spans="1:26" x14ac:dyDescent="0.45">
      <c r="A184" s="9" t="str">
        <v>SL144</v>
      </c>
      <c r="B184" t="s">
        <v>316</v>
      </c>
      <c r="C184" s="100" t="e">
        <f>INDEX([4]!FC.TotalCosts_Service,MATCH($A184,[4]TotalCosts_Service!$B$9:$B$608,0),MATCH(C$144,[4]TotalCosts_Service!$CH$8:$CN$8,0))*million</f>
        <v>#N/A</v>
      </c>
      <c r="D184" s="100" t="e">
        <f>INDEX([4]!FC.TotalCosts_Service,MATCH($A184,[4]TotalCosts_Service!$B$9:$B$608,0),MATCH(D$144,[4]TotalCosts_Service!$CH$8:$CN$8,0))*million</f>
        <v>#N/A</v>
      </c>
      <c r="E184" s="100" t="e">
        <f>INDEX([4]!FC.TotalCosts_Service,MATCH($A184,[4]TotalCosts_Service!$B$9:$B$608,0),MATCH(E$144,[4]TotalCosts_Service!$CH$8:$CN$8,0))*million</f>
        <v>#N/A</v>
      </c>
      <c r="F184" s="100">
        <f>INDEX([4]!FC.TotalCosts_Service,MATCH($A184,[4]TotalCosts_Service!$B$9:$B$608,0),MATCH(F$144,[4]TotalCosts_Service!$CH$8:$CN$8,0))*million</f>
        <v>23177.033749369988</v>
      </c>
      <c r="G184" s="100">
        <f>INDEX([4]!FC.TotalCosts_Service,MATCH($A184,[4]TotalCosts_Service!$B$9:$B$608,0),MATCH(G$144,[4]TotalCosts_Service!$CH$8:$CN$8,0))*million</f>
        <v>17165.517304555684</v>
      </c>
      <c r="H184" s="100">
        <f>INDEX([4]!FC.TotalCosts_Service,MATCH($A184,[4]TotalCosts_Service!$B$9:$B$608,0),MATCH(H$144,[4]TotalCosts_Service!$CH$8:$CN$8,0))*million</f>
        <v>9768.6070564752281</v>
      </c>
      <c r="I184" s="100">
        <f>INDEX([4]!FC.TotalCosts_Service,MATCH($A184,[4]TotalCosts_Service!$B$9:$B$608,0),MATCH(I$144,[4]TotalCosts_Service!$CH$8:$CN$8,0))*million</f>
        <v>5725.7283976875715</v>
      </c>
      <c r="J184" s="100">
        <f>INDEX([4]!FC.TotalCosts_Service,MATCH($A184,[4]TotalCosts_Service!$B$9:$B$608,0),MATCH(J$144,[4]TotalCosts_Service!$CH$8:$CN$8,0))*million</f>
        <v>3602.9326072723588</v>
      </c>
      <c r="K184" s="100">
        <f>INDEX([4]!FC.TotalCosts_Service,MATCH($A184,[4]TotalCosts_Service!$B$9:$B$608,0),MATCH(K$144,[4]TotalCosts_Service!$CH$8:$CN$8,0))*million</f>
        <v>1799.9577702504168</v>
      </c>
      <c r="L184" s="100">
        <f>INDEX([4]!FC.TotalCosts_Service,MATCH($A184,[4]TotalCosts_Service!$B$9:$B$608,0),MATCH(L$144,[4]TotalCosts_Service!$CH$8:$CN$8,0))*million</f>
        <v>1245.1944475891282</v>
      </c>
      <c r="M184" s="12"/>
      <c r="N184" s="12"/>
      <c r="P184" s="6"/>
      <c r="Q184" s="6"/>
      <c r="R184" s="6"/>
      <c r="S184" s="6"/>
      <c r="T184" s="6"/>
      <c r="U184" s="6"/>
      <c r="V184" s="6"/>
      <c r="W184" s="6"/>
      <c r="X184" s="6"/>
      <c r="Y184" s="6"/>
      <c r="Z184" s="6"/>
    </row>
    <row r="185" spans="1:26" x14ac:dyDescent="0.45">
      <c r="I185" s="28"/>
    </row>
    <row r="186" spans="1:26" x14ac:dyDescent="0.45">
      <c r="I186" s="28"/>
    </row>
    <row r="187" spans="1:26" x14ac:dyDescent="0.45">
      <c r="C187" s="15" t="s">
        <v>5</v>
      </c>
      <c r="D187" s="15" t="s">
        <v>6</v>
      </c>
      <c r="E187" s="16" t="s">
        <v>7</v>
      </c>
      <c r="F187" s="16" t="s">
        <v>8</v>
      </c>
      <c r="G187" s="15" t="s">
        <v>9</v>
      </c>
      <c r="H187" s="15" t="s">
        <v>10</v>
      </c>
      <c r="I187" s="15" t="s">
        <v>11</v>
      </c>
      <c r="J187" s="16" t="s">
        <v>12</v>
      </c>
      <c r="K187" s="16" t="s">
        <v>13</v>
      </c>
      <c r="L187" s="15" t="s">
        <v>14</v>
      </c>
    </row>
    <row r="188" spans="1:26" x14ac:dyDescent="0.45">
      <c r="A188" s="11" t="s">
        <v>4</v>
      </c>
      <c r="B188" s="8" t="s">
        <v>413</v>
      </c>
      <c r="C188" s="12" t="s">
        <v>452</v>
      </c>
      <c r="D188" s="12"/>
      <c r="E188" s="12"/>
      <c r="F188" s="12"/>
      <c r="G188" s="12"/>
      <c r="I188" s="28"/>
    </row>
    <row r="189" spans="1:26" x14ac:dyDescent="0.45">
      <c r="A189" s="9" t="str" cm="1">
        <f t="array" ref="A189:A228">TD_service_codes</f>
        <v>WN127</v>
      </c>
      <c r="B189" t="s">
        <v>274</v>
      </c>
      <c r="C189" s="90"/>
      <c r="D189" s="90"/>
      <c r="E189" s="90"/>
      <c r="F189" s="90">
        <v>494004.98958327377</v>
      </c>
      <c r="G189" s="90">
        <v>219423.96728686948</v>
      </c>
      <c r="H189" s="90">
        <v>155874.38750755251</v>
      </c>
      <c r="I189" s="90">
        <v>57582.359741248496</v>
      </c>
      <c r="J189" s="90">
        <v>44644.340883251964</v>
      </c>
      <c r="K189" s="90">
        <v>41494.637768391083</v>
      </c>
      <c r="L189" s="90">
        <v>41771.821078962683</v>
      </c>
      <c r="M189" s="94"/>
      <c r="N189" s="94"/>
      <c r="O189" s="94"/>
      <c r="P189" s="94"/>
      <c r="Q189" s="94"/>
      <c r="R189" s="94"/>
      <c r="S189" s="94"/>
      <c r="T189" s="94"/>
    </row>
    <row r="190" spans="1:26" x14ac:dyDescent="0.45">
      <c r="A190" s="9" t="str">
        <v>WN346</v>
      </c>
      <c r="B190" t="s">
        <v>276</v>
      </c>
      <c r="C190" s="90"/>
      <c r="D190" s="90"/>
      <c r="E190" s="90"/>
      <c r="F190" s="90">
        <v>1696.7620292524941</v>
      </c>
      <c r="G190" s="90">
        <v>736.17275250132843</v>
      </c>
      <c r="H190" s="90">
        <v>515.01118758918483</v>
      </c>
      <c r="I190" s="90">
        <v>190.45502504447481</v>
      </c>
      <c r="J190" s="90">
        <v>145.56755397180379</v>
      </c>
      <c r="K190" s="90">
        <v>133.22338954064085</v>
      </c>
      <c r="L190" s="90">
        <v>132.96738562632987</v>
      </c>
    </row>
    <row r="191" spans="1:26" x14ac:dyDescent="0.45">
      <c r="A191" s="9" t="str">
        <v>WX130</v>
      </c>
      <c r="B191" t="s">
        <v>277</v>
      </c>
      <c r="C191" s="90"/>
      <c r="D191" s="90"/>
      <c r="E191" s="90"/>
      <c r="F191" s="90">
        <v>12613141.733548516</v>
      </c>
      <c r="G191" s="90">
        <v>4096477.0233449535</v>
      </c>
      <c r="H191" s="90">
        <v>3067572.0652401615</v>
      </c>
      <c r="I191" s="90">
        <v>1193591.4086912719</v>
      </c>
      <c r="J191" s="90">
        <v>938612.97121697874</v>
      </c>
      <c r="K191" s="90">
        <v>884940.53315623768</v>
      </c>
      <c r="L191" s="90">
        <v>905361.34759272111</v>
      </c>
    </row>
    <row r="192" spans="1:26" x14ac:dyDescent="0.45">
      <c r="A192" s="9" t="str">
        <v>WX347</v>
      </c>
      <c r="B192" t="s">
        <v>278</v>
      </c>
      <c r="C192" s="90"/>
      <c r="D192" s="90"/>
      <c r="E192" s="90"/>
      <c r="F192" s="90">
        <v>153130379.85124862</v>
      </c>
      <c r="G192" s="90">
        <v>49881421.726046674</v>
      </c>
      <c r="H192" s="90">
        <v>38323190.668618426</v>
      </c>
      <c r="I192" s="90">
        <v>14305506.57273205</v>
      </c>
      <c r="J192" s="90">
        <v>11145283.90792734</v>
      </c>
      <c r="K192" s="90">
        <v>10328747.888472296</v>
      </c>
      <c r="L192" s="90">
        <v>10576800.318845455</v>
      </c>
    </row>
    <row r="193" spans="1:12" x14ac:dyDescent="0.45">
      <c r="A193" s="9" t="str">
        <v>WX129</v>
      </c>
      <c r="B193" t="s">
        <v>279</v>
      </c>
      <c r="C193" s="90"/>
      <c r="D193" s="90"/>
      <c r="E193" s="90"/>
      <c r="F193" s="90">
        <v>1683580.4985543217</v>
      </c>
      <c r="G193" s="90">
        <v>674087.43000320776</v>
      </c>
      <c r="H193" s="90">
        <v>360694.95331396599</v>
      </c>
      <c r="I193" s="90">
        <v>123130.11897275948</v>
      </c>
      <c r="J193" s="90">
        <v>87559.09456526587</v>
      </c>
      <c r="K193" s="90">
        <v>72756.680317609353</v>
      </c>
      <c r="L193" s="90">
        <v>146257.68181584979</v>
      </c>
    </row>
    <row r="194" spans="1:12" x14ac:dyDescent="0.45">
      <c r="A194" s="9" t="str">
        <v>WN123</v>
      </c>
      <c r="B194" t="s">
        <v>280</v>
      </c>
      <c r="C194" s="90"/>
      <c r="D194" s="90"/>
      <c r="E194" s="90"/>
      <c r="F194" s="90">
        <v>2032.4527493775984</v>
      </c>
      <c r="G194" s="90">
        <v>0</v>
      </c>
      <c r="H194" s="90">
        <v>0</v>
      </c>
      <c r="I194" s="90">
        <v>0</v>
      </c>
      <c r="J194" s="90">
        <v>0</v>
      </c>
      <c r="K194" s="90">
        <v>0</v>
      </c>
      <c r="L194" s="90">
        <v>0</v>
      </c>
    </row>
    <row r="195" spans="1:12" x14ac:dyDescent="0.45">
      <c r="A195" s="9" t="str">
        <v>WN300</v>
      </c>
      <c r="B195" t="s">
        <v>281</v>
      </c>
      <c r="C195" s="90"/>
      <c r="D195" s="90"/>
      <c r="E195" s="90"/>
      <c r="F195" s="90">
        <v>42193724.888098858</v>
      </c>
      <c r="G195" s="90">
        <v>10477194.740343003</v>
      </c>
      <c r="H195" s="90">
        <v>4861647.1592921866</v>
      </c>
      <c r="I195" s="90">
        <v>303924.47872254136</v>
      </c>
      <c r="J195" s="90">
        <v>0</v>
      </c>
      <c r="K195" s="90">
        <v>0</v>
      </c>
      <c r="L195" s="90">
        <v>0</v>
      </c>
    </row>
    <row r="196" spans="1:12" x14ac:dyDescent="0.45">
      <c r="A196" s="9" t="str">
        <v>WN301</v>
      </c>
      <c r="B196" t="s">
        <v>282</v>
      </c>
      <c r="C196" s="90"/>
      <c r="D196" s="90"/>
      <c r="E196" s="90"/>
      <c r="F196" s="90">
        <v>20831862.191613849</v>
      </c>
      <c r="G196" s="90">
        <v>5311579.6633551596</v>
      </c>
      <c r="H196" s="90">
        <v>2441606.1035738126</v>
      </c>
      <c r="I196" s="90">
        <v>150092.73325945571</v>
      </c>
      <c r="J196" s="90">
        <v>0</v>
      </c>
      <c r="K196" s="90">
        <v>0</v>
      </c>
      <c r="L196" s="90">
        <v>0</v>
      </c>
    </row>
    <row r="197" spans="1:12" x14ac:dyDescent="0.45">
      <c r="A197" s="9" t="str">
        <v>WX310</v>
      </c>
      <c r="B197" t="s">
        <v>283</v>
      </c>
      <c r="C197" s="90"/>
      <c r="D197" s="90"/>
      <c r="E197" s="90"/>
      <c r="F197" s="90">
        <v>55245359.895661533</v>
      </c>
      <c r="G197" s="90">
        <v>19930206.162307393</v>
      </c>
      <c r="H197" s="90">
        <v>9150949.2934773844</v>
      </c>
      <c r="I197" s="90">
        <v>569968.93750939588</v>
      </c>
      <c r="J197" s="90">
        <v>0</v>
      </c>
      <c r="K197" s="90">
        <v>0</v>
      </c>
      <c r="L197" s="90">
        <v>0</v>
      </c>
    </row>
    <row r="198" spans="1:12" x14ac:dyDescent="0.45">
      <c r="A198" s="9" t="str">
        <v>WX311</v>
      </c>
      <c r="B198" t="s">
        <v>284</v>
      </c>
      <c r="C198" s="90"/>
      <c r="D198" s="90"/>
      <c r="E198" s="90"/>
      <c r="F198" s="90">
        <v>34581013.668831803</v>
      </c>
      <c r="G198" s="90">
        <v>11569088.727604141</v>
      </c>
      <c r="H198" s="90">
        <v>5256681.8016062714</v>
      </c>
      <c r="I198" s="90">
        <v>322180.6568537936</v>
      </c>
      <c r="J198" s="90">
        <v>0</v>
      </c>
      <c r="K198" s="90">
        <v>0</v>
      </c>
      <c r="L198" s="90">
        <v>0</v>
      </c>
    </row>
    <row r="199" spans="1:12" x14ac:dyDescent="0.45">
      <c r="A199" s="9" t="str">
        <v>WN302</v>
      </c>
      <c r="B199" t="s">
        <v>285</v>
      </c>
      <c r="C199" s="90"/>
      <c r="D199" s="90"/>
      <c r="E199" s="90"/>
      <c r="F199" s="90">
        <v>294023.29216309532</v>
      </c>
      <c r="G199" s="90">
        <v>61981.84163603979</v>
      </c>
      <c r="H199" s="90">
        <v>23775.937785851664</v>
      </c>
      <c r="I199" s="90">
        <v>1319.2632545179431</v>
      </c>
      <c r="J199" s="90">
        <v>0</v>
      </c>
      <c r="K199" s="90">
        <v>0</v>
      </c>
      <c r="L199" s="90">
        <v>0</v>
      </c>
    </row>
    <row r="200" spans="1:12" x14ac:dyDescent="0.45">
      <c r="A200" s="9" t="str">
        <v>WX312</v>
      </c>
      <c r="B200" t="s">
        <v>286</v>
      </c>
      <c r="C200" s="90"/>
      <c r="D200" s="90"/>
      <c r="E200" s="90"/>
      <c r="F200" s="90">
        <v>1180976.5500695293</v>
      </c>
      <c r="G200" s="90">
        <v>319743.25218969875</v>
      </c>
      <c r="H200" s="90">
        <v>124677.75791268647</v>
      </c>
      <c r="I200" s="90">
        <v>7333.2833752472998</v>
      </c>
      <c r="J200" s="90">
        <v>0</v>
      </c>
      <c r="K200" s="90">
        <v>0</v>
      </c>
      <c r="L200" s="90">
        <v>0</v>
      </c>
    </row>
    <row r="201" spans="1:12" x14ac:dyDescent="0.45">
      <c r="A201" s="9" t="str">
        <v>WX338</v>
      </c>
      <c r="B201" t="s">
        <v>287</v>
      </c>
      <c r="C201" s="90"/>
      <c r="D201" s="90"/>
      <c r="E201" s="90"/>
      <c r="F201" s="90">
        <v>396883.02927298867</v>
      </c>
      <c r="G201" s="90">
        <v>106370.99610773876</v>
      </c>
      <c r="H201" s="90">
        <v>41104.601920202535</v>
      </c>
      <c r="I201" s="90">
        <v>2407.2785717685015</v>
      </c>
      <c r="J201" s="90">
        <v>0</v>
      </c>
      <c r="K201" s="90">
        <v>0</v>
      </c>
      <c r="L201" s="90">
        <v>0</v>
      </c>
    </row>
    <row r="202" spans="1:12" x14ac:dyDescent="0.45">
      <c r="A202" s="9" t="str">
        <v>WN336</v>
      </c>
      <c r="B202" t="s">
        <v>288</v>
      </c>
      <c r="C202" s="90"/>
      <c r="D202" s="90"/>
      <c r="E202" s="90"/>
      <c r="F202" s="90">
        <v>136346.44121061324</v>
      </c>
      <c r="G202" s="90">
        <v>32802.313924195601</v>
      </c>
      <c r="H202" s="90">
        <v>12463.614947947977</v>
      </c>
      <c r="I202" s="90">
        <v>688.10133574281554</v>
      </c>
      <c r="J202" s="90">
        <v>0</v>
      </c>
      <c r="K202" s="90">
        <v>0</v>
      </c>
      <c r="L202" s="90">
        <v>0</v>
      </c>
    </row>
    <row r="203" spans="1:12" x14ac:dyDescent="0.45">
      <c r="A203" s="9" t="str">
        <v>WN303</v>
      </c>
      <c r="B203" t="s">
        <v>289</v>
      </c>
      <c r="C203" s="90"/>
      <c r="D203" s="90"/>
      <c r="E203" s="90"/>
      <c r="F203" s="90">
        <v>1640528.0187242881</v>
      </c>
      <c r="G203" s="90">
        <v>412115.50513163779</v>
      </c>
      <c r="H203" s="90">
        <v>156667.66512388934</v>
      </c>
      <c r="I203" s="90">
        <v>8664.6537910369025</v>
      </c>
      <c r="J203" s="90">
        <v>0</v>
      </c>
      <c r="K203" s="90">
        <v>0</v>
      </c>
      <c r="L203" s="90">
        <v>0</v>
      </c>
    </row>
    <row r="204" spans="1:12" x14ac:dyDescent="0.45">
      <c r="A204" s="9" t="str">
        <v>WN337</v>
      </c>
      <c r="B204" t="s">
        <v>290</v>
      </c>
      <c r="C204" s="90"/>
      <c r="D204" s="90"/>
      <c r="E204" s="90"/>
      <c r="F204" s="90">
        <v>863381.4809703225</v>
      </c>
      <c r="G204" s="90">
        <v>152311.42257407369</v>
      </c>
      <c r="H204" s="90">
        <v>58447.564544655674</v>
      </c>
      <c r="I204" s="90">
        <v>3247.2218133400406</v>
      </c>
      <c r="J204" s="90">
        <v>0</v>
      </c>
      <c r="K204" s="90">
        <v>0</v>
      </c>
      <c r="L204" s="90">
        <v>0</v>
      </c>
    </row>
    <row r="205" spans="1:12" x14ac:dyDescent="0.45">
      <c r="A205" s="9" t="str">
        <v>WX313</v>
      </c>
      <c r="B205" t="s">
        <v>291</v>
      </c>
      <c r="C205" s="90"/>
      <c r="D205" s="90"/>
      <c r="E205" s="90"/>
      <c r="F205" s="90">
        <v>773931.41368708853</v>
      </c>
      <c r="G205" s="90">
        <v>257251.41155040925</v>
      </c>
      <c r="H205" s="90">
        <v>99491.626526109801</v>
      </c>
      <c r="I205" s="90">
        <v>5842.1368836219672</v>
      </c>
      <c r="J205" s="90">
        <v>0</v>
      </c>
      <c r="K205" s="90">
        <v>0</v>
      </c>
      <c r="L205" s="90">
        <v>0</v>
      </c>
    </row>
    <row r="206" spans="1:12" x14ac:dyDescent="0.45">
      <c r="A206" s="9" t="str">
        <v>WX339</v>
      </c>
      <c r="B206" t="s">
        <v>292</v>
      </c>
      <c r="C206" s="90"/>
      <c r="D206" s="90"/>
      <c r="E206" s="90"/>
      <c r="F206" s="90">
        <v>1916626.6314547767</v>
      </c>
      <c r="G206" s="90">
        <v>563296.46398625814</v>
      </c>
      <c r="H206" s="90">
        <v>219881.68856733566</v>
      </c>
      <c r="I206" s="90">
        <v>12954.881418440476</v>
      </c>
      <c r="J206" s="90">
        <v>0</v>
      </c>
      <c r="K206" s="90">
        <v>0</v>
      </c>
      <c r="L206" s="90">
        <v>0</v>
      </c>
    </row>
    <row r="207" spans="1:12" x14ac:dyDescent="0.45">
      <c r="A207" s="9" t="str">
        <v>WN332</v>
      </c>
      <c r="B207" t="s">
        <v>293</v>
      </c>
      <c r="C207" s="90"/>
      <c r="D207" s="90"/>
      <c r="E207" s="90"/>
      <c r="F207" s="90">
        <v>2986254.5821297965</v>
      </c>
      <c r="G207" s="90">
        <v>905095.28640242585</v>
      </c>
      <c r="H207" s="90">
        <v>1194575.1817983915</v>
      </c>
      <c r="I207" s="90">
        <v>1318769.4955525789</v>
      </c>
      <c r="J207" s="90">
        <v>1545353.5755811334</v>
      </c>
      <c r="K207" s="90">
        <v>1859844.2949394574</v>
      </c>
      <c r="L207" s="90">
        <v>2333140.0815500156</v>
      </c>
    </row>
    <row r="208" spans="1:12" x14ac:dyDescent="0.45">
      <c r="A208" s="9" t="str">
        <v>WX334</v>
      </c>
      <c r="B208" t="s">
        <v>295</v>
      </c>
      <c r="C208" s="90"/>
      <c r="D208" s="90"/>
      <c r="E208" s="90"/>
      <c r="F208" s="90">
        <v>3844879.0129387057</v>
      </c>
      <c r="G208" s="90">
        <v>1574273.2244915282</v>
      </c>
      <c r="H208" s="90">
        <v>1992803.3266679659</v>
      </c>
      <c r="I208" s="90">
        <v>2168739.3590314728</v>
      </c>
      <c r="J208" s="90">
        <v>2463419.834746398</v>
      </c>
      <c r="K208" s="90">
        <v>2856767.1557650114</v>
      </c>
      <c r="L208" s="90">
        <v>3479052.7757513202</v>
      </c>
    </row>
    <row r="209" spans="1:12" x14ac:dyDescent="0.45">
      <c r="A209" s="9" t="str">
        <v>WN333</v>
      </c>
      <c r="B209" t="s">
        <v>296</v>
      </c>
      <c r="C209" s="90"/>
      <c r="D209" s="90"/>
      <c r="E209" s="90"/>
      <c r="F209" s="90">
        <v>347758.97019305418</v>
      </c>
      <c r="G209" s="90">
        <v>159516.90713252657</v>
      </c>
      <c r="H209" s="90">
        <v>171043.70695379455</v>
      </c>
      <c r="I209" s="90">
        <v>170658.00093871017</v>
      </c>
      <c r="J209" s="90">
        <v>172747.5621819337</v>
      </c>
      <c r="K209" s="90">
        <v>171522.56929011855</v>
      </c>
      <c r="L209" s="90">
        <v>321653.91924236796</v>
      </c>
    </row>
    <row r="210" spans="1:12" x14ac:dyDescent="0.45">
      <c r="A210" s="9" t="str">
        <v>WX335</v>
      </c>
      <c r="B210" t="s">
        <v>297</v>
      </c>
      <c r="C210" s="90"/>
      <c r="D210" s="90"/>
      <c r="E210" s="90"/>
      <c r="F210" s="90">
        <v>57954.194042846902</v>
      </c>
      <c r="G210" s="90">
        <v>78756.410022268945</v>
      </c>
      <c r="H210" s="90">
        <v>85844.484036214664</v>
      </c>
      <c r="I210" s="90">
        <v>90828.471398915557</v>
      </c>
      <c r="J210" s="90">
        <v>93935.873042825304</v>
      </c>
      <c r="K210" s="90">
        <v>98303.976720078252</v>
      </c>
      <c r="L210" s="90">
        <v>1440423.1226858504</v>
      </c>
    </row>
    <row r="211" spans="1:12" x14ac:dyDescent="0.45">
      <c r="A211" s="9" t="str">
        <v>WN348</v>
      </c>
      <c r="B211" t="s">
        <v>298</v>
      </c>
      <c r="C211" s="90"/>
      <c r="D211" s="90"/>
      <c r="E211" s="90"/>
      <c r="F211" s="90">
        <v>51079265.231080942</v>
      </c>
      <c r="G211" s="90">
        <v>40055644.525058426</v>
      </c>
      <c r="H211" s="90">
        <v>54336100.069678381</v>
      </c>
      <c r="I211" s="90">
        <v>80607187.017060518</v>
      </c>
      <c r="J211" s="90">
        <v>80742450.400080189</v>
      </c>
      <c r="K211" s="90">
        <v>63068305.029597804</v>
      </c>
      <c r="L211" s="90">
        <v>37448993.345893309</v>
      </c>
    </row>
    <row r="212" spans="1:12" x14ac:dyDescent="0.45">
      <c r="A212" s="9" t="str">
        <v>WN350</v>
      </c>
      <c r="B212" t="s">
        <v>300</v>
      </c>
      <c r="C212" s="90"/>
      <c r="D212" s="90"/>
      <c r="E212" s="90"/>
      <c r="F212" s="90">
        <v>151451019.81441465</v>
      </c>
      <c r="G212" s="90">
        <v>89800855.522688389</v>
      </c>
      <c r="H212" s="90">
        <v>118203597.68120404</v>
      </c>
      <c r="I212" s="90">
        <v>123174888.28306788</v>
      </c>
      <c r="J212" s="90">
        <v>113192332.18931839</v>
      </c>
      <c r="K212" s="90">
        <v>112100400.82479325</v>
      </c>
      <c r="L212" s="90">
        <v>115874809.14553604</v>
      </c>
    </row>
    <row r="213" spans="1:12" x14ac:dyDescent="0.45">
      <c r="A213" s="9" t="str">
        <v>WX349</v>
      </c>
      <c r="B213" t="s">
        <v>301</v>
      </c>
      <c r="C213" s="90"/>
      <c r="D213" s="90"/>
      <c r="E213" s="90"/>
      <c r="F213" s="90">
        <v>31035903.277018171</v>
      </c>
      <c r="G213" s="90">
        <v>25785443.075565103</v>
      </c>
      <c r="H213" s="90">
        <v>35563092.157698594</v>
      </c>
      <c r="I213" s="90">
        <v>52725811.775582321</v>
      </c>
      <c r="J213" s="90">
        <v>53525326.028283119</v>
      </c>
      <c r="K213" s="90">
        <v>40990716.824281715</v>
      </c>
      <c r="L213" s="90">
        <v>24489547.236529887</v>
      </c>
    </row>
    <row r="214" spans="1:12" x14ac:dyDescent="0.45">
      <c r="A214" s="9" t="str">
        <v>WX351</v>
      </c>
      <c r="B214" t="s">
        <v>302</v>
      </c>
      <c r="C214" s="90"/>
      <c r="D214" s="90"/>
      <c r="E214" s="90"/>
      <c r="F214" s="90">
        <v>79407375.905386806</v>
      </c>
      <c r="G214" s="90">
        <v>52898502.38261696</v>
      </c>
      <c r="H214" s="90">
        <v>70811550.455634087</v>
      </c>
      <c r="I214" s="90">
        <v>74593737.872301906</v>
      </c>
      <c r="J214" s="90">
        <v>68671738.875046581</v>
      </c>
      <c r="K214" s="90">
        <v>68435494.545886293</v>
      </c>
      <c r="L214" s="90">
        <v>70677386.508151188</v>
      </c>
    </row>
    <row r="215" spans="1:12" x14ac:dyDescent="0.45">
      <c r="A215" s="9" t="str">
        <v>WX355</v>
      </c>
      <c r="B215" t="s">
        <v>303</v>
      </c>
      <c r="C215" s="90"/>
      <c r="D215" s="90"/>
      <c r="E215" s="90"/>
      <c r="F215" s="90">
        <v>16797721.063700292</v>
      </c>
      <c r="G215" s="90">
        <v>15461616.53371791</v>
      </c>
      <c r="H215" s="90">
        <v>14950384.780907085</v>
      </c>
      <c r="I215" s="90">
        <v>10455367.233149709</v>
      </c>
      <c r="J215" s="90">
        <v>9882970.5573033188</v>
      </c>
      <c r="K215" s="90">
        <v>7911291.392588852</v>
      </c>
      <c r="L215" s="90">
        <v>0</v>
      </c>
    </row>
    <row r="216" spans="1:12" x14ac:dyDescent="0.45">
      <c r="A216" s="9" t="str">
        <v>WN354</v>
      </c>
      <c r="B216" t="s">
        <v>304</v>
      </c>
      <c r="C216" s="90"/>
      <c r="D216" s="90"/>
      <c r="E216" s="90"/>
      <c r="F216" s="90">
        <v>29213625.611238301</v>
      </c>
      <c r="G216" s="90">
        <v>24798196.52477733</v>
      </c>
      <c r="H216" s="90">
        <v>23976828.558713961</v>
      </c>
      <c r="I216" s="90">
        <v>16722872.385986481</v>
      </c>
      <c r="J216" s="90">
        <v>15795430.350566061</v>
      </c>
      <c r="K216" s="90">
        <v>12652932.086185452</v>
      </c>
      <c r="L216" s="90">
        <v>0</v>
      </c>
    </row>
    <row r="217" spans="1:12" x14ac:dyDescent="0.45">
      <c r="A217" s="9" t="str">
        <v>WN158</v>
      </c>
      <c r="B217" t="s">
        <v>305</v>
      </c>
      <c r="C217" s="90"/>
      <c r="D217" s="90"/>
      <c r="E217" s="90"/>
      <c r="F217" s="90">
        <v>1323197.0825918813</v>
      </c>
      <c r="G217" s="90">
        <v>991649.565477508</v>
      </c>
      <c r="H217" s="90">
        <v>878172.02230032627</v>
      </c>
      <c r="I217" s="90">
        <v>793286.14538714744</v>
      </c>
      <c r="J217" s="90">
        <v>622370.04954869801</v>
      </c>
      <c r="K217" s="90">
        <v>478751.72861855896</v>
      </c>
      <c r="L217" s="90">
        <v>369348.6400367996</v>
      </c>
    </row>
    <row r="218" spans="1:12" x14ac:dyDescent="0.45">
      <c r="A218" s="9" t="str">
        <v>WX135</v>
      </c>
      <c r="B218" t="s">
        <v>306</v>
      </c>
      <c r="C218" s="90"/>
      <c r="D218" s="90"/>
      <c r="E218" s="90"/>
      <c r="F218" s="90">
        <v>226047.19688985869</v>
      </c>
      <c r="G218" s="90">
        <v>123155.80585317717</v>
      </c>
      <c r="H218" s="90">
        <v>109139.22737622468</v>
      </c>
      <c r="I218" s="90">
        <v>96476.073379054127</v>
      </c>
      <c r="J218" s="90">
        <v>75320.162997179999</v>
      </c>
      <c r="K218" s="90">
        <v>57544.61139030206</v>
      </c>
      <c r="L218" s="90">
        <v>43813.006579943496</v>
      </c>
    </row>
    <row r="219" spans="1:12" x14ac:dyDescent="0.45">
      <c r="A219" s="9" t="str">
        <v>WN138</v>
      </c>
      <c r="B219" t="s">
        <v>307</v>
      </c>
      <c r="C219" s="90"/>
      <c r="D219" s="90"/>
      <c r="E219" s="90"/>
      <c r="F219" s="90">
        <v>611627.42892220605</v>
      </c>
      <c r="G219" s="90">
        <v>434138.78653378063</v>
      </c>
      <c r="H219" s="90">
        <v>322347.95202382462</v>
      </c>
      <c r="I219" s="90">
        <v>222589.01787982369</v>
      </c>
      <c r="J219" s="90">
        <v>144190.33816194409</v>
      </c>
      <c r="K219" s="90">
        <v>87246.031073758932</v>
      </c>
      <c r="L219" s="90">
        <v>65629.129936244935</v>
      </c>
    </row>
    <row r="220" spans="1:12" x14ac:dyDescent="0.45">
      <c r="A220" s="9" t="str">
        <v>WX134</v>
      </c>
      <c r="B220" t="s">
        <v>308</v>
      </c>
      <c r="C220" s="90"/>
      <c r="D220" s="90"/>
      <c r="E220" s="90"/>
      <c r="F220" s="90">
        <v>2002.9333366577205</v>
      </c>
      <c r="G220" s="90">
        <v>1310.5710036574151</v>
      </c>
      <c r="H220" s="90">
        <v>1002.6365458705624</v>
      </c>
      <c r="I220" s="90">
        <v>760.38048476429788</v>
      </c>
      <c r="J220" s="90">
        <v>524.96365285332638</v>
      </c>
      <c r="K220" s="90">
        <v>342.16406152175119</v>
      </c>
      <c r="L220" s="90">
        <v>468.27096475649302</v>
      </c>
    </row>
    <row r="221" spans="1:12" x14ac:dyDescent="0.45">
      <c r="A221" s="9" t="str">
        <v>SL121</v>
      </c>
      <c r="B221" t="s">
        <v>309</v>
      </c>
      <c r="C221" s="90"/>
      <c r="D221" s="90"/>
      <c r="E221" s="90"/>
      <c r="F221" s="90">
        <v>15110113.591695417</v>
      </c>
      <c r="G221" s="90">
        <v>4849518.8402767936</v>
      </c>
      <c r="H221" s="90">
        <v>4069756.9013997912</v>
      </c>
      <c r="I221" s="90">
        <v>2804355.9840198099</v>
      </c>
      <c r="J221" s="90">
        <v>2029095.8697390261</v>
      </c>
      <c r="K221" s="90">
        <v>1227932.9148053185</v>
      </c>
      <c r="L221" s="90">
        <v>344136.5276048283</v>
      </c>
    </row>
    <row r="222" spans="1:12" x14ac:dyDescent="0.45">
      <c r="A222" s="9" t="str">
        <v>SL122</v>
      </c>
      <c r="B222" t="s">
        <v>310</v>
      </c>
      <c r="C222" s="90"/>
      <c r="D222" s="90"/>
      <c r="E222" s="90"/>
      <c r="F222" s="90">
        <v>133951298.84758498</v>
      </c>
      <c r="G222" s="90">
        <v>54298424.165277496</v>
      </c>
      <c r="H222" s="90">
        <v>46885039.654169649</v>
      </c>
      <c r="I222" s="90">
        <v>32367496.675075598</v>
      </c>
      <c r="J222" s="90">
        <v>23507773.783053666</v>
      </c>
      <c r="K222" s="90">
        <v>14276013.483298678</v>
      </c>
      <c r="L222" s="90">
        <v>4009313.9624565542</v>
      </c>
    </row>
    <row r="223" spans="1:12" x14ac:dyDescent="0.45">
      <c r="A223" s="9" t="str">
        <v>SL150</v>
      </c>
      <c r="B223" t="s">
        <v>311</v>
      </c>
      <c r="C223" s="90"/>
      <c r="D223" s="90"/>
      <c r="E223" s="90"/>
      <c r="F223" s="90">
        <v>26027304.372530308</v>
      </c>
      <c r="G223" s="90">
        <v>7983465.5781068821</v>
      </c>
      <c r="H223" s="90">
        <v>6789372.7758906679</v>
      </c>
      <c r="I223" s="90">
        <v>4681939.3917045873</v>
      </c>
      <c r="J223" s="90">
        <v>3435874.9905738267</v>
      </c>
      <c r="K223" s="90">
        <v>2083811.084003662</v>
      </c>
      <c r="L223" s="90">
        <v>588976.34694002243</v>
      </c>
    </row>
    <row r="224" spans="1:12" x14ac:dyDescent="0.45">
      <c r="A224" s="9" t="str">
        <v>SL151</v>
      </c>
      <c r="B224" t="s">
        <v>312</v>
      </c>
      <c r="C224" s="90"/>
      <c r="D224" s="90"/>
      <c r="E224" s="90"/>
      <c r="F224" s="90">
        <v>40237900.684007145</v>
      </c>
      <c r="G224" s="90">
        <v>14247480.407034084</v>
      </c>
      <c r="H224" s="90">
        <v>12315762.877636002</v>
      </c>
      <c r="I224" s="90">
        <v>8414797.6726486962</v>
      </c>
      <c r="J224" s="90">
        <v>6253220.5224253796</v>
      </c>
      <c r="K224" s="90">
        <v>3696367.9830318228</v>
      </c>
      <c r="L224" s="90">
        <v>1045349.2115499179</v>
      </c>
    </row>
    <row r="225" spans="1:12" x14ac:dyDescent="0.45">
      <c r="A225" s="9" t="str">
        <v>SL111</v>
      </c>
      <c r="B225" t="s">
        <v>313</v>
      </c>
      <c r="C225" s="90"/>
      <c r="D225" s="90"/>
      <c r="E225" s="90"/>
      <c r="F225" s="90">
        <v>9574.361649509714</v>
      </c>
      <c r="G225" s="90">
        <v>3880.0882352645554</v>
      </c>
      <c r="H225" s="90">
        <v>2313.8972803232782</v>
      </c>
      <c r="I225" s="90">
        <v>1381.6439692461427</v>
      </c>
      <c r="J225" s="90">
        <v>890.79422968011988</v>
      </c>
      <c r="K225" s="90">
        <v>453.85994149768476</v>
      </c>
      <c r="L225" s="90">
        <v>304.90034528348275</v>
      </c>
    </row>
    <row r="226" spans="1:12" x14ac:dyDescent="0.45">
      <c r="A226" s="9" t="str">
        <v>SL112</v>
      </c>
      <c r="B226" t="s">
        <v>314</v>
      </c>
      <c r="C226" s="90"/>
      <c r="D226" s="90"/>
      <c r="E226" s="90"/>
      <c r="F226" s="90">
        <v>110193.55890195507</v>
      </c>
      <c r="G226" s="90">
        <v>36234.113749917567</v>
      </c>
      <c r="H226" s="90">
        <v>21610.967632712171</v>
      </c>
      <c r="I226" s="90">
        <v>12916.408033197935</v>
      </c>
      <c r="J226" s="90">
        <v>8328.6622679252851</v>
      </c>
      <c r="K226" s="90">
        <v>4247.3146392570889</v>
      </c>
      <c r="L226" s="90">
        <v>2946.5325398507061</v>
      </c>
    </row>
    <row r="227" spans="1:12" x14ac:dyDescent="0.45">
      <c r="A227" s="9" t="str">
        <v>SL140</v>
      </c>
      <c r="B227" t="s">
        <v>315</v>
      </c>
      <c r="C227" s="90"/>
      <c r="D227" s="90"/>
      <c r="E227" s="90"/>
      <c r="F227" s="90">
        <v>9304.4314686358575</v>
      </c>
      <c r="G227" s="90">
        <v>2634.6994072658149</v>
      </c>
      <c r="H227" s="90">
        <v>1571.7565341438026</v>
      </c>
      <c r="I227" s="90">
        <v>939.2649683069917</v>
      </c>
      <c r="J227" s="90">
        <v>605.59899748663179</v>
      </c>
      <c r="K227" s="90">
        <v>308.75793355027332</v>
      </c>
      <c r="L227" s="90">
        <v>212.15394490087459</v>
      </c>
    </row>
    <row r="228" spans="1:12" x14ac:dyDescent="0.45">
      <c r="A228" s="9" t="str">
        <v>SL144</v>
      </c>
      <c r="B228" t="s">
        <v>316</v>
      </c>
      <c r="C228" s="90"/>
      <c r="D228" s="90"/>
      <c r="E228" s="90"/>
      <c r="F228" s="90">
        <v>12209.884638609985</v>
      </c>
      <c r="G228" s="90">
        <v>3818.1841210403045</v>
      </c>
      <c r="H228" s="90">
        <v>2277.8829025279265</v>
      </c>
      <c r="I228" s="90">
        <v>1362.0689296496712</v>
      </c>
      <c r="J228" s="90">
        <v>878.44106590675574</v>
      </c>
      <c r="K228" s="90">
        <v>448.06453950849709</v>
      </c>
      <c r="L228" s="90">
        <v>313.76165849006799</v>
      </c>
    </row>
    <row r="229" spans="1:12" x14ac:dyDescent="0.45">
      <c r="C229" s="12" t="s">
        <v>452</v>
      </c>
      <c r="I229" s="12"/>
    </row>
    <row r="230" spans="1:12" x14ac:dyDescent="0.45">
      <c r="A230" s="11" t="s">
        <v>414</v>
      </c>
      <c r="B230" s="8" t="s">
        <v>415</v>
      </c>
      <c r="C230" s="15" t="s">
        <v>5</v>
      </c>
      <c r="D230" s="15" t="s">
        <v>6</v>
      </c>
      <c r="E230" s="16" t="s">
        <v>7</v>
      </c>
      <c r="F230" s="16" t="s">
        <v>8</v>
      </c>
      <c r="G230" s="15" t="s">
        <v>9</v>
      </c>
      <c r="H230" s="15">
        <v>2026.27</v>
      </c>
      <c r="I230" s="15" t="s">
        <v>11</v>
      </c>
      <c r="J230" s="16" t="s">
        <v>12</v>
      </c>
      <c r="K230" s="16" t="s">
        <v>13</v>
      </c>
      <c r="L230" s="15" t="s">
        <v>14</v>
      </c>
    </row>
    <row r="231" spans="1:12" x14ac:dyDescent="0.45">
      <c r="A231" s="9" t="str" cm="1">
        <f t="array" ref="A231:A270">TD_service_codes</f>
        <v>WN127</v>
      </c>
      <c r="B231" t="s">
        <v>274</v>
      </c>
      <c r="C231" s="90"/>
      <c r="D231" s="90"/>
      <c r="E231" s="90"/>
      <c r="F231" s="90">
        <v>453066.22125191987</v>
      </c>
      <c r="G231" s="90">
        <v>210313.85651619869</v>
      </c>
      <c r="H231" s="90">
        <v>157913.40507878119</v>
      </c>
      <c r="I231" s="90">
        <v>58957.992888760396</v>
      </c>
      <c r="J231" s="90">
        <v>46225.382761786837</v>
      </c>
      <c r="K231" s="90">
        <v>43492.892312567601</v>
      </c>
      <c r="L231" s="90">
        <v>44345.080832737323</v>
      </c>
    </row>
    <row r="232" spans="1:12" x14ac:dyDescent="0.45">
      <c r="A232" s="9" t="str">
        <v>WN346</v>
      </c>
      <c r="B232" t="s">
        <v>276</v>
      </c>
      <c r="C232" s="90"/>
      <c r="D232" s="90"/>
      <c r="E232" s="90"/>
      <c r="F232" s="90">
        <v>1559.6144497512112</v>
      </c>
      <c r="G232" s="90">
        <v>705.1483241624212</v>
      </c>
      <c r="H232" s="90">
        <v>521.58823674921609</v>
      </c>
      <c r="I232" s="90">
        <v>194.81107265909719</v>
      </c>
      <c r="J232" s="90">
        <v>150.50296067889715</v>
      </c>
      <c r="K232" s="90">
        <v>139.40066929806065</v>
      </c>
      <c r="L232" s="90">
        <v>140.84672159248052</v>
      </c>
    </row>
    <row r="233" spans="1:12" x14ac:dyDescent="0.45">
      <c r="A233" s="9" t="str">
        <v>WX130</v>
      </c>
      <c r="B233" t="s">
        <v>277</v>
      </c>
      <c r="C233" s="90"/>
      <c r="D233" s="90"/>
      <c r="E233" s="90"/>
      <c r="F233" s="90">
        <v>11551709.451094192</v>
      </c>
      <c r="G233" s="90">
        <v>3930454.25365149</v>
      </c>
      <c r="H233" s="90">
        <v>3123209.147718301</v>
      </c>
      <c r="I233" s="90">
        <v>1226427.6257561769</v>
      </c>
      <c r="J233" s="90">
        <v>974992.20302613848</v>
      </c>
      <c r="K233" s="90">
        <v>930469.77423750679</v>
      </c>
      <c r="L233" s="90">
        <v>964102.49814949406</v>
      </c>
    </row>
    <row r="234" spans="1:12" x14ac:dyDescent="0.45">
      <c r="A234" s="9" t="str">
        <v>WX347</v>
      </c>
      <c r="B234" t="s">
        <v>278</v>
      </c>
      <c r="C234" s="90"/>
      <c r="D234" s="90"/>
      <c r="E234" s="90"/>
      <c r="F234" s="90">
        <v>139842205.5575189</v>
      </c>
      <c r="G234" s="90">
        <v>47575659.443152122</v>
      </c>
      <c r="H234" s="90">
        <v>38893046.077549361</v>
      </c>
      <c r="I234" s="90">
        <v>14627091.798038939</v>
      </c>
      <c r="J234" s="90">
        <v>11495093.809495326</v>
      </c>
      <c r="K234" s="90">
        <v>10768039.230782218</v>
      </c>
      <c r="L234" s="90">
        <v>11150549.845696528</v>
      </c>
    </row>
    <row r="235" spans="1:12" x14ac:dyDescent="0.45">
      <c r="A235" s="9" t="str">
        <v>WX129</v>
      </c>
      <c r="B235" t="s">
        <v>279</v>
      </c>
      <c r="C235" s="90"/>
      <c r="D235" s="90"/>
      <c r="E235" s="90"/>
      <c r="F235" s="90">
        <v>1756538.7859286629</v>
      </c>
      <c r="G235" s="90">
        <v>720180.37287177402</v>
      </c>
      <c r="H235" s="90">
        <v>394442.88345970906</v>
      </c>
      <c r="I235" s="90">
        <v>137582.63554501679</v>
      </c>
      <c r="J235" s="90">
        <v>100264.71317398267</v>
      </c>
      <c r="K235" s="90">
        <v>85473.662038881826</v>
      </c>
      <c r="L235" s="90">
        <v>172834.29000317334</v>
      </c>
    </row>
    <row r="236" spans="1:12" x14ac:dyDescent="0.45">
      <c r="A236" s="9" t="str">
        <v>WN123</v>
      </c>
      <c r="B236" t="s">
        <v>280</v>
      </c>
      <c r="C236" s="90"/>
      <c r="D236" s="90"/>
      <c r="E236" s="90"/>
      <c r="F236" s="90">
        <v>1914.7389570590694</v>
      </c>
      <c r="G236" s="90">
        <v>0</v>
      </c>
      <c r="H236" s="90">
        <v>0</v>
      </c>
      <c r="I236" s="90">
        <v>0</v>
      </c>
      <c r="J236" s="90">
        <v>0</v>
      </c>
      <c r="K236" s="90">
        <v>0</v>
      </c>
      <c r="L236" s="90">
        <v>0</v>
      </c>
    </row>
    <row r="237" spans="1:12" x14ac:dyDescent="0.45">
      <c r="A237" s="9" t="str">
        <v>WN300</v>
      </c>
      <c r="B237" t="s">
        <v>281</v>
      </c>
      <c r="C237" s="90"/>
      <c r="D237" s="90"/>
      <c r="E237" s="90"/>
      <c r="F237" s="90">
        <v>36094031.035854347</v>
      </c>
      <c r="G237" s="90">
        <v>10661409.962464102</v>
      </c>
      <c r="H237" s="90">
        <v>5101026.7303269831</v>
      </c>
      <c r="I237" s="90">
        <v>321622.07467463659</v>
      </c>
      <c r="J237" s="90">
        <v>0</v>
      </c>
      <c r="K237" s="90">
        <v>0</v>
      </c>
      <c r="L237" s="90">
        <v>0</v>
      </c>
    </row>
    <row r="238" spans="1:12" x14ac:dyDescent="0.45">
      <c r="A238" s="9" t="str">
        <v>WN301</v>
      </c>
      <c r="B238" t="s">
        <v>282</v>
      </c>
      <c r="C238" s="90"/>
      <c r="D238" s="90"/>
      <c r="E238" s="90"/>
      <c r="F238" s="90">
        <v>21120412.764287964</v>
      </c>
      <c r="G238" s="90">
        <v>5414841.1270139199</v>
      </c>
      <c r="H238" s="90">
        <v>2564901.87172881</v>
      </c>
      <c r="I238" s="90">
        <v>159215.06039977394</v>
      </c>
      <c r="J238" s="90">
        <v>0</v>
      </c>
      <c r="K238" s="90">
        <v>0</v>
      </c>
      <c r="L238" s="90">
        <v>0</v>
      </c>
    </row>
    <row r="239" spans="1:12" x14ac:dyDescent="0.45">
      <c r="A239" s="9" t="str">
        <v>WX310</v>
      </c>
      <c r="B239" t="s">
        <v>283</v>
      </c>
      <c r="C239" s="90"/>
      <c r="D239" s="90"/>
      <c r="E239" s="90"/>
      <c r="F239" s="90">
        <v>55698405.663849041</v>
      </c>
      <c r="G239" s="90">
        <v>20315334.88287957</v>
      </c>
      <c r="H239" s="90">
        <v>9605602.5106104985</v>
      </c>
      <c r="I239" s="90">
        <v>603566.4089487805</v>
      </c>
      <c r="J239" s="90">
        <v>0</v>
      </c>
      <c r="K239" s="90">
        <v>0</v>
      </c>
      <c r="L239" s="90">
        <v>0</v>
      </c>
    </row>
    <row r="240" spans="1:12" x14ac:dyDescent="0.45">
      <c r="A240" s="9" t="str">
        <v>WX311</v>
      </c>
      <c r="B240" t="s">
        <v>284</v>
      </c>
      <c r="C240" s="90"/>
      <c r="D240" s="90"/>
      <c r="E240" s="90"/>
      <c r="F240" s="90">
        <v>35082455.37806955</v>
      </c>
      <c r="G240" s="90">
        <v>11821364.700146381</v>
      </c>
      <c r="H240" s="90">
        <v>5532566.8378602797</v>
      </c>
      <c r="I240" s="90">
        <v>342645.86497480143</v>
      </c>
      <c r="J240" s="90">
        <v>0</v>
      </c>
      <c r="K240" s="90">
        <v>0</v>
      </c>
      <c r="L240" s="90">
        <v>0</v>
      </c>
    </row>
    <row r="241" spans="1:12" x14ac:dyDescent="0.45">
      <c r="A241" s="9" t="str">
        <v>WN302</v>
      </c>
      <c r="B241" t="s">
        <v>285</v>
      </c>
      <c r="C241" s="90"/>
      <c r="D241" s="90"/>
      <c r="E241" s="90"/>
      <c r="F241" s="90">
        <v>353782.56231320836</v>
      </c>
      <c r="G241" s="90">
        <v>60158.179146818846</v>
      </c>
      <c r="H241" s="90">
        <v>23717.936736747059</v>
      </c>
      <c r="I241" s="90">
        <v>1349.5406287672542</v>
      </c>
      <c r="J241" s="90">
        <v>0</v>
      </c>
      <c r="K241" s="90">
        <v>0</v>
      </c>
      <c r="L241" s="90">
        <v>0</v>
      </c>
    </row>
    <row r="242" spans="1:12" x14ac:dyDescent="0.45">
      <c r="A242" s="9" t="str">
        <v>WX312</v>
      </c>
      <c r="B242" t="s">
        <v>286</v>
      </c>
      <c r="C242" s="90"/>
      <c r="D242" s="90"/>
      <c r="E242" s="90"/>
      <c r="F242" s="90">
        <v>1426667.8064196503</v>
      </c>
      <c r="G242" s="90">
        <v>339769.61239668081</v>
      </c>
      <c r="H242" s="90">
        <v>136005.21233061849</v>
      </c>
      <c r="I242" s="90">
        <v>8155.3241360247875</v>
      </c>
      <c r="J242" s="90">
        <v>0</v>
      </c>
      <c r="K242" s="90">
        <v>0</v>
      </c>
      <c r="L242" s="90">
        <v>0</v>
      </c>
    </row>
    <row r="243" spans="1:12" x14ac:dyDescent="0.45">
      <c r="A243" s="9" t="str">
        <v>WX338</v>
      </c>
      <c r="B243" t="s">
        <v>287</v>
      </c>
      <c r="C243" s="90"/>
      <c r="D243" s="90"/>
      <c r="E243" s="90"/>
      <c r="F243" s="90">
        <v>334045.55135482521</v>
      </c>
      <c r="G243" s="90">
        <v>113018.89604154948</v>
      </c>
      <c r="H243" s="90">
        <v>44824.551205701711</v>
      </c>
      <c r="I243" s="90">
        <v>2676.4236371905545</v>
      </c>
      <c r="J243" s="90">
        <v>0</v>
      </c>
      <c r="K243" s="90">
        <v>0</v>
      </c>
      <c r="L243" s="90">
        <v>0</v>
      </c>
    </row>
    <row r="244" spans="1:12" x14ac:dyDescent="0.45">
      <c r="A244" s="9" t="str">
        <v>WN336</v>
      </c>
      <c r="B244" t="s">
        <v>288</v>
      </c>
      <c r="C244" s="90"/>
      <c r="D244" s="90"/>
      <c r="E244" s="90"/>
      <c r="F244" s="90">
        <v>168560.65741522281</v>
      </c>
      <c r="G244" s="90">
        <v>31787.297719862545</v>
      </c>
      <c r="H244" s="90">
        <v>12413.200138834589</v>
      </c>
      <c r="I244" s="90">
        <v>702.7925646673383</v>
      </c>
      <c r="J244" s="90">
        <v>0</v>
      </c>
      <c r="K244" s="90">
        <v>0</v>
      </c>
      <c r="L244" s="90">
        <v>0</v>
      </c>
    </row>
    <row r="245" spans="1:12" x14ac:dyDescent="0.45">
      <c r="A245" s="9" t="str">
        <v>WN303</v>
      </c>
      <c r="B245" t="s">
        <v>289</v>
      </c>
      <c r="C245" s="90"/>
      <c r="D245" s="90"/>
      <c r="E245" s="90"/>
      <c r="F245" s="90">
        <v>1554779.664144611</v>
      </c>
      <c r="G245" s="90">
        <v>400295.86490474571</v>
      </c>
      <c r="H245" s="90">
        <v>156400.7592909227</v>
      </c>
      <c r="I245" s="90">
        <v>8869.9481927738307</v>
      </c>
      <c r="J245" s="90">
        <v>0</v>
      </c>
      <c r="K245" s="90">
        <v>0</v>
      </c>
      <c r="L245" s="90">
        <v>0</v>
      </c>
    </row>
    <row r="246" spans="1:12" x14ac:dyDescent="0.45">
      <c r="A246" s="9" t="str">
        <v>WN337</v>
      </c>
      <c r="B246" t="s">
        <v>290</v>
      </c>
      <c r="C246" s="90"/>
      <c r="D246" s="90"/>
      <c r="E246" s="90"/>
      <c r="F246" s="90">
        <v>819499.02546180505</v>
      </c>
      <c r="G246" s="90">
        <v>148156.65192710329</v>
      </c>
      <c r="H246" s="90">
        <v>58433.833547010203</v>
      </c>
      <c r="I246" s="90">
        <v>3329.0180147328847</v>
      </c>
      <c r="J246" s="90">
        <v>0</v>
      </c>
      <c r="K246" s="90">
        <v>0</v>
      </c>
      <c r="L246" s="90">
        <v>0</v>
      </c>
    </row>
    <row r="247" spans="1:12" x14ac:dyDescent="0.45">
      <c r="A247" s="9" t="str">
        <v>WX313</v>
      </c>
      <c r="B247" t="s">
        <v>291</v>
      </c>
      <c r="C247" s="90"/>
      <c r="D247" s="90"/>
      <c r="E247" s="90"/>
      <c r="F247" s="90">
        <v>806218.12989828188</v>
      </c>
      <c r="G247" s="90">
        <v>272831.36139892304</v>
      </c>
      <c r="H247" s="90">
        <v>108330.36509147398</v>
      </c>
      <c r="I247" s="90">
        <v>6482.6175717708529</v>
      </c>
      <c r="J247" s="90">
        <v>0</v>
      </c>
      <c r="K247" s="90">
        <v>0</v>
      </c>
      <c r="L247" s="90">
        <v>0</v>
      </c>
    </row>
    <row r="248" spans="1:12" x14ac:dyDescent="0.45">
      <c r="A248" s="9" t="str">
        <v>WX339</v>
      </c>
      <c r="B248" t="s">
        <v>292</v>
      </c>
      <c r="C248" s="90"/>
      <c r="D248" s="90"/>
      <c r="E248" s="90"/>
      <c r="F248" s="90">
        <v>1998429.047193018</v>
      </c>
      <c r="G248" s="90">
        <v>597987.53654644021</v>
      </c>
      <c r="H248" s="90">
        <v>239597.50226257934</v>
      </c>
      <c r="I248" s="90">
        <v>14386.496724115117</v>
      </c>
      <c r="J248" s="90">
        <v>0</v>
      </c>
      <c r="K248" s="90">
        <v>0</v>
      </c>
      <c r="L248" s="90">
        <v>0</v>
      </c>
    </row>
    <row r="249" spans="1:12" x14ac:dyDescent="0.45">
      <c r="A249" s="9" t="str">
        <v>WN332</v>
      </c>
      <c r="B249" t="s">
        <v>293</v>
      </c>
      <c r="C249" s="90"/>
      <c r="D249" s="90"/>
      <c r="E249" s="90"/>
      <c r="F249" s="90">
        <v>3363051.3870427706</v>
      </c>
      <c r="G249" s="90">
        <v>919918.48784630187</v>
      </c>
      <c r="H249" s="90">
        <v>1252071.1403690504</v>
      </c>
      <c r="I249" s="90">
        <v>1395826.5203459153</v>
      </c>
      <c r="J249" s="90">
        <v>1649913.607721691</v>
      </c>
      <c r="K249" s="90">
        <v>2003382.752693824</v>
      </c>
      <c r="L249" s="90">
        <v>2534464.594929778</v>
      </c>
    </row>
    <row r="250" spans="1:12" x14ac:dyDescent="0.45">
      <c r="A250" s="9" t="str">
        <v>WX334</v>
      </c>
      <c r="B250" t="s">
        <v>295</v>
      </c>
      <c r="C250" s="90"/>
      <c r="D250" s="90"/>
      <c r="E250" s="90"/>
      <c r="F250" s="90">
        <v>3387636.9859029129</v>
      </c>
      <c r="G250" s="90">
        <v>1602607.2321606528</v>
      </c>
      <c r="H250" s="90">
        <v>2087949.7695612859</v>
      </c>
      <c r="I250" s="90">
        <v>2301547.7140457933</v>
      </c>
      <c r="J250" s="90">
        <v>2645448.5079010162</v>
      </c>
      <c r="K250" s="90">
        <v>3103297.3754939875</v>
      </c>
      <c r="L250" s="90">
        <v>3814168.4979842827</v>
      </c>
    </row>
    <row r="251" spans="1:12" x14ac:dyDescent="0.45">
      <c r="A251" s="9" t="str">
        <v>WN333</v>
      </c>
      <c r="B251" t="s">
        <v>296</v>
      </c>
      <c r="C251" s="90"/>
      <c r="D251" s="90"/>
      <c r="E251" s="90"/>
      <c r="F251" s="90">
        <v>325969.03611977975</v>
      </c>
      <c r="G251" s="90">
        <v>154590.75366520029</v>
      </c>
      <c r="H251" s="90">
        <v>170369.09565306082</v>
      </c>
      <c r="I251" s="90">
        <v>174315.41735422361</v>
      </c>
      <c r="J251" s="90">
        <v>180917.96770039175</v>
      </c>
      <c r="K251" s="90">
        <v>184197.07897963541</v>
      </c>
      <c r="L251" s="90">
        <v>354261.15623530274</v>
      </c>
    </row>
    <row r="252" spans="1:12" x14ac:dyDescent="0.45">
      <c r="A252" s="9" t="str">
        <v>WX335</v>
      </c>
      <c r="B252" t="s">
        <v>297</v>
      </c>
      <c r="C252" s="90"/>
      <c r="D252" s="90"/>
      <c r="E252" s="90"/>
      <c r="F252" s="90">
        <v>55487.288482197982</v>
      </c>
      <c r="G252" s="90">
        <v>83688.206828282768</v>
      </c>
      <c r="H252" s="90">
        <v>93645.658836893883</v>
      </c>
      <c r="I252" s="90">
        <v>101019.1695613894</v>
      </c>
      <c r="J252" s="90">
        <v>106802.20171435391</v>
      </c>
      <c r="K252" s="90">
        <v>114090.91113913685</v>
      </c>
      <c r="L252" s="90">
        <v>1599379.7270533859</v>
      </c>
    </row>
    <row r="253" spans="1:12" x14ac:dyDescent="0.45">
      <c r="A253" s="9" t="str">
        <v>WN348</v>
      </c>
      <c r="B253" t="s">
        <v>298</v>
      </c>
      <c r="C253" s="90"/>
      <c r="D253" s="90"/>
      <c r="E253" s="90"/>
      <c r="F253" s="90">
        <v>48570024.368495911</v>
      </c>
      <c r="G253" s="90">
        <v>39351817.251284175</v>
      </c>
      <c r="H253" s="90">
        <v>56126083.221420556</v>
      </c>
      <c r="I253" s="90">
        <v>83870948.391767144</v>
      </c>
      <c r="J253" s="90">
        <v>84684229.131263211</v>
      </c>
      <c r="K253" s="90">
        <v>66625046.859706216</v>
      </c>
      <c r="L253" s="90">
        <v>39871783.184509337</v>
      </c>
    </row>
    <row r="254" spans="1:12" x14ac:dyDescent="0.45">
      <c r="A254" s="9" t="str">
        <v>WN350</v>
      </c>
      <c r="B254" t="s">
        <v>300</v>
      </c>
      <c r="C254" s="90"/>
      <c r="D254" s="90"/>
      <c r="E254" s="90"/>
      <c r="F254" s="90">
        <v>143755475.73608732</v>
      </c>
      <c r="G254" s="90">
        <v>88164215.67208156</v>
      </c>
      <c r="H254" s="90">
        <v>121784262.1764439</v>
      </c>
      <c r="I254" s="90">
        <v>127929018.61845911</v>
      </c>
      <c r="J254" s="90">
        <v>118396590.53048921</v>
      </c>
      <c r="K254" s="90">
        <v>118193702.3111077</v>
      </c>
      <c r="L254" s="90">
        <v>123079014.74807405</v>
      </c>
    </row>
    <row r="255" spans="1:12" x14ac:dyDescent="0.45">
      <c r="A255" s="9" t="str">
        <v>WX349</v>
      </c>
      <c r="B255" t="s">
        <v>301</v>
      </c>
      <c r="C255" s="90"/>
      <c r="D255" s="90"/>
      <c r="E255" s="90"/>
      <c r="F255" s="90">
        <v>29474871.973276753</v>
      </c>
      <c r="G255" s="90">
        <v>25266762.579094417</v>
      </c>
      <c r="H255" s="90">
        <v>36640344.494539246</v>
      </c>
      <c r="I255" s="90">
        <v>54715966.150511876</v>
      </c>
      <c r="J255" s="90">
        <v>55947641.511443779</v>
      </c>
      <c r="K255" s="90">
        <v>43189399.275737137</v>
      </c>
      <c r="L255" s="90">
        <v>25997331.644989777</v>
      </c>
    </row>
    <row r="256" spans="1:12" x14ac:dyDescent="0.45">
      <c r="A256" s="9" t="str">
        <v>WX351</v>
      </c>
      <c r="B256" t="s">
        <v>302</v>
      </c>
      <c r="C256" s="90"/>
      <c r="D256" s="90"/>
      <c r="E256" s="90"/>
      <c r="F256" s="90">
        <v>75572246.670697331</v>
      </c>
      <c r="G256" s="90">
        <v>51867784.234193511</v>
      </c>
      <c r="H256" s="90">
        <v>72972546.358376086</v>
      </c>
      <c r="I256" s="90">
        <v>77429536.259655312</v>
      </c>
      <c r="J256" s="90">
        <v>71761585.810488939</v>
      </c>
      <c r="K256" s="90">
        <v>72057153.20176287</v>
      </c>
      <c r="L256" s="90">
        <v>74984567.826283216</v>
      </c>
    </row>
    <row r="257" spans="1:12" x14ac:dyDescent="0.45">
      <c r="A257" s="9" t="str">
        <v>WX355</v>
      </c>
      <c r="B257" t="s">
        <v>303</v>
      </c>
      <c r="C257" s="90"/>
      <c r="D257" s="90"/>
      <c r="E257" s="90"/>
      <c r="F257" s="90">
        <v>23230978.95116454</v>
      </c>
      <c r="G257" s="90">
        <v>16520021.281966731</v>
      </c>
      <c r="H257" s="90">
        <v>16392709.809812</v>
      </c>
      <c r="I257" s="90">
        <v>11682260.904066749</v>
      </c>
      <c r="J257" s="90">
        <v>11286748.805946702</v>
      </c>
      <c r="K257" s="90">
        <v>9220837.2487839218</v>
      </c>
      <c r="L257" s="90">
        <v>0</v>
      </c>
    </row>
    <row r="258" spans="1:12" x14ac:dyDescent="0.45">
      <c r="A258" s="9" t="str">
        <v>WN354</v>
      </c>
      <c r="B258" t="s">
        <v>304</v>
      </c>
      <c r="C258" s="90"/>
      <c r="D258" s="90"/>
      <c r="E258" s="90"/>
      <c r="F258" s="90">
        <v>36892720.958685137</v>
      </c>
      <c r="G258" s="90">
        <v>26430171.576277088</v>
      </c>
      <c r="H258" s="90">
        <v>26224712.360867344</v>
      </c>
      <c r="I258" s="90">
        <v>18641278.929277942</v>
      </c>
      <c r="J258" s="90">
        <v>17997775.554100689</v>
      </c>
      <c r="K258" s="90">
        <v>14717038.151412269</v>
      </c>
      <c r="L258" s="90">
        <v>0</v>
      </c>
    </row>
    <row r="259" spans="1:12" x14ac:dyDescent="0.45">
      <c r="A259" s="9" t="str">
        <v>WN158</v>
      </c>
      <c r="B259" t="s">
        <v>305</v>
      </c>
      <c r="C259" s="90"/>
      <c r="D259" s="90"/>
      <c r="E259" s="90"/>
      <c r="F259" s="90">
        <v>1000056.2884487978</v>
      </c>
      <c r="G259" s="90">
        <v>950853.62504479301</v>
      </c>
      <c r="H259" s="90">
        <v>871289.21060392028</v>
      </c>
      <c r="I259" s="90">
        <v>815523.64112936612</v>
      </c>
      <c r="J259" s="90">
        <v>661097.10646029096</v>
      </c>
      <c r="K259" s="90">
        <v>531153.26088980411</v>
      </c>
      <c r="L259" s="90">
        <v>430825.67165865347</v>
      </c>
    </row>
    <row r="260" spans="1:12" x14ac:dyDescent="0.45">
      <c r="A260" s="9" t="str">
        <v>WX135</v>
      </c>
      <c r="B260" t="s">
        <v>306</v>
      </c>
      <c r="C260" s="90"/>
      <c r="D260" s="90"/>
      <c r="E260" s="90"/>
      <c r="F260" s="90">
        <v>153862.34133157239</v>
      </c>
      <c r="G260" s="90">
        <v>118569.27772915576</v>
      </c>
      <c r="H260" s="90">
        <v>108672.55821702306</v>
      </c>
      <c r="I260" s="90">
        <v>99423.580642610526</v>
      </c>
      <c r="J260" s="90">
        <v>80195.490022954473</v>
      </c>
      <c r="K260" s="90">
        <v>63936.160034212277</v>
      </c>
      <c r="L260" s="90">
        <v>51143.329355988557</v>
      </c>
    </row>
    <row r="261" spans="1:12" x14ac:dyDescent="0.45">
      <c r="A261" s="9" t="str">
        <v>WN138</v>
      </c>
      <c r="B261" t="s">
        <v>307</v>
      </c>
      <c r="C261" s="90"/>
      <c r="D261" s="90"/>
      <c r="E261" s="90"/>
      <c r="F261" s="90">
        <v>690637.51521224726</v>
      </c>
      <c r="G261" s="90">
        <v>427534.54690810444</v>
      </c>
      <c r="H261" s="90">
        <v>326109.17369577603</v>
      </c>
      <c r="I261" s="90">
        <v>231123.56387647492</v>
      </c>
      <c r="J261" s="90">
        <v>153702.86607966953</v>
      </c>
      <c r="K261" s="90">
        <v>95546.354673309004</v>
      </c>
      <c r="L261" s="90">
        <v>74608.311386963993</v>
      </c>
    </row>
    <row r="262" spans="1:12" x14ac:dyDescent="0.45">
      <c r="A262" s="9" t="str">
        <v>WX134</v>
      </c>
      <c r="B262" t="s">
        <v>308</v>
      </c>
      <c r="C262" s="90"/>
      <c r="D262" s="90"/>
      <c r="E262" s="90"/>
      <c r="F262" s="90">
        <v>1584.8465771579572</v>
      </c>
      <c r="G262" s="90">
        <v>1404.2113359976674</v>
      </c>
      <c r="H262" s="90">
        <v>1098.6191145517039</v>
      </c>
      <c r="I262" s="90">
        <v>850.19349602595071</v>
      </c>
      <c r="J262" s="90">
        <v>601.38294156529332</v>
      </c>
      <c r="K262" s="90">
        <v>402.19409266781128</v>
      </c>
      <c r="L262" s="90">
        <v>553.84314657183575</v>
      </c>
    </row>
    <row r="263" spans="1:12" x14ac:dyDescent="0.45">
      <c r="A263" s="9" t="str">
        <v>SL121</v>
      </c>
      <c r="B263" t="s">
        <v>309</v>
      </c>
      <c r="C263" s="90"/>
      <c r="D263" s="90"/>
      <c r="E263" s="90"/>
      <c r="F263" s="90">
        <v>12738175.262869706</v>
      </c>
      <c r="G263" s="90">
        <v>4645475.9349403698</v>
      </c>
      <c r="H263" s="90">
        <v>4139144.8279634132</v>
      </c>
      <c r="I263" s="90">
        <v>2871535.8280919311</v>
      </c>
      <c r="J263" s="90">
        <v>2095611.4903625669</v>
      </c>
      <c r="K263" s="90">
        <v>1279674.9775210633</v>
      </c>
      <c r="L263" s="90">
        <v>362334.22905409505</v>
      </c>
    </row>
    <row r="264" spans="1:12" x14ac:dyDescent="0.45">
      <c r="A264" s="9" t="str">
        <v>SL122</v>
      </c>
      <c r="B264" t="s">
        <v>310</v>
      </c>
      <c r="C264" s="90"/>
      <c r="D264" s="90"/>
      <c r="E264" s="90"/>
      <c r="F264" s="90">
        <v>147856794.39173609</v>
      </c>
      <c r="G264" s="90">
        <v>52329328.069269821</v>
      </c>
      <c r="H264" s="90">
        <v>48046227.745820306</v>
      </c>
      <c r="I264" s="90">
        <v>33314526.787297104</v>
      </c>
      <c r="J264" s="90">
        <v>24351216.581965733</v>
      </c>
      <c r="K264" s="90">
        <v>14882077.156812865</v>
      </c>
      <c r="L264" s="90">
        <v>4209046.7895875163</v>
      </c>
    </row>
    <row r="265" spans="1:12" x14ac:dyDescent="0.45">
      <c r="A265" s="9" t="str">
        <v>SL150</v>
      </c>
      <c r="B265" t="s">
        <v>311</v>
      </c>
      <c r="C265" s="90"/>
      <c r="D265" s="90"/>
      <c r="E265" s="90"/>
      <c r="F265" s="90">
        <v>22469423.100779094</v>
      </c>
      <c r="G265" s="90">
        <v>7636528.3007867606</v>
      </c>
      <c r="H265" s="90">
        <v>6902742.8977507949</v>
      </c>
      <c r="I265" s="90">
        <v>4792385.1460286379</v>
      </c>
      <c r="J265" s="90">
        <v>3545466.87327827</v>
      </c>
      <c r="K265" s="90">
        <v>2169194.6524669556</v>
      </c>
      <c r="L265" s="90">
        <v>619133.2864304207</v>
      </c>
    </row>
    <row r="266" spans="1:12" x14ac:dyDescent="0.45">
      <c r="A266" s="9" t="str">
        <v>SL151</v>
      </c>
      <c r="B266" t="s">
        <v>312</v>
      </c>
      <c r="C266" s="90"/>
      <c r="D266" s="90"/>
      <c r="E266" s="90"/>
      <c r="F266" s="90">
        <v>41099862.068354927</v>
      </c>
      <c r="G266" s="90">
        <v>13704950.074877296</v>
      </c>
      <c r="H266" s="90">
        <v>12598603.087242644</v>
      </c>
      <c r="I266" s="90">
        <v>8658315.6470496338</v>
      </c>
      <c r="J266" s="90">
        <v>6478081.3927118024</v>
      </c>
      <c r="K266" s="90">
        <v>3862734.2264712439</v>
      </c>
      <c r="L266" s="90">
        <v>1101676.6457512043</v>
      </c>
    </row>
    <row r="267" spans="1:12" x14ac:dyDescent="0.45">
      <c r="A267" s="9" t="str">
        <v>SL111</v>
      </c>
      <c r="B267" t="s">
        <v>313</v>
      </c>
      <c r="C267" s="90"/>
      <c r="D267" s="90"/>
      <c r="E267" s="90"/>
      <c r="F267" s="90">
        <v>12131.15905972463</v>
      </c>
      <c r="G267" s="90">
        <v>4174.9457515712793</v>
      </c>
      <c r="H267" s="90">
        <v>2551.9511424950474</v>
      </c>
      <c r="I267" s="90">
        <v>1560.0250549472869</v>
      </c>
      <c r="J267" s="90">
        <v>1031.0360497385868</v>
      </c>
      <c r="K267" s="90">
        <v>538.47997365538299</v>
      </c>
      <c r="L267" s="90">
        <v>360.14787748587173</v>
      </c>
    </row>
    <row r="268" spans="1:12" x14ac:dyDescent="0.45">
      <c r="A268" s="9" t="str">
        <v>SL112</v>
      </c>
      <c r="B268" t="s">
        <v>314</v>
      </c>
      <c r="C268" s="90"/>
      <c r="D268" s="90"/>
      <c r="E268" s="90"/>
      <c r="F268" s="90">
        <v>114630.72337465633</v>
      </c>
      <c r="G268" s="90">
        <v>39125.526451990256</v>
      </c>
      <c r="H268" s="90">
        <v>23907.025472928512</v>
      </c>
      <c r="I268" s="90">
        <v>14628.4715097474</v>
      </c>
      <c r="J268" s="90">
        <v>9670.4632305971045</v>
      </c>
      <c r="K268" s="90">
        <v>5055.2952137580714</v>
      </c>
      <c r="L268" s="90">
        <v>3480.0345819826239</v>
      </c>
    </row>
    <row r="269" spans="1:12" x14ac:dyDescent="0.45">
      <c r="A269" s="9" t="str">
        <v>SL140</v>
      </c>
      <c r="B269" t="s">
        <v>315</v>
      </c>
      <c r="C269" s="90"/>
      <c r="D269" s="90"/>
      <c r="E269" s="90"/>
      <c r="F269" s="90">
        <v>9149.1673145313798</v>
      </c>
      <c r="G269" s="90">
        <v>2842.5325908421514</v>
      </c>
      <c r="H269" s="90">
        <v>1737.5991643029454</v>
      </c>
      <c r="I269" s="90">
        <v>1063.0205691677711</v>
      </c>
      <c r="J269" s="90">
        <v>702.63839481256707</v>
      </c>
      <c r="K269" s="90">
        <v>367.21044100035294</v>
      </c>
      <c r="L269" s="90">
        <v>250.7268797794614</v>
      </c>
    </row>
    <row r="270" spans="1:12" x14ac:dyDescent="0.45">
      <c r="A270" s="9" t="str">
        <v>SL144</v>
      </c>
      <c r="B270" t="s">
        <v>316</v>
      </c>
      <c r="C270" s="90"/>
      <c r="D270" s="90"/>
      <c r="E270" s="90"/>
      <c r="F270" s="90">
        <v>13306.67228738314</v>
      </c>
      <c r="G270" s="90">
        <v>4126.2175530709292</v>
      </c>
      <c r="H270" s="90">
        <v>2522.3111702837159</v>
      </c>
      <c r="I270" s="90">
        <v>1543.9350101626403</v>
      </c>
      <c r="J270" s="90">
        <v>1020.7798528034351</v>
      </c>
      <c r="K270" s="90">
        <v>533.69841712347534</v>
      </c>
      <c r="L270" s="90">
        <v>370.77792146462065</v>
      </c>
    </row>
    <row r="271" spans="1:12" x14ac:dyDescent="0.45">
      <c r="C271" s="12" t="s">
        <v>452</v>
      </c>
    </row>
    <row r="272" spans="1:12" x14ac:dyDescent="0.45">
      <c r="A272" s="11" t="s">
        <v>416</v>
      </c>
      <c r="B272" s="8" t="s">
        <v>417</v>
      </c>
      <c r="C272" s="15" t="s">
        <v>5</v>
      </c>
      <c r="D272" s="15" t="s">
        <v>6</v>
      </c>
      <c r="E272" s="16" t="s">
        <v>7</v>
      </c>
      <c r="F272" s="16" t="s">
        <v>8</v>
      </c>
      <c r="G272" s="15" t="s">
        <v>9</v>
      </c>
      <c r="H272" s="15">
        <v>2026.27</v>
      </c>
      <c r="I272" s="15" t="s">
        <v>11</v>
      </c>
      <c r="J272" s="16" t="s">
        <v>12</v>
      </c>
      <c r="K272" s="16" t="s">
        <v>13</v>
      </c>
      <c r="L272" s="15" t="s">
        <v>14</v>
      </c>
    </row>
    <row r="273" spans="1:12" x14ac:dyDescent="0.45">
      <c r="A273" s="9" t="str" cm="1">
        <f t="array" ref="A273:A312">TD_service_codes</f>
        <v>WN127</v>
      </c>
      <c r="B273" t="s">
        <v>274</v>
      </c>
      <c r="C273" s="90"/>
      <c r="D273" s="90"/>
      <c r="E273" s="90"/>
      <c r="F273" s="90">
        <v>488887.0790337323</v>
      </c>
      <c r="G273" s="90">
        <v>216231.64227454682</v>
      </c>
      <c r="H273" s="90">
        <v>148261.64064015989</v>
      </c>
      <c r="I273" s="90">
        <v>54673.32609948609</v>
      </c>
      <c r="J273" s="90">
        <v>42255.662386779979</v>
      </c>
      <c r="K273" s="90">
        <v>39159.631501739546</v>
      </c>
      <c r="L273" s="90">
        <v>39351.011588029309</v>
      </c>
    </row>
    <row r="274" spans="1:12" x14ac:dyDescent="0.45">
      <c r="A274" s="9" t="str">
        <v>WN346</v>
      </c>
      <c r="B274" t="s">
        <v>276</v>
      </c>
      <c r="C274" s="90"/>
      <c r="D274" s="90"/>
      <c r="E274" s="90"/>
      <c r="F274" s="90">
        <v>1674.9218462171345</v>
      </c>
      <c r="G274" s="90">
        <v>723.2909271592747</v>
      </c>
      <c r="H274" s="90">
        <v>488.35908609120662</v>
      </c>
      <c r="I274" s="90">
        <v>180.45010483021716</v>
      </c>
      <c r="J274" s="90">
        <v>137.49542879944337</v>
      </c>
      <c r="K274" s="90">
        <v>125.47312438539593</v>
      </c>
      <c r="L274" s="90">
        <v>125.08366814834761</v>
      </c>
    </row>
    <row r="275" spans="1:12" x14ac:dyDescent="0.45">
      <c r="A275" s="9" t="str">
        <v>WX130</v>
      </c>
      <c r="B275" t="s">
        <v>277</v>
      </c>
      <c r="C275" s="90"/>
      <c r="D275" s="90"/>
      <c r="E275" s="90"/>
      <c r="F275" s="90">
        <v>12580073.89095879</v>
      </c>
      <c r="G275" s="90">
        <v>4071306.8638855568</v>
      </c>
      <c r="H275" s="90">
        <v>2927620.6478447812</v>
      </c>
      <c r="I275" s="90">
        <v>1138579.6026918842</v>
      </c>
      <c r="J275" s="90">
        <v>892024.97672214196</v>
      </c>
      <c r="K275" s="90">
        <v>837834.66470254015</v>
      </c>
      <c r="L275" s="90">
        <v>854758.13580146851</v>
      </c>
    </row>
    <row r="276" spans="1:12" x14ac:dyDescent="0.45">
      <c r="A276" s="9" t="str">
        <v>WX347</v>
      </c>
      <c r="B276" t="s">
        <v>278</v>
      </c>
      <c r="C276" s="90"/>
      <c r="D276" s="90"/>
      <c r="E276" s="90"/>
      <c r="F276" s="90">
        <v>152721934.56185403</v>
      </c>
      <c r="G276" s="90">
        <v>49611089.818124443</v>
      </c>
      <c r="H276" s="90">
        <v>36583206.265053794</v>
      </c>
      <c r="I276" s="90">
        <v>13648588.421177549</v>
      </c>
      <c r="J276" s="90">
        <v>10608738.832128821</v>
      </c>
      <c r="K276" s="90">
        <v>9801978.5348038767</v>
      </c>
      <c r="L276" s="90">
        <v>10024747.63258964</v>
      </c>
    </row>
    <row r="277" spans="1:12" x14ac:dyDescent="0.45">
      <c r="A277" s="9" t="str">
        <v>WX129</v>
      </c>
      <c r="B277" t="s">
        <v>279</v>
      </c>
      <c r="C277" s="90"/>
      <c r="D277" s="90"/>
      <c r="E277" s="90"/>
      <c r="F277" s="90">
        <v>1698842.4113116288</v>
      </c>
      <c r="G277" s="90">
        <v>670069.37185007054</v>
      </c>
      <c r="H277" s="90">
        <v>353543.56348680396</v>
      </c>
      <c r="I277" s="90">
        <v>118960.64047508534</v>
      </c>
      <c r="J277" s="90">
        <v>83185.030990793734</v>
      </c>
      <c r="K277" s="90">
        <v>67900.912665467098</v>
      </c>
      <c r="L277" s="90">
        <v>135198.6889372564</v>
      </c>
    </row>
    <row r="278" spans="1:12" x14ac:dyDescent="0.45">
      <c r="A278" s="9" t="str">
        <v>WN123</v>
      </c>
      <c r="B278" t="s">
        <v>280</v>
      </c>
      <c r="C278" s="90"/>
      <c r="D278" s="90"/>
      <c r="E278" s="90"/>
      <c r="F278" s="90">
        <v>1927.9275709463461</v>
      </c>
      <c r="G278" s="90">
        <v>0</v>
      </c>
      <c r="H278" s="90">
        <v>0</v>
      </c>
      <c r="I278" s="90">
        <v>0</v>
      </c>
      <c r="J278" s="90">
        <v>0</v>
      </c>
      <c r="K278" s="90">
        <v>0</v>
      </c>
      <c r="L278" s="90">
        <v>0</v>
      </c>
    </row>
    <row r="279" spans="1:12" x14ac:dyDescent="0.45">
      <c r="A279" s="9" t="str">
        <v>WN300</v>
      </c>
      <c r="B279" t="s">
        <v>281</v>
      </c>
      <c r="C279" s="90"/>
      <c r="D279" s="90"/>
      <c r="E279" s="90"/>
      <c r="F279" s="90">
        <v>46651195.113494702</v>
      </c>
      <c r="G279" s="90">
        <v>10585055.984098883</v>
      </c>
      <c r="H279" s="90">
        <v>4753761.0752783278</v>
      </c>
      <c r="I279" s="90">
        <v>294985.25397780014</v>
      </c>
      <c r="J279" s="90">
        <v>0</v>
      </c>
      <c r="K279" s="90">
        <v>0</v>
      </c>
      <c r="L279" s="90">
        <v>0</v>
      </c>
    </row>
    <row r="280" spans="1:12" x14ac:dyDescent="0.45">
      <c r="A280" s="9" t="str">
        <v>WN301</v>
      </c>
      <c r="B280" t="s">
        <v>282</v>
      </c>
      <c r="C280" s="90"/>
      <c r="D280" s="90"/>
      <c r="E280" s="90"/>
      <c r="F280" s="90">
        <v>21494271.309654817</v>
      </c>
      <c r="G280" s="90">
        <v>5369876.1430794643</v>
      </c>
      <c r="H280" s="90">
        <v>2390259.248826989</v>
      </c>
      <c r="I280" s="90">
        <v>145736.73994243777</v>
      </c>
      <c r="J280" s="90">
        <v>0</v>
      </c>
      <c r="K280" s="90">
        <v>0</v>
      </c>
      <c r="L280" s="90">
        <v>0</v>
      </c>
    </row>
    <row r="281" spans="1:12" x14ac:dyDescent="0.45">
      <c r="A281" s="9" t="str">
        <v>WX310</v>
      </c>
      <c r="B281" t="s">
        <v>283</v>
      </c>
      <c r="C281" s="90"/>
      <c r="D281" s="90"/>
      <c r="E281" s="90"/>
      <c r="F281" s="90">
        <v>63939153.101734281</v>
      </c>
      <c r="G281" s="90">
        <v>20158049.384709619</v>
      </c>
      <c r="H281" s="90">
        <v>8969777.5705258064</v>
      </c>
      <c r="I281" s="90">
        <v>554433.85045748716</v>
      </c>
      <c r="J281" s="90">
        <v>0</v>
      </c>
      <c r="K281" s="90">
        <v>0</v>
      </c>
      <c r="L281" s="90">
        <v>0</v>
      </c>
    </row>
    <row r="282" spans="1:12" x14ac:dyDescent="0.45">
      <c r="A282" s="9" t="str">
        <v>WX311</v>
      </c>
      <c r="B282" t="s">
        <v>284</v>
      </c>
      <c r="C282" s="90"/>
      <c r="D282" s="90"/>
      <c r="E282" s="90"/>
      <c r="F282" s="90">
        <v>35705608.344504125</v>
      </c>
      <c r="G282" s="90">
        <v>11712470.969782518</v>
      </c>
      <c r="H282" s="90">
        <v>5156577.7606334593</v>
      </c>
      <c r="I282" s="90">
        <v>313277.28683137533</v>
      </c>
      <c r="J282" s="90">
        <v>0</v>
      </c>
      <c r="K282" s="90">
        <v>0</v>
      </c>
      <c r="L282" s="90">
        <v>0</v>
      </c>
    </row>
    <row r="283" spans="1:12" x14ac:dyDescent="0.45">
      <c r="A283" s="9" t="str">
        <v>WN302</v>
      </c>
      <c r="B283" t="s">
        <v>285</v>
      </c>
      <c r="C283" s="90"/>
      <c r="D283" s="90"/>
      <c r="E283" s="90"/>
      <c r="F283" s="90">
        <v>254528.51296234425</v>
      </c>
      <c r="G283" s="90">
        <v>58091.431178661987</v>
      </c>
      <c r="H283" s="90">
        <v>21894.511160644699</v>
      </c>
      <c r="I283" s="90">
        <v>1196.9417731194242</v>
      </c>
      <c r="J283" s="90">
        <v>0</v>
      </c>
      <c r="K283" s="90">
        <v>0</v>
      </c>
      <c r="L283" s="90">
        <v>0</v>
      </c>
    </row>
    <row r="284" spans="1:12" x14ac:dyDescent="0.45">
      <c r="A284" s="9" t="str">
        <v>WX312</v>
      </c>
      <c r="B284" t="s">
        <v>286</v>
      </c>
      <c r="C284" s="90"/>
      <c r="D284" s="90"/>
      <c r="E284" s="90"/>
      <c r="F284" s="90">
        <v>1483556.125422847</v>
      </c>
      <c r="G284" s="90">
        <v>318289.0592999389</v>
      </c>
      <c r="H284" s="90">
        <v>121875.70514912986</v>
      </c>
      <c r="I284" s="90">
        <v>7077.3004594262275</v>
      </c>
      <c r="J284" s="90">
        <v>0</v>
      </c>
      <c r="K284" s="90">
        <v>0</v>
      </c>
      <c r="L284" s="90">
        <v>0</v>
      </c>
    </row>
    <row r="285" spans="1:12" x14ac:dyDescent="0.45">
      <c r="A285" t="str">
        <v>WX338</v>
      </c>
      <c r="B285" t="s">
        <v>287</v>
      </c>
      <c r="C285" s="80"/>
      <c r="D285" s="90"/>
      <c r="E285" s="90"/>
      <c r="F285" s="90">
        <v>398167.1494531919</v>
      </c>
      <c r="G285" s="90">
        <v>105833.14153355436</v>
      </c>
      <c r="H285" s="90">
        <v>40168.195969907014</v>
      </c>
      <c r="I285" s="90">
        <v>2322.5149356261236</v>
      </c>
      <c r="J285" s="90">
        <v>0</v>
      </c>
      <c r="K285" s="90">
        <v>0</v>
      </c>
      <c r="L285" s="90">
        <v>0</v>
      </c>
    </row>
    <row r="286" spans="1:12" x14ac:dyDescent="0.45">
      <c r="A286" t="str">
        <v>WN336</v>
      </c>
      <c r="B286" t="s">
        <v>288</v>
      </c>
      <c r="C286" s="80"/>
      <c r="D286" s="90"/>
      <c r="E286" s="90"/>
      <c r="F286" s="90">
        <v>124882.39122654361</v>
      </c>
      <c r="G286" s="90">
        <v>30709.423858320686</v>
      </c>
      <c r="H286" s="90">
        <v>11465.071617124415</v>
      </c>
      <c r="I286" s="90">
        <v>623.53881408288919</v>
      </c>
      <c r="J286" s="90">
        <v>0</v>
      </c>
      <c r="K286" s="90">
        <v>0</v>
      </c>
      <c r="L286" s="90">
        <v>0</v>
      </c>
    </row>
    <row r="287" spans="1:12" x14ac:dyDescent="0.45">
      <c r="A287" t="str">
        <v>WN303</v>
      </c>
      <c r="B287" t="s">
        <v>289</v>
      </c>
      <c r="C287" s="80"/>
      <c r="D287" s="90"/>
      <c r="E287" s="90"/>
      <c r="F287" s="90">
        <v>1561408.7810195345</v>
      </c>
      <c r="G287" s="90">
        <v>386432.74146426143</v>
      </c>
      <c r="H287" s="90">
        <v>144343.43284601858</v>
      </c>
      <c r="I287" s="90">
        <v>7865.5479741841073</v>
      </c>
      <c r="J287" s="90">
        <v>0</v>
      </c>
      <c r="K287" s="90">
        <v>0</v>
      </c>
      <c r="L287" s="90">
        <v>0</v>
      </c>
    </row>
    <row r="288" spans="1:12" x14ac:dyDescent="0.45">
      <c r="A288" t="str">
        <v>WN337</v>
      </c>
      <c r="B288" t="s">
        <v>290</v>
      </c>
      <c r="C288" s="80"/>
      <c r="D288" s="90"/>
      <c r="E288" s="90"/>
      <c r="F288" s="90">
        <v>822444.98457681097</v>
      </c>
      <c r="G288" s="90">
        <v>142943.90616184782</v>
      </c>
      <c r="H288" s="90">
        <v>53895.990750795027</v>
      </c>
      <c r="I288" s="90">
        <v>2950.5232894862656</v>
      </c>
      <c r="J288" s="90">
        <v>0</v>
      </c>
      <c r="K288" s="90">
        <v>0</v>
      </c>
      <c r="L288" s="90">
        <v>0</v>
      </c>
    </row>
    <row r="289" spans="1:12" x14ac:dyDescent="0.45">
      <c r="A289" t="str">
        <v>WX313</v>
      </c>
      <c r="B289" t="s">
        <v>291</v>
      </c>
      <c r="C289" s="80"/>
      <c r="D289" s="90"/>
      <c r="E289" s="90"/>
      <c r="F289" s="90">
        <v>780586.17592296295</v>
      </c>
      <c r="G289" s="90">
        <v>255976.82699536116</v>
      </c>
      <c r="H289" s="90">
        <v>97185.861531733404</v>
      </c>
      <c r="I289" s="90">
        <v>5635.4664411440535</v>
      </c>
      <c r="J289" s="90">
        <v>0</v>
      </c>
      <c r="K289" s="90">
        <v>0</v>
      </c>
      <c r="L289" s="90">
        <v>0</v>
      </c>
    </row>
    <row r="290" spans="1:12" x14ac:dyDescent="0.45">
      <c r="A290" t="str">
        <v>WX339</v>
      </c>
      <c r="B290" t="s">
        <v>292</v>
      </c>
      <c r="C290" s="80"/>
      <c r="D290" s="90"/>
      <c r="E290" s="90"/>
      <c r="F290" s="90">
        <v>1933037.3399619728</v>
      </c>
      <c r="G290" s="90">
        <v>560492.06689498376</v>
      </c>
      <c r="H290" s="90">
        <v>214825.98511448689</v>
      </c>
      <c r="I290" s="90">
        <v>12498.452414683314</v>
      </c>
      <c r="J290" s="90">
        <v>0</v>
      </c>
      <c r="K290" s="90">
        <v>0</v>
      </c>
      <c r="L290" s="90">
        <v>0</v>
      </c>
    </row>
    <row r="291" spans="1:12" x14ac:dyDescent="0.45">
      <c r="A291" t="str">
        <v>WN332</v>
      </c>
      <c r="B291" t="s">
        <v>293</v>
      </c>
      <c r="C291" s="80"/>
      <c r="D291" s="90"/>
      <c r="E291" s="90"/>
      <c r="F291" s="90">
        <v>2756495.2366230679</v>
      </c>
      <c r="G291" s="90">
        <v>913244.39377394295</v>
      </c>
      <c r="H291" s="90">
        <v>1166244.8434749057</v>
      </c>
      <c r="I291" s="90">
        <v>1277214.5592787368</v>
      </c>
      <c r="J291" s="90">
        <v>1484763.7674236901</v>
      </c>
      <c r="K291" s="90">
        <v>1771160.9588857079</v>
      </c>
      <c r="L291" s="90">
        <v>2201403.0568188792</v>
      </c>
    </row>
    <row r="292" spans="1:12" x14ac:dyDescent="0.45">
      <c r="A292" t="str">
        <v>WX334</v>
      </c>
      <c r="B292" t="s">
        <v>295</v>
      </c>
      <c r="C292" s="80"/>
      <c r="D292" s="90"/>
      <c r="E292" s="90"/>
      <c r="F292" s="90">
        <v>3557289.4411622561</v>
      </c>
      <c r="G292" s="90">
        <v>1582920.3957755512</v>
      </c>
      <c r="H292" s="90">
        <v>1948247.8457948756</v>
      </c>
      <c r="I292" s="90">
        <v>2100381.7815631921</v>
      </c>
      <c r="J292" s="90">
        <v>2363408.988126684</v>
      </c>
      <c r="K292" s="90">
        <v>2713400.2548258933</v>
      </c>
      <c r="L292" s="90">
        <v>3273325.8784408406</v>
      </c>
    </row>
    <row r="293" spans="1:12" x14ac:dyDescent="0.45">
      <c r="A293" t="str">
        <v>WN333</v>
      </c>
      <c r="B293" t="s">
        <v>296</v>
      </c>
      <c r="C293" s="80"/>
      <c r="D293" s="90"/>
      <c r="E293" s="90"/>
      <c r="F293" s="90">
        <v>306311.68236662803</v>
      </c>
      <c r="G293" s="90">
        <v>149357.96342501452</v>
      </c>
      <c r="H293" s="90">
        <v>157353.12186051242</v>
      </c>
      <c r="I293" s="90">
        <v>154664.86484666241</v>
      </c>
      <c r="J293" s="90">
        <v>154207.78282962472</v>
      </c>
      <c r="K293" s="90">
        <v>150837.01814599236</v>
      </c>
      <c r="L293" s="90">
        <v>289786.02196784283</v>
      </c>
    </row>
    <row r="294" spans="1:12" x14ac:dyDescent="0.45">
      <c r="A294" t="str">
        <v>WX335</v>
      </c>
      <c r="B294" t="s">
        <v>297</v>
      </c>
      <c r="C294" s="80"/>
      <c r="D294" s="90"/>
      <c r="E294" s="90"/>
      <c r="F294" s="90">
        <v>53916.60708263149</v>
      </c>
      <c r="G294" s="90">
        <v>78386.368811965294</v>
      </c>
      <c r="H294" s="90">
        <v>83902.089499677109</v>
      </c>
      <c r="I294" s="90">
        <v>87642.490506162925</v>
      </c>
      <c r="J294" s="90">
        <v>89346.577637357477</v>
      </c>
      <c r="K294" s="90">
        <v>92210.535287252409</v>
      </c>
      <c r="L294" s="90">
        <v>1347269.8056275847</v>
      </c>
    </row>
    <row r="295" spans="1:12" x14ac:dyDescent="0.45">
      <c r="A295" t="str">
        <v>WN348</v>
      </c>
      <c r="B295" t="s">
        <v>298</v>
      </c>
      <c r="C295" s="80"/>
      <c r="D295" s="90"/>
      <c r="E295" s="90"/>
      <c r="F295" s="90">
        <v>51611568.03641516</v>
      </c>
      <c r="G295" s="90">
        <v>40128807.812760018</v>
      </c>
      <c r="H295" s="90">
        <v>52109957.385809466</v>
      </c>
      <c r="I295" s="90">
        <v>76978847.360969067</v>
      </c>
      <c r="J295" s="90">
        <v>76756769.044990793</v>
      </c>
      <c r="K295" s="90">
        <v>59748484.183374129</v>
      </c>
      <c r="L295" s="90">
        <v>35345139.433141597</v>
      </c>
    </row>
    <row r="296" spans="1:12" x14ac:dyDescent="0.45">
      <c r="A296" t="str">
        <v>WN350</v>
      </c>
      <c r="B296" t="s">
        <v>300</v>
      </c>
      <c r="C296" s="80"/>
      <c r="D296" s="90"/>
      <c r="E296" s="90"/>
      <c r="F296" s="90">
        <v>153005149.47817853</v>
      </c>
      <c r="G296" s="90">
        <v>89982850.841782153</v>
      </c>
      <c r="H296" s="90">
        <v>113640311.1448461</v>
      </c>
      <c r="I296" s="90">
        <v>117845190.75184563</v>
      </c>
      <c r="J296" s="90">
        <v>107937789.1739904</v>
      </c>
      <c r="K296" s="90">
        <v>106454541.46586366</v>
      </c>
      <c r="L296" s="90">
        <v>109689379.51716483</v>
      </c>
    </row>
    <row r="297" spans="1:12" x14ac:dyDescent="0.45">
      <c r="A297" t="str">
        <v>WX349</v>
      </c>
      <c r="B297" t="s">
        <v>301</v>
      </c>
      <c r="C297" s="80"/>
      <c r="D297" s="90"/>
      <c r="E297" s="90"/>
      <c r="F297" s="90">
        <v>31342963.278570425</v>
      </c>
      <c r="G297" s="90">
        <v>25834077.568293218</v>
      </c>
      <c r="H297" s="90">
        <v>34140871.733412512</v>
      </c>
      <c r="I297" s="90">
        <v>50417132.683848172</v>
      </c>
      <c r="J297" s="90">
        <v>51001527.343576156</v>
      </c>
      <c r="K297" s="90">
        <v>38897876.51890932</v>
      </c>
      <c r="L297" s="90">
        <v>23168592.478109531</v>
      </c>
    </row>
    <row r="298" spans="1:12" x14ac:dyDescent="0.45">
      <c r="A298" t="str">
        <v>WX351</v>
      </c>
      <c r="B298" t="s">
        <v>302</v>
      </c>
      <c r="C298" s="80"/>
      <c r="D298" s="90"/>
      <c r="E298" s="90"/>
      <c r="F298" s="90">
        <v>80262801.666577086</v>
      </c>
      <c r="G298" s="90">
        <v>53014000.823264852</v>
      </c>
      <c r="H298" s="90">
        <v>67989643.154133543</v>
      </c>
      <c r="I298" s="90">
        <v>71328301.466009378</v>
      </c>
      <c r="J298" s="90">
        <v>65465082.710408151</v>
      </c>
      <c r="K298" s="90">
        <v>64989983.600289062</v>
      </c>
      <c r="L298" s="90">
        <v>66889933.920405738</v>
      </c>
    </row>
    <row r="299" spans="1:12" x14ac:dyDescent="0.45">
      <c r="A299" t="str">
        <v>WX355</v>
      </c>
      <c r="B299" t="s">
        <v>303</v>
      </c>
      <c r="C299" s="80"/>
      <c r="D299" s="90"/>
      <c r="E299" s="90"/>
      <c r="F299" s="90">
        <v>21363744.714484755</v>
      </c>
      <c r="G299" s="90">
        <v>15416990.414490825</v>
      </c>
      <c r="H299" s="90">
        <v>14641764.646064838</v>
      </c>
      <c r="I299" s="90">
        <v>10109855.530921828</v>
      </c>
      <c r="J299" s="90">
        <v>9419903.3070054743</v>
      </c>
      <c r="K299" s="90">
        <v>7436038.2570831226</v>
      </c>
      <c r="L299" s="90">
        <v>0</v>
      </c>
    </row>
    <row r="300" spans="1:12" x14ac:dyDescent="0.45">
      <c r="A300" t="str">
        <v>WN354</v>
      </c>
      <c r="B300" t="s">
        <v>304</v>
      </c>
      <c r="C300" s="80"/>
      <c r="D300" s="90"/>
      <c r="E300" s="90"/>
      <c r="F300" s="90">
        <v>31585122.084295612</v>
      </c>
      <c r="G300" s="90">
        <v>24690475.958468977</v>
      </c>
      <c r="H300" s="90">
        <v>23448488.81446936</v>
      </c>
      <c r="I300" s="90">
        <v>16148827.30276214</v>
      </c>
      <c r="J300" s="90">
        <v>15035430.804142492</v>
      </c>
      <c r="K300" s="90">
        <v>11876740.426593706</v>
      </c>
      <c r="L300" s="90">
        <v>0</v>
      </c>
    </row>
    <row r="301" spans="1:12" x14ac:dyDescent="0.45">
      <c r="A301" t="str">
        <v>WN158</v>
      </c>
      <c r="B301" t="s">
        <v>305</v>
      </c>
      <c r="C301" s="80"/>
      <c r="D301" s="90"/>
      <c r="E301" s="90"/>
      <c r="F301" s="90">
        <v>980847.47372473171</v>
      </c>
      <c r="G301" s="90">
        <v>973871.6050904314</v>
      </c>
      <c r="H301" s="90">
        <v>850429.20377827738</v>
      </c>
      <c r="I301" s="90">
        <v>759743.31100531155</v>
      </c>
      <c r="J301" s="90">
        <v>587669.51600056665</v>
      </c>
      <c r="K301" s="90">
        <v>443474.58118158602</v>
      </c>
      <c r="L301" s="90">
        <v>334078.15586770629</v>
      </c>
    </row>
    <row r="302" spans="1:12" x14ac:dyDescent="0.45">
      <c r="A302" t="str">
        <v>WX135</v>
      </c>
      <c r="B302" t="s">
        <v>306</v>
      </c>
      <c r="C302" s="80"/>
      <c r="D302" s="90"/>
      <c r="E302" s="90"/>
      <c r="F302" s="90">
        <v>225385.90684158567</v>
      </c>
      <c r="G302" s="90">
        <v>121210.61844311467</v>
      </c>
      <c r="H302" s="90">
        <v>105885.48207851085</v>
      </c>
      <c r="I302" s="90">
        <v>92468.388937367883</v>
      </c>
      <c r="J302" s="90">
        <v>71135.25269349906</v>
      </c>
      <c r="K302" s="90">
        <v>53298.645466874863</v>
      </c>
      <c r="L302" s="90">
        <v>39608.523646170695</v>
      </c>
    </row>
    <row r="303" spans="1:12" x14ac:dyDescent="0.45">
      <c r="A303" t="str">
        <v>WN138</v>
      </c>
      <c r="B303" t="s">
        <v>307</v>
      </c>
      <c r="C303" s="80"/>
      <c r="D303" s="90"/>
      <c r="E303" s="90"/>
      <c r="F303" s="90">
        <v>546685.56677421625</v>
      </c>
      <c r="G303" s="90">
        <v>410112.69443804293</v>
      </c>
      <c r="H303" s="90">
        <v>299556.87431954511</v>
      </c>
      <c r="I303" s="90">
        <v>204003.87155106704</v>
      </c>
      <c r="J303" s="90">
        <v>130202.97741392517</v>
      </c>
      <c r="K303" s="90">
        <v>77605.304380013433</v>
      </c>
      <c r="L303" s="90">
        <v>58458.243080078966</v>
      </c>
    </row>
    <row r="304" spans="1:12" x14ac:dyDescent="0.45">
      <c r="A304" t="str">
        <v>WX134</v>
      </c>
      <c r="B304" t="s">
        <v>308</v>
      </c>
      <c r="C304" s="80"/>
      <c r="D304" s="90"/>
      <c r="E304" s="90"/>
      <c r="F304" s="90">
        <v>1494.413583073145</v>
      </c>
      <c r="G304" s="90">
        <v>1305.2486705333686</v>
      </c>
      <c r="H304" s="90">
        <v>984.97913970059415</v>
      </c>
      <c r="I304" s="90">
        <v>736.05996637065653</v>
      </c>
      <c r="J304" s="90">
        <v>499.27869552469463</v>
      </c>
      <c r="K304" s="90">
        <v>319.27038271317957</v>
      </c>
      <c r="L304" s="90">
        <v>432.43307133871923</v>
      </c>
    </row>
    <row r="305" spans="1:12" x14ac:dyDescent="0.45">
      <c r="A305" t="str">
        <v>SL121</v>
      </c>
      <c r="B305" t="s">
        <v>309</v>
      </c>
      <c r="C305" s="80"/>
      <c r="D305" s="90"/>
      <c r="E305" s="90"/>
      <c r="F305" s="90">
        <v>15030609.013940318</v>
      </c>
      <c r="G305" s="90">
        <v>4829456.2888404755</v>
      </c>
      <c r="H305" s="90">
        <v>3890131.2910762532</v>
      </c>
      <c r="I305" s="90">
        <v>2679221.3522114907</v>
      </c>
      <c r="J305" s="90">
        <v>1932695.2625626321</v>
      </c>
      <c r="K305" s="90">
        <v>1167778.0251058394</v>
      </c>
      <c r="L305" s="90">
        <v>326819.98184832808</v>
      </c>
    </row>
    <row r="306" spans="1:12" x14ac:dyDescent="0.45">
      <c r="A306" t="str">
        <v>SL122</v>
      </c>
      <c r="B306" t="s">
        <v>310</v>
      </c>
      <c r="C306" s="80"/>
      <c r="D306" s="90"/>
      <c r="E306" s="90"/>
      <c r="F306" s="90">
        <v>128077834.78391422</v>
      </c>
      <c r="G306" s="90">
        <v>54038603.386613451</v>
      </c>
      <c r="H306" s="90">
        <v>44696624.805400059</v>
      </c>
      <c r="I306" s="90">
        <v>30876114.810364522</v>
      </c>
      <c r="J306" s="90">
        <v>22382588.770174362</v>
      </c>
      <c r="K306" s="90">
        <v>13589598.521858389</v>
      </c>
      <c r="L306" s="90">
        <v>3817281.7315105014</v>
      </c>
    </row>
    <row r="307" spans="1:12" x14ac:dyDescent="0.45">
      <c r="A307" t="str">
        <v>SL150</v>
      </c>
      <c r="B307" t="s">
        <v>311</v>
      </c>
      <c r="C307" s="80"/>
      <c r="D307" s="90"/>
      <c r="E307" s="90"/>
      <c r="F307" s="90">
        <v>20112259.272816669</v>
      </c>
      <c r="G307" s="90">
        <v>7941692.4434405658</v>
      </c>
      <c r="H307" s="90">
        <v>6478669.4834648464</v>
      </c>
      <c r="I307" s="90">
        <v>4466340.4778038673</v>
      </c>
      <c r="J307" s="90">
        <v>3270159.3961388599</v>
      </c>
      <c r="K307" s="90">
        <v>1980546.8215541006</v>
      </c>
      <c r="L307" s="90">
        <v>559290.34646462277</v>
      </c>
    </row>
    <row r="308" spans="1:12" x14ac:dyDescent="0.45">
      <c r="A308" t="str">
        <v>SL151</v>
      </c>
      <c r="B308" t="s">
        <v>312</v>
      </c>
      <c r="C308" s="80"/>
      <c r="D308" s="90"/>
      <c r="E308" s="90"/>
      <c r="F308" s="90">
        <v>46403210.849286169</v>
      </c>
      <c r="G308" s="90">
        <v>14188228.127103237</v>
      </c>
      <c r="H308" s="90">
        <v>11751856.227014318</v>
      </c>
      <c r="I308" s="90">
        <v>8025316.8731595054</v>
      </c>
      <c r="J308" s="90">
        <v>5955519.7510029478</v>
      </c>
      <c r="K308" s="90">
        <v>3512185.3653191472</v>
      </c>
      <c r="L308" s="90">
        <v>992924.19194637774</v>
      </c>
    </row>
    <row r="309" spans="1:12" x14ac:dyDescent="0.45">
      <c r="A309" t="str">
        <v>SL111</v>
      </c>
      <c r="B309" t="s">
        <v>313</v>
      </c>
      <c r="C309" s="80"/>
      <c r="D309" s="90"/>
      <c r="E309" s="90"/>
      <c r="F309" s="90">
        <v>10697.636177213986</v>
      </c>
      <c r="G309" s="90">
        <v>3865.4917439965366</v>
      </c>
      <c r="H309" s="90">
        <v>2271.3613339082203</v>
      </c>
      <c r="I309" s="90">
        <v>1337.3791231538439</v>
      </c>
      <c r="J309" s="90">
        <v>849.45565305145578</v>
      </c>
      <c r="K309" s="90">
        <v>426.51393253794424</v>
      </c>
      <c r="L309" s="90">
        <v>283.37706922605128</v>
      </c>
    </row>
    <row r="310" spans="1:12" x14ac:dyDescent="0.45">
      <c r="A310" t="str">
        <v>SL112</v>
      </c>
      <c r="B310" t="s">
        <v>314</v>
      </c>
      <c r="C310" s="80"/>
      <c r="D310" s="90"/>
      <c r="E310" s="90"/>
      <c r="F310" s="90">
        <v>126111.21038350895</v>
      </c>
      <c r="G310" s="90">
        <v>36108.737975085191</v>
      </c>
      <c r="H310" s="90">
        <v>21233.736610277512</v>
      </c>
      <c r="I310" s="90">
        <v>12514.047863540529</v>
      </c>
      <c r="J310" s="90">
        <v>7948.8857047783222</v>
      </c>
      <c r="K310" s="90">
        <v>3994.6674666490194</v>
      </c>
      <c r="L310" s="90">
        <v>2740.4633800364027</v>
      </c>
    </row>
    <row r="311" spans="1:12" x14ac:dyDescent="0.45">
      <c r="A311" t="str">
        <v>SL140</v>
      </c>
      <c r="B311" t="s">
        <v>315</v>
      </c>
      <c r="C311" s="80"/>
      <c r="D311" s="90"/>
      <c r="E311" s="90"/>
      <c r="F311" s="90">
        <v>6542.9355403909722</v>
      </c>
      <c r="G311" s="90">
        <v>2626.0287270634881</v>
      </c>
      <c r="H311" s="90">
        <v>1544.142732610391</v>
      </c>
      <c r="I311" s="90">
        <v>909.91934912829845</v>
      </c>
      <c r="J311" s="90">
        <v>577.94293220449811</v>
      </c>
      <c r="K311" s="90">
        <v>290.37455044453475</v>
      </c>
      <c r="L311" s="90">
        <v>197.23042617223032</v>
      </c>
    </row>
    <row r="312" spans="1:12" x14ac:dyDescent="0.45">
      <c r="A312" t="str">
        <v>SL144</v>
      </c>
      <c r="B312" t="s">
        <v>316</v>
      </c>
      <c r="C312" s="80"/>
      <c r="D312" s="90"/>
      <c r="E312" s="90"/>
      <c r="F312" s="90">
        <v>11910.390225957834</v>
      </c>
      <c r="G312" s="90">
        <v>3807.8913716002148</v>
      </c>
      <c r="H312" s="90">
        <v>2239.2989503626486</v>
      </c>
      <c r="I312" s="90">
        <v>1320.3603286647597</v>
      </c>
      <c r="J312" s="90">
        <v>838.8502478662374</v>
      </c>
      <c r="K312" s="90">
        <v>421.64982143105607</v>
      </c>
      <c r="L312" s="90">
        <v>291.80351215847497</v>
      </c>
    </row>
  </sheetData>
  <mergeCells count="3">
    <mergeCell ref="S97:AG97"/>
    <mergeCell ref="C97:Q97"/>
    <mergeCell ref="C143:L143"/>
  </mergeCells>
  <pageMargins left="0.7" right="0.7" top="0.75" bottom="0.75" header="0.3" footer="0.3"/>
  <pageSetup paperSize="9" orientation="portrait" r:id="rId1"/>
  <headerFooter>
    <oddHeader>&amp;L&amp;"Calibri"&amp;12&amp;K000000 Classification: CONFIDENTIAL&amp;1#_x000D_</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5</vt:i4>
      </vt:variant>
    </vt:vector>
  </HeadingPairs>
  <TitlesOfParts>
    <vt:vector size="17" baseType="lpstr">
      <vt:lpstr>Contents</vt:lpstr>
      <vt:lpstr>Style Guideline</vt:lpstr>
      <vt:lpstr>Outputs</vt:lpstr>
      <vt:lpstr>Total costs and revenues</vt:lpstr>
      <vt:lpstr>Total costs and revenues 2026</vt:lpstr>
      <vt:lpstr>Total costs and revenues 2021</vt:lpstr>
      <vt:lpstr>Copper inputs --&gt;</vt:lpstr>
      <vt:lpstr>Copper Weighted Price</vt:lpstr>
      <vt:lpstr>Top Down inputs</vt:lpstr>
      <vt:lpstr>Re-scaled copper costs</vt:lpstr>
      <vt:lpstr>Additional &gt;&gt;</vt:lpstr>
      <vt:lpstr>Fibre Premium Calculation</vt:lpstr>
      <vt:lpstr>'Copper Weighted Price'!CVE_FTTC</vt:lpstr>
      <vt:lpstr>'Copper Weighted Price'!CVE_Legacy</vt:lpstr>
      <vt:lpstr>'Copper Weighted Price'!Fcast_CPI</vt:lpstr>
      <vt:lpstr>TD_service_codes</vt:lpstr>
      <vt:lpstr>'Copper Weighted Price'!WLA_Opex_Efficiency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2026-03-13T10:30:19Z</dcterms:created>
  <dcterms:modified xsi:type="dcterms:W3CDTF">2026-03-13T10:30:21Z</dcterms:modified>
  <cp:category/>
  <cp:contentStatus/>
</cp:coreProperties>
</file>