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66925"/>
  <xr:revisionPtr revIDLastSave="0" documentId="13_ncr:1_{2EC89F82-9F96-4BC4-94CF-0877F279909E}" xr6:coauthVersionLast="47" xr6:coauthVersionMax="47" xr10:uidLastSave="{00000000-0000-0000-0000-000000000000}"/>
  <bookViews>
    <workbookView xWindow="-98" yWindow="-98" windowWidth="21795" windowHeight="13875" tabRatio="792" xr2:uid="{33C3CDE3-72EF-42E9-8456-705A41ACB3B3}"/>
  </bookViews>
  <sheets>
    <sheet name="Contents" sheetId="108" r:id="rId1"/>
    <sheet name="Style Guidelines" sheetId="107" r:id="rId2"/>
    <sheet name="Model Map" sheetId="103" r:id="rId3"/>
    <sheet name="Inputs -&gt;" sheetId="46" r:id="rId4"/>
    <sheet name="Input data" sheetId="94" r:id="rId5"/>
    <sheet name="Parameters and Assumptions" sheetId="53" r:id="rId6"/>
    <sheet name="Calculations -&gt;" sheetId="49" r:id="rId7"/>
    <sheet name="Network Adjs" sheetId="57" r:id="rId8"/>
    <sheet name="Duct and Chambers&gt;&gt;&gt;" sheetId="100" r:id="rId9"/>
    <sheet name="D&amp;C Vols" sheetId="59" r:id="rId10"/>
    <sheet name="LDD forecasts" sheetId="65" r:id="rId11"/>
    <sheet name="D&amp;C Cost Forecasts" sheetId="69" r:id="rId12"/>
    <sheet name="D&amp;C Forecast UCs, Charges &amp; Xs" sheetId="70" r:id="rId13"/>
    <sheet name="Poles&gt;&gt;&gt;" sheetId="101" r:id="rId14"/>
    <sheet name="Pole volume forecasts" sheetId="81" r:id="rId15"/>
    <sheet name="Poles main COW Forecasts" sheetId="82" r:id="rId16"/>
    <sheet name="Poles costs forecasts" sheetId="83" r:id="rId17"/>
    <sheet name="Poles Fcast UCs, Charges &amp; Xs" sheetId="84" r:id="rId18"/>
    <sheet name="Outputs -&gt;" sheetId="102" r:id="rId19"/>
    <sheet name="Model outputs" sheetId="91" r:id="rId20"/>
  </sheets>
  <definedNames>
    <definedName name="asset_inflation" localSheetId="0">#REF!</definedName>
    <definedName name="asset_inflation">'Parameters and Assumptions'!$D$38:$L$38</definedName>
    <definedName name="CPI" localSheetId="0">#REF!</definedName>
    <definedName name="CPI">'Parameters and Assumptions'!$D$41:$L$41</definedName>
    <definedName name="duct_asset_life" localSheetId="0">#REF!</definedName>
    <definedName name="duct_asset_life">'Parameters and Assumptions'!$D$45</definedName>
    <definedName name="Duct_life">#REF!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"06/23/2025 15:35:14"</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unction_box_discount">#REF!</definedName>
    <definedName name="Leadin_discount" localSheetId="0">#REF!</definedName>
    <definedName name="Leadin_discount">'Parameters and Assumptions'!$D$12:$L$12</definedName>
    <definedName name="Manifold_uplift_ratio">'Parameters and Assumptions'!$D$30</definedName>
    <definedName name="Million" localSheetId="0">#REF!</definedName>
    <definedName name="Million">'Parameters and Assumptions'!$D$6</definedName>
    <definedName name="months_in_year">12</definedName>
    <definedName name="Opex_CVE" localSheetId="0">#REF!</definedName>
    <definedName name="Opex_CVE">'Parameters and Assumptions'!$D$9</definedName>
    <definedName name="Opex_eff" localSheetId="0">#REF!</definedName>
    <definedName name="Opex_eff">'Parameters and Assumptions'!$D$10</definedName>
    <definedName name="opex_inflation" localSheetId="0">#REF!</definedName>
    <definedName name="opex_inflation">'Parameters and Assumptions'!$D$40:$L$40</definedName>
    <definedName name="pole_asset_life" localSheetId="0">#REF!</definedName>
    <definedName name="pole_asset_life">'Parameters and Assumptions'!$D$46</definedName>
    <definedName name="Q8a_pole_volume">#REF!</definedName>
    <definedName name="Q8a_pole_year">#REF!</definedName>
    <definedName name="Q8c_pole_indexation">#REF!</definedName>
    <definedName name="Q8c_pole_year">#REF!</definedName>
    <definedName name="RPI">'Parameters and Assumptions'!$D$38:$G$38</definedName>
    <definedName name="selected_year" localSheetId="0">#REF!</definedName>
    <definedName name="selected_year">'Input data'!$F$1</definedName>
    <definedName name="Single_bore_discount">#REF!</definedName>
    <definedName name="Thousand" localSheetId="0">#REF!</definedName>
    <definedName name="Thousand">'Parameters and Assumptions'!$D$7</definedName>
    <definedName name="Workbook.Objective">Contents!$B$6</definedName>
    <definedName name="Workbook.Title">Contents!$B$5</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2" i="65" l="1"/>
  <c r="G82" i="65"/>
  <c r="H82" i="65"/>
  <c r="F74" i="65"/>
  <c r="G74" i="65"/>
  <c r="H74" i="65"/>
  <c r="F64" i="65"/>
  <c r="G64" i="65"/>
  <c r="H64" i="65"/>
  <c r="F56" i="65"/>
  <c r="G56" i="65"/>
  <c r="H56" i="65"/>
  <c r="F7" i="57"/>
  <c r="G7" i="57"/>
  <c r="H7" i="57"/>
  <c r="I7" i="57"/>
  <c r="J7" i="57"/>
  <c r="K7" i="57"/>
  <c r="L7" i="57"/>
  <c r="M7" i="57"/>
  <c r="E7" i="57"/>
  <c r="F57" i="53"/>
  <c r="E57" i="53"/>
  <c r="F54" i="53"/>
  <c r="G54" i="53"/>
  <c r="G57" i="53" s="1"/>
  <c r="H54" i="53" s="1"/>
  <c r="H57" i="53" s="1"/>
  <c r="I54" i="53" s="1"/>
  <c r="I57" i="53" s="1"/>
  <c r="J54" i="53" s="1"/>
  <c r="J57" i="53" s="1"/>
  <c r="K54" i="53" s="1"/>
  <c r="K57" i="53" s="1"/>
  <c r="L54" i="53" s="1"/>
  <c r="L57" i="53" s="1"/>
  <c r="E54" i="53"/>
  <c r="G103" i="94"/>
  <c r="F103" i="94"/>
  <c r="F108" i="94" s="1"/>
  <c r="G108" i="94"/>
  <c r="E108" i="94"/>
  <c r="G97" i="94"/>
  <c r="F97" i="94"/>
  <c r="F101" i="94"/>
  <c r="G101" i="94"/>
  <c r="E101" i="94"/>
  <c r="G90" i="94"/>
  <c r="F90" i="94"/>
  <c r="F95" i="94"/>
  <c r="G95" i="94"/>
  <c r="E95" i="94"/>
  <c r="G84" i="94"/>
  <c r="F84" i="94"/>
  <c r="F88" i="94"/>
  <c r="G88" i="94"/>
  <c r="E88" i="94"/>
  <c r="E82" i="94"/>
  <c r="E75" i="94"/>
  <c r="F71" i="94"/>
  <c r="F75" i="94" s="1"/>
  <c r="G71" i="94" s="1"/>
  <c r="G75" i="94" s="1"/>
  <c r="E69" i="94"/>
  <c r="F64" i="94"/>
  <c r="F69" i="94" s="1"/>
  <c r="G64" i="94" s="1"/>
  <c r="G69" i="94" s="1"/>
  <c r="E62" i="94"/>
  <c r="F58" i="94"/>
  <c r="F62" i="94" s="1"/>
  <c r="G58" i="94" s="1"/>
  <c r="G62" i="94" s="1"/>
  <c r="E15" i="83"/>
  <c r="F15" i="83"/>
  <c r="D45" i="81"/>
  <c r="E9" i="83"/>
  <c r="F9" i="83"/>
  <c r="D21" i="81"/>
  <c r="D22" i="81"/>
  <c r="D23" i="81"/>
  <c r="D24" i="81"/>
  <c r="D25" i="81"/>
  <c r="E10" i="69"/>
  <c r="F10" i="69"/>
  <c r="E16" i="69"/>
  <c r="F16" i="69"/>
  <c r="G91" i="65"/>
  <c r="H91" i="65"/>
  <c r="G99" i="65"/>
  <c r="H99" i="65"/>
  <c r="G18" i="65"/>
  <c r="H18" i="65"/>
  <c r="G26" i="65"/>
  <c r="G34" i="65"/>
  <c r="H34" i="65"/>
  <c r="G41" i="65"/>
  <c r="H41" i="65"/>
  <c r="G44" i="65"/>
  <c r="H44" i="65"/>
  <c r="G52" i="65"/>
  <c r="H52" i="65"/>
  <c r="G59" i="65"/>
  <c r="H59" i="65"/>
  <c r="G62" i="65"/>
  <c r="H62" i="65"/>
  <c r="E7" i="59"/>
  <c r="F7" i="59"/>
  <c r="E8" i="59"/>
  <c r="F8" i="59"/>
  <c r="E9" i="59"/>
  <c r="F9" i="59"/>
  <c r="E10" i="59"/>
  <c r="F10" i="59"/>
  <c r="E11" i="59"/>
  <c r="F11" i="59"/>
  <c r="F99" i="65"/>
  <c r="F91" i="65"/>
  <c r="F88" i="65"/>
  <c r="E45" i="81" l="1"/>
  <c r="F45" i="81" s="1"/>
  <c r="G45" i="81" s="1"/>
  <c r="H45" i="81" s="1"/>
  <c r="E24" i="81"/>
  <c r="F24" i="81" s="1"/>
  <c r="G24" i="81" s="1"/>
  <c r="H24" i="81" s="1"/>
  <c r="E23" i="81"/>
  <c r="F23" i="81" s="1"/>
  <c r="G23" i="81" s="1"/>
  <c r="H23" i="81" s="1"/>
  <c r="I23" i="81" s="1"/>
  <c r="E22" i="81"/>
  <c r="F22" i="81" s="1"/>
  <c r="G22" i="81" s="1"/>
  <c r="E25" i="81"/>
  <c r="F25" i="81" s="1"/>
  <c r="G25" i="81" s="1"/>
  <c r="E21" i="81"/>
  <c r="F21" i="81" s="1"/>
  <c r="G21" i="81" s="1"/>
  <c r="H21" i="81" s="1"/>
  <c r="I21" i="81" s="1"/>
  <c r="J21" i="81" s="1"/>
  <c r="E45" i="83"/>
  <c r="F45" i="83" s="1"/>
  <c r="G132" i="94"/>
  <c r="F132" i="94"/>
  <c r="F26" i="81" l="1"/>
  <c r="F27" i="81" s="1"/>
  <c r="G27" i="81" s="1"/>
  <c r="H27" i="81" s="1"/>
  <c r="I27" i="81" s="1"/>
  <c r="J27" i="81" s="1"/>
  <c r="K27" i="81" s="1"/>
  <c r="L27" i="81" s="1"/>
  <c r="E26" i="81"/>
  <c r="E27" i="81" s="1"/>
  <c r="I45" i="81"/>
  <c r="J23" i="81"/>
  <c r="H22" i="81"/>
  <c r="I24" i="81"/>
  <c r="G26" i="81"/>
  <c r="H25" i="81"/>
  <c r="K21" i="81"/>
  <c r="D17" i="91"/>
  <c r="E17" i="91"/>
  <c r="D18" i="91"/>
  <c r="E18" i="91"/>
  <c r="D19" i="91"/>
  <c r="E19" i="91"/>
  <c r="D20" i="91"/>
  <c r="E20" i="91"/>
  <c r="F18" i="91"/>
  <c r="F19" i="91"/>
  <c r="F20" i="91"/>
  <c r="F17" i="91"/>
  <c r="E7" i="91"/>
  <c r="D8" i="91"/>
  <c r="E8" i="91"/>
  <c r="D9" i="91"/>
  <c r="E9" i="91"/>
  <c r="D10" i="91"/>
  <c r="E10" i="91"/>
  <c r="F8" i="91"/>
  <c r="F9" i="91"/>
  <c r="F10" i="91"/>
  <c r="F7" i="91"/>
  <c r="D14" i="91"/>
  <c r="E14" i="91"/>
  <c r="F14" i="91"/>
  <c r="D13" i="91"/>
  <c r="E13" i="91"/>
  <c r="F13" i="91"/>
  <c r="J45" i="81" l="1"/>
  <c r="K23" i="81"/>
  <c r="I25" i="81"/>
  <c r="J24" i="81"/>
  <c r="I22" i="81"/>
  <c r="H26" i="81"/>
  <c r="L21" i="81"/>
  <c r="C6" i="94"/>
  <c r="D7" i="91" s="1"/>
  <c r="K45" i="81" l="1"/>
  <c r="L23" i="81"/>
  <c r="K24" i="81"/>
  <c r="J25" i="81"/>
  <c r="J22" i="81"/>
  <c r="I26" i="81"/>
  <c r="K19" i="91"/>
  <c r="L19" i="91"/>
  <c r="M19" i="91"/>
  <c r="N19" i="91"/>
  <c r="O19" i="91"/>
  <c r="K20" i="91"/>
  <c r="L20" i="91"/>
  <c r="M20" i="91"/>
  <c r="N20" i="91"/>
  <c r="O20" i="91"/>
  <c r="L45" i="81" l="1"/>
  <c r="K25" i="81"/>
  <c r="L24" i="81"/>
  <c r="K22" i="81"/>
  <c r="J26" i="81"/>
  <c r="P20" i="91"/>
  <c r="P19" i="91"/>
  <c r="L25" i="81" l="1"/>
  <c r="L22" i="81"/>
  <c r="K26" i="81"/>
  <c r="L27" i="83"/>
  <c r="K48" i="70"/>
  <c r="L48" i="70"/>
  <c r="J48" i="70"/>
  <c r="I48" i="70"/>
  <c r="H48" i="70"/>
  <c r="G48" i="70"/>
  <c r="F48" i="70"/>
  <c r="E48" i="70"/>
  <c r="D48" i="70"/>
  <c r="H33" i="70"/>
  <c r="L26" i="81" l="1"/>
  <c r="E33" i="70"/>
  <c r="L33" i="70"/>
  <c r="G33" i="70"/>
  <c r="F33" i="70"/>
  <c r="K33" i="70"/>
  <c r="J33" i="70"/>
  <c r="D33" i="70"/>
  <c r="I33" i="70"/>
  <c r="L10" i="84" l="1"/>
  <c r="K10" i="84"/>
  <c r="J10" i="84"/>
  <c r="I10" i="84"/>
  <c r="H10" i="84"/>
  <c r="G10" i="84"/>
  <c r="F10" i="84"/>
  <c r="E10" i="84"/>
  <c r="L37" i="70" l="1"/>
  <c r="D37" i="70"/>
  <c r="I37" i="70"/>
  <c r="K37" i="70"/>
  <c r="F37" i="70"/>
  <c r="G37" i="70"/>
  <c r="E37" i="70"/>
  <c r="H37" i="70"/>
  <c r="J37" i="70"/>
  <c r="D38" i="70"/>
  <c r="L38" i="70"/>
  <c r="E38" i="70"/>
  <c r="F38" i="70"/>
  <c r="G38" i="70"/>
  <c r="H38" i="70"/>
  <c r="I38" i="70"/>
  <c r="J38" i="70"/>
  <c r="K38" i="70"/>
  <c r="D18" i="82"/>
  <c r="E18" i="82"/>
  <c r="L18" i="82"/>
  <c r="H18" i="82"/>
  <c r="J18" i="82"/>
  <c r="K18" i="82"/>
  <c r="F18" i="82"/>
  <c r="G18" i="82"/>
  <c r="I18" i="82"/>
  <c r="K127" i="70"/>
  <c r="L127" i="70"/>
  <c r="E3" i="70"/>
  <c r="F3" i="70"/>
  <c r="G3" i="70"/>
  <c r="H3" i="70"/>
  <c r="I3" i="70"/>
  <c r="J3" i="70"/>
  <c r="K3" i="70"/>
  <c r="L3" i="70"/>
  <c r="M70" i="65"/>
  <c r="N70" i="65"/>
  <c r="M77" i="65"/>
  <c r="N77" i="65"/>
  <c r="M80" i="65"/>
  <c r="M128" i="65" s="1"/>
  <c r="N80" i="65"/>
  <c r="N128" i="65" s="1"/>
  <c r="K30" i="70"/>
  <c r="L30" i="70"/>
  <c r="D99" i="81" l="1"/>
  <c r="K99" i="81" s="1"/>
  <c r="D98" i="81"/>
  <c r="B14" i="84"/>
  <c r="C29" i="84" s="1"/>
  <c r="C35" i="84" s="1"/>
  <c r="D13" i="84"/>
  <c r="E13" i="84" s="1"/>
  <c r="F13" i="84" s="1"/>
  <c r="G13" i="84" s="1"/>
  <c r="H13" i="84" s="1"/>
  <c r="I13" i="84" s="1"/>
  <c r="J13" i="84" s="1"/>
  <c r="K13" i="84" s="1"/>
  <c r="L13" i="84" s="1"/>
  <c r="B13" i="84"/>
  <c r="C28" i="84" s="1"/>
  <c r="C34" i="84" s="1"/>
  <c r="D12" i="84"/>
  <c r="E12" i="84" s="1"/>
  <c r="F12" i="84" s="1"/>
  <c r="G12" i="84" s="1"/>
  <c r="H12" i="84" s="1"/>
  <c r="I12" i="84" s="1"/>
  <c r="J12" i="84" s="1"/>
  <c r="K12" i="84" s="1"/>
  <c r="L12" i="84" s="1"/>
  <c r="B12" i="84"/>
  <c r="C27" i="84" s="1"/>
  <c r="C33" i="84" s="1"/>
  <c r="B17" i="83"/>
  <c r="A48" i="83" s="1"/>
  <c r="B53" i="83" s="1"/>
  <c r="B6" i="84" s="1"/>
  <c r="B16" i="83"/>
  <c r="A46" i="83" s="1"/>
  <c r="B15" i="83"/>
  <c r="A45" i="83" s="1"/>
  <c r="B14" i="83"/>
  <c r="A44" i="83" s="1"/>
  <c r="B10" i="83"/>
  <c r="A39" i="83" s="1"/>
  <c r="B52" i="83" s="1"/>
  <c r="B5" i="84" s="1"/>
  <c r="B9" i="83"/>
  <c r="A37" i="83" s="1"/>
  <c r="B8" i="83"/>
  <c r="A36" i="83" s="1"/>
  <c r="B7" i="83"/>
  <c r="A35" i="83" s="1"/>
  <c r="B6" i="83"/>
  <c r="A34" i="83" s="1"/>
  <c r="B5" i="83"/>
  <c r="A33" i="83" s="1"/>
  <c r="A45" i="81"/>
  <c r="A82" i="81"/>
  <c r="A79" i="81"/>
  <c r="A76" i="81"/>
  <c r="A73" i="81"/>
  <c r="A70" i="81"/>
  <c r="B34" i="69"/>
  <c r="B33" i="69"/>
  <c r="B32" i="69"/>
  <c r="B31" i="69"/>
  <c r="B30" i="69"/>
  <c r="B29" i="69"/>
  <c r="B55" i="65"/>
  <c r="B73" i="65" s="1"/>
  <c r="B54" i="65"/>
  <c r="B72" i="65" s="1"/>
  <c r="B53" i="65"/>
  <c r="B71" i="65" s="1"/>
  <c r="B52" i="65"/>
  <c r="B70" i="65" s="1"/>
  <c r="A52" i="65"/>
  <c r="B51" i="65"/>
  <c r="B69" i="65" s="1"/>
  <c r="A51" i="65"/>
  <c r="B45" i="65"/>
  <c r="B44" i="65"/>
  <c r="B43" i="65"/>
  <c r="B42" i="65"/>
  <c r="B41" i="65"/>
  <c r="A41" i="65"/>
  <c r="B40" i="65"/>
  <c r="A40" i="65"/>
  <c r="B37" i="65"/>
  <c r="B36" i="65"/>
  <c r="B35" i="65"/>
  <c r="B34" i="65"/>
  <c r="A34" i="65"/>
  <c r="B33" i="65"/>
  <c r="A33" i="65"/>
  <c r="B25" i="65"/>
  <c r="B24" i="65"/>
  <c r="B23" i="65"/>
  <c r="A23" i="65"/>
  <c r="B22" i="65"/>
  <c r="B19" i="65"/>
  <c r="B18" i="65"/>
  <c r="B17" i="65"/>
  <c r="B16" i="65"/>
  <c r="D16" i="69"/>
  <c r="D94" i="69" s="1"/>
  <c r="D10" i="69"/>
  <c r="D76" i="69" s="1"/>
  <c r="B41" i="91"/>
  <c r="D16" i="84"/>
  <c r="E16" i="84"/>
  <c r="F16" i="84"/>
  <c r="G16" i="84"/>
  <c r="B17" i="84"/>
  <c r="C70" i="84" s="1"/>
  <c r="C78" i="84" s="1"/>
  <c r="C85" i="84" s="1"/>
  <c r="C94" i="84" s="1"/>
  <c r="B18" i="84"/>
  <c r="C71" i="84" s="1"/>
  <c r="C79" i="84" s="1"/>
  <c r="C86" i="84" s="1"/>
  <c r="C95" i="84" s="1"/>
  <c r="B19" i="84"/>
  <c r="B20" i="84"/>
  <c r="C73" i="84" s="1"/>
  <c r="E84" i="84"/>
  <c r="E99" i="84" s="1"/>
  <c r="F84" i="84"/>
  <c r="F99" i="84" s="1"/>
  <c r="G84" i="84"/>
  <c r="G99" i="84" s="1"/>
  <c r="J99" i="84"/>
  <c r="C66" i="84"/>
  <c r="C67" i="84"/>
  <c r="A5" i="83"/>
  <c r="A13" i="83"/>
  <c r="A32" i="81"/>
  <c r="A33" i="81"/>
  <c r="A34" i="81"/>
  <c r="A35" i="81"/>
  <c r="A36" i="81"/>
  <c r="B73" i="81"/>
  <c r="B76" i="81" s="1"/>
  <c r="B79" i="81" s="1"/>
  <c r="B82" i="81" s="1"/>
  <c r="B74" i="81"/>
  <c r="B77" i="81" s="1"/>
  <c r="B80" i="81" s="1"/>
  <c r="B83" i="81" s="1"/>
  <c r="B99" i="81" s="1"/>
  <c r="B102" i="81" s="1"/>
  <c r="C43" i="84" s="1"/>
  <c r="C23" i="70"/>
  <c r="D127" i="70"/>
  <c r="E127" i="70"/>
  <c r="F127" i="70"/>
  <c r="G127" i="70"/>
  <c r="H127" i="70"/>
  <c r="I127" i="70"/>
  <c r="J127" i="70"/>
  <c r="B6" i="69"/>
  <c r="A64" i="69" s="1"/>
  <c r="B7" i="69"/>
  <c r="A61" i="69" s="1"/>
  <c r="B8" i="69"/>
  <c r="A68" i="69" s="1"/>
  <c r="B9" i="69"/>
  <c r="A72" i="69" s="1"/>
  <c r="B10" i="69"/>
  <c r="A76" i="69" s="1"/>
  <c r="B11" i="69"/>
  <c r="A80" i="69" s="1"/>
  <c r="C132" i="69" s="1"/>
  <c r="B14" i="69"/>
  <c r="A86" i="69" s="1"/>
  <c r="B15" i="69"/>
  <c r="A90" i="69" s="1"/>
  <c r="B16" i="69"/>
  <c r="A94" i="69" s="1"/>
  <c r="B17" i="69"/>
  <c r="A98" i="69" s="1"/>
  <c r="B18" i="69"/>
  <c r="B61" i="69"/>
  <c r="B62" i="69"/>
  <c r="B65" i="69"/>
  <c r="B66" i="69"/>
  <c r="B69" i="69"/>
  <c r="B70" i="69"/>
  <c r="B73" i="69"/>
  <c r="B74" i="69"/>
  <c r="B77" i="69"/>
  <c r="B78" i="69"/>
  <c r="B81" i="69"/>
  <c r="B82" i="69"/>
  <c r="B87" i="69"/>
  <c r="B88" i="69"/>
  <c r="B91" i="69"/>
  <c r="B92" i="69"/>
  <c r="B95" i="69"/>
  <c r="B96" i="69"/>
  <c r="B99" i="69"/>
  <c r="B100" i="69"/>
  <c r="B110" i="69"/>
  <c r="C118" i="69"/>
  <c r="C121" i="69"/>
  <c r="C129" i="69"/>
  <c r="B132" i="69"/>
  <c r="C140" i="69"/>
  <c r="C143" i="69"/>
  <c r="B166" i="69" s="1"/>
  <c r="B14" i="70" s="1"/>
  <c r="C151" i="69"/>
  <c r="C163" i="69"/>
  <c r="C11" i="70" s="1"/>
  <c r="C172" i="69"/>
  <c r="C20" i="70" s="1"/>
  <c r="E13" i="65"/>
  <c r="A58" i="65"/>
  <c r="B58" i="65"/>
  <c r="B76" i="65" s="1"/>
  <c r="A59" i="65"/>
  <c r="B59" i="65"/>
  <c r="B77" i="65" s="1"/>
  <c r="A60" i="65"/>
  <c r="B60" i="65"/>
  <c r="B78" i="65" s="1"/>
  <c r="A61" i="65"/>
  <c r="B61" i="65"/>
  <c r="B79" i="65" s="1"/>
  <c r="A62" i="65"/>
  <c r="B62" i="65"/>
  <c r="B80" i="65" s="1"/>
  <c r="B63" i="65"/>
  <c r="B81" i="65" s="1"/>
  <c r="G70" i="65"/>
  <c r="H70" i="65"/>
  <c r="I70" i="65"/>
  <c r="J70" i="65"/>
  <c r="K70" i="65"/>
  <c r="L70" i="65"/>
  <c r="G77" i="65"/>
  <c r="H77" i="65"/>
  <c r="I77" i="65"/>
  <c r="J77" i="65"/>
  <c r="K77" i="65"/>
  <c r="L77" i="65"/>
  <c r="G80" i="65"/>
  <c r="G128" i="65" s="1"/>
  <c r="I80" i="65"/>
  <c r="I128" i="65" s="1"/>
  <c r="J80" i="65"/>
  <c r="J128" i="65" s="1"/>
  <c r="K80" i="65"/>
  <c r="K128" i="65" s="1"/>
  <c r="L80" i="65"/>
  <c r="L128" i="65" s="1"/>
  <c r="B5" i="59"/>
  <c r="A6" i="59"/>
  <c r="A14" i="59" s="1"/>
  <c r="A47" i="69" s="1"/>
  <c r="B6" i="59"/>
  <c r="A7" i="59"/>
  <c r="B7" i="59"/>
  <c r="A8" i="59"/>
  <c r="B8" i="59"/>
  <c r="A9" i="59"/>
  <c r="B9" i="59"/>
  <c r="A10" i="59"/>
  <c r="B10" i="59"/>
  <c r="A11" i="59"/>
  <c r="B11" i="59"/>
  <c r="A36" i="59"/>
  <c r="A44" i="59" s="1"/>
  <c r="A53" i="59" s="1"/>
  <c r="A15" i="65"/>
  <c r="B15" i="65"/>
  <c r="A16" i="65"/>
  <c r="B26" i="65"/>
  <c r="B27" i="65"/>
  <c r="C28" i="69"/>
  <c r="B13" i="83"/>
  <c r="A43" i="83" s="1"/>
  <c r="F9" i="65" l="1"/>
  <c r="D84" i="84"/>
  <c r="D99" i="84" s="1"/>
  <c r="L99" i="81"/>
  <c r="K98" i="81"/>
  <c r="L98" i="81"/>
  <c r="H99" i="84"/>
  <c r="I99" i="84"/>
  <c r="A18" i="59"/>
  <c r="D27" i="53"/>
  <c r="C103" i="84"/>
  <c r="B20" i="91" s="1"/>
  <c r="C81" i="84"/>
  <c r="C88" i="84" s="1"/>
  <c r="C97" i="84" s="1"/>
  <c r="A19" i="59"/>
  <c r="A29" i="59"/>
  <c r="C28" i="70" s="1"/>
  <c r="A28" i="59"/>
  <c r="C27" i="70" s="1"/>
  <c r="C72" i="84"/>
  <c r="C80" i="84" s="1"/>
  <c r="C87" i="84" s="1"/>
  <c r="C96" i="84" s="1"/>
  <c r="A27" i="59"/>
  <c r="C26" i="70" s="1"/>
  <c r="A26" i="59"/>
  <c r="C25" i="70" s="1"/>
  <c r="A17" i="59"/>
  <c r="A15" i="59"/>
  <c r="A25" i="59"/>
  <c r="C24" i="70" s="1"/>
  <c r="C110" i="69"/>
  <c r="B157" i="69" s="1"/>
  <c r="B5" i="70" s="1"/>
  <c r="A16" i="59"/>
  <c r="C101" i="84"/>
  <c r="D14" i="84"/>
  <c r="E14" i="84" s="1"/>
  <c r="F14" i="84" s="1"/>
  <c r="G14" i="84" s="1"/>
  <c r="H14" i="84" s="1"/>
  <c r="I14" i="84" s="1"/>
  <c r="J14" i="84" s="1"/>
  <c r="K14" i="84" s="1"/>
  <c r="L14" i="84" s="1"/>
  <c r="C161" i="69"/>
  <c r="C9" i="70" s="1"/>
  <c r="C37" i="70" s="1"/>
  <c r="C170" i="69"/>
  <c r="C18" i="70" s="1"/>
  <c r="B41" i="69"/>
  <c r="C149" i="69"/>
  <c r="C127" i="69"/>
  <c r="C138" i="69"/>
  <c r="C116" i="69"/>
  <c r="H30" i="70"/>
  <c r="G30" i="70"/>
  <c r="F99" i="81"/>
  <c r="G99" i="81"/>
  <c r="H99" i="81"/>
  <c r="J99" i="81"/>
  <c r="E99" i="81"/>
  <c r="I99" i="81"/>
  <c r="F30" i="70"/>
  <c r="B40" i="69"/>
  <c r="C160" i="69"/>
  <c r="C8" i="70" s="1"/>
  <c r="C36" i="70" s="1"/>
  <c r="C169" i="69"/>
  <c r="C17" i="70" s="1"/>
  <c r="C148" i="69"/>
  <c r="C126" i="69"/>
  <c r="C137" i="69"/>
  <c r="C115" i="69"/>
  <c r="C158" i="69"/>
  <c r="C6" i="70" s="1"/>
  <c r="C34" i="70" s="1"/>
  <c r="C167" i="69"/>
  <c r="C15" i="70" s="1"/>
  <c r="C146" i="69"/>
  <c r="C124" i="69"/>
  <c r="C135" i="69"/>
  <c r="B38" i="69"/>
  <c r="C113" i="69"/>
  <c r="A25" i="83"/>
  <c r="A26" i="69"/>
  <c r="E30" i="70"/>
  <c r="G98" i="81"/>
  <c r="H98" i="81"/>
  <c r="I98" i="81"/>
  <c r="E98" i="81"/>
  <c r="F98" i="81"/>
  <c r="J98" i="81"/>
  <c r="D10" i="84"/>
  <c r="D30" i="70"/>
  <c r="C162" i="69"/>
  <c r="C10" i="70" s="1"/>
  <c r="C38" i="70" s="1"/>
  <c r="C171" i="69"/>
  <c r="C19" i="70" s="1"/>
  <c r="C150" i="69"/>
  <c r="C128" i="69"/>
  <c r="C139" i="69"/>
  <c r="B42" i="69"/>
  <c r="C117" i="69"/>
  <c r="A24" i="83"/>
  <c r="A6" i="82"/>
  <c r="A25" i="69"/>
  <c r="A7" i="65"/>
  <c r="J30" i="70"/>
  <c r="B39" i="69"/>
  <c r="C159" i="69"/>
  <c r="C7" i="70" s="1"/>
  <c r="C35" i="70" s="1"/>
  <c r="C168" i="69"/>
  <c r="C16" i="70" s="1"/>
  <c r="C147" i="69"/>
  <c r="C125" i="69"/>
  <c r="C136" i="69"/>
  <c r="C114" i="69"/>
  <c r="C157" i="69"/>
  <c r="C5" i="70" s="1"/>
  <c r="C33" i="70" s="1"/>
  <c r="C166" i="69"/>
  <c r="C14" i="70" s="1"/>
  <c r="B37" i="69"/>
  <c r="C145" i="69"/>
  <c r="C123" i="69"/>
  <c r="C134" i="69"/>
  <c r="C112" i="69"/>
  <c r="I30" i="70"/>
  <c r="B85" i="81"/>
  <c r="B88" i="81"/>
  <c r="B89" i="81" s="1"/>
  <c r="B90" i="81" s="1"/>
  <c r="B91" i="81" s="1"/>
  <c r="C39" i="84" s="1"/>
  <c r="B98" i="81"/>
  <c r="B101" i="81" s="1"/>
  <c r="C42" i="84" s="1"/>
  <c r="B93" i="81"/>
  <c r="B94" i="81" s="1"/>
  <c r="B95" i="81" s="1"/>
  <c r="B96" i="81" s="1"/>
  <c r="C40" i="84" s="1"/>
  <c r="B86" i="81"/>
  <c r="C100" i="84"/>
  <c r="C52" i="70" l="1"/>
  <c r="C60" i="70"/>
  <c r="C51" i="70"/>
  <c r="C59" i="70"/>
  <c r="C41" i="70"/>
  <c r="C100" i="70" s="1"/>
  <c r="C109" i="70" s="1"/>
  <c r="C120" i="70" s="1"/>
  <c r="C128" i="70" s="1"/>
  <c r="B7" i="91" s="1"/>
  <c r="C49" i="70"/>
  <c r="C57" i="70"/>
  <c r="C53" i="70"/>
  <c r="C61" i="70"/>
  <c r="C54" i="70"/>
  <c r="C62" i="70"/>
  <c r="C50" i="70"/>
  <c r="C58" i="70"/>
  <c r="A50" i="69"/>
  <c r="A52" i="69"/>
  <c r="A37" i="59"/>
  <c r="A45" i="59" s="1"/>
  <c r="A54" i="59" s="1"/>
  <c r="A51" i="69"/>
  <c r="A49" i="69"/>
  <c r="A48" i="69"/>
  <c r="A39" i="59"/>
  <c r="A47" i="59" s="1"/>
  <c r="A56" i="59" s="1"/>
  <c r="A40" i="59"/>
  <c r="A48" i="59" s="1"/>
  <c r="A57" i="59" s="1"/>
  <c r="A41" i="59"/>
  <c r="A49" i="59" s="1"/>
  <c r="A58" i="59" s="1"/>
  <c r="C102" i="84"/>
  <c r="B19" i="91" s="1"/>
  <c r="A38" i="59"/>
  <c r="A46" i="59" s="1"/>
  <c r="A55" i="59" s="1"/>
  <c r="C83" i="70"/>
  <c r="C76" i="70"/>
  <c r="C90" i="70"/>
  <c r="C67" i="70"/>
  <c r="B36" i="91" s="1"/>
  <c r="C42" i="70"/>
  <c r="C101" i="70" s="1"/>
  <c r="C110" i="70" s="1"/>
  <c r="D3" i="70"/>
  <c r="C82" i="70"/>
  <c r="C75" i="70"/>
  <c r="C89" i="70"/>
  <c r="C66" i="70"/>
  <c r="B35" i="91" s="1"/>
  <c r="C86" i="70"/>
  <c r="C93" i="70"/>
  <c r="C45" i="70"/>
  <c r="C104" i="70" s="1"/>
  <c r="C70" i="70"/>
  <c r="B39" i="91" s="1"/>
  <c r="C79" i="70"/>
  <c r="C77" i="70"/>
  <c r="C84" i="70"/>
  <c r="C43" i="70"/>
  <c r="C102" i="70" s="1"/>
  <c r="C91" i="70"/>
  <c r="C68" i="70"/>
  <c r="B37" i="91" s="1"/>
  <c r="C51" i="84"/>
  <c r="B29" i="91" s="1"/>
  <c r="C52" i="84"/>
  <c r="B30" i="91" s="1"/>
  <c r="C94" i="70"/>
  <c r="C71" i="70"/>
  <c r="B40" i="91" s="1"/>
  <c r="C87" i="70"/>
  <c r="C46" i="70"/>
  <c r="C105" i="70" s="1"/>
  <c r="C114" i="70" s="1"/>
  <c r="C125" i="70" s="1"/>
  <c r="C133" i="70" s="1"/>
  <c r="B14" i="91" s="1"/>
  <c r="C80" i="70"/>
  <c r="C69" i="70"/>
  <c r="B38" i="91" s="1"/>
  <c r="C44" i="70"/>
  <c r="C103" i="70" s="1"/>
  <c r="C78" i="70"/>
  <c r="C85" i="70"/>
  <c r="C92" i="70"/>
  <c r="C121" i="70" l="1"/>
  <c r="C129" i="70" s="1"/>
  <c r="B8" i="91" s="1"/>
  <c r="C111" i="70"/>
  <c r="C122" i="70" s="1"/>
  <c r="C130" i="70" s="1"/>
  <c r="B9" i="91" s="1"/>
  <c r="C112" i="70"/>
  <c r="C123" i="70" s="1"/>
  <c r="C131" i="70" s="1"/>
  <c r="B10" i="91" s="1"/>
  <c r="C113" i="70"/>
  <c r="C124" i="70" s="1"/>
  <c r="C132" i="70" s="1"/>
  <c r="B13" i="91" s="1"/>
  <c r="D41" i="70" l="1"/>
  <c r="D100" i="70" s="1"/>
  <c r="D128" i="70" s="1"/>
  <c r="G7" i="91" s="1"/>
  <c r="E41" i="70"/>
  <c r="E100" i="70" s="1"/>
  <c r="E128" i="70" s="1"/>
  <c r="H7" i="91" s="1"/>
  <c r="D42" i="70"/>
  <c r="D101" i="70" s="1"/>
  <c r="D129" i="70" s="1"/>
  <c r="G8" i="91" s="1"/>
  <c r="E42" i="70"/>
  <c r="E101" i="70" s="1"/>
  <c r="E129" i="70" s="1"/>
  <c r="H8" i="91" s="1"/>
  <c r="D43" i="70"/>
  <c r="D102" i="70" s="1"/>
  <c r="D130" i="70" s="1"/>
  <c r="G9" i="91" s="1"/>
  <c r="E43" i="70"/>
  <c r="E102" i="70" s="1"/>
  <c r="E130" i="70" s="1"/>
  <c r="H9" i="91" s="1"/>
  <c r="F43" i="70"/>
  <c r="F102" i="70" s="1"/>
  <c r="F130" i="70" s="1"/>
  <c r="I9" i="91" s="1"/>
  <c r="D44" i="70"/>
  <c r="D103" i="70" s="1"/>
  <c r="D131" i="70" s="1"/>
  <c r="G10" i="91" s="1"/>
  <c r="E44" i="70"/>
  <c r="E103" i="70" s="1"/>
  <c r="E131" i="70" s="1"/>
  <c r="H10" i="91" s="1"/>
  <c r="F44" i="70"/>
  <c r="F103" i="70" s="1"/>
  <c r="F131" i="70" s="1"/>
  <c r="I10" i="91" s="1"/>
  <c r="D45" i="70"/>
  <c r="D104" i="70" s="1"/>
  <c r="D132" i="70" s="1"/>
  <c r="G13" i="91" s="1"/>
  <c r="E45" i="70"/>
  <c r="E104" i="70" s="1"/>
  <c r="E132" i="70" s="1"/>
  <c r="H13" i="91" s="1"/>
  <c r="D46" i="70"/>
  <c r="D105" i="70" s="1"/>
  <c r="D133" i="70" s="1"/>
  <c r="G14" i="91" s="1"/>
  <c r="E46" i="70"/>
  <c r="E105" i="70" s="1"/>
  <c r="E133" i="70" s="1"/>
  <c r="H14" i="91" s="1"/>
  <c r="F46" i="70"/>
  <c r="F105" i="70" s="1"/>
  <c r="F133" i="70" s="1"/>
  <c r="I14" i="91" s="1"/>
  <c r="D17" i="84"/>
  <c r="D78" i="84" s="1"/>
  <c r="D85" i="84" s="1"/>
  <c r="D100" i="84" s="1"/>
  <c r="G17" i="91" s="1"/>
  <c r="E17" i="84"/>
  <c r="E78" i="84" s="1"/>
  <c r="E85" i="84" s="1"/>
  <c r="E100" i="84" s="1"/>
  <c r="H17" i="91" s="1"/>
  <c r="F17" i="84"/>
  <c r="F78" i="84" s="1"/>
  <c r="D18" i="84"/>
  <c r="D79" i="84" s="1"/>
  <c r="D86" i="84" s="1"/>
  <c r="D101" i="84" s="1"/>
  <c r="G18" i="91" s="1"/>
  <c r="E18" i="84"/>
  <c r="E79" i="84" s="1"/>
  <c r="E86" i="84" s="1"/>
  <c r="E101" i="84" s="1"/>
  <c r="H18" i="91" s="1"/>
  <c r="F18" i="84"/>
  <c r="F79" i="84" s="1"/>
  <c r="D19" i="84"/>
  <c r="D80" i="84" s="1"/>
  <c r="D87" i="84" s="1"/>
  <c r="D102" i="84" s="1"/>
  <c r="G19" i="91" s="1"/>
  <c r="E19" i="84"/>
  <c r="E80" i="84" s="1"/>
  <c r="E87" i="84" s="1"/>
  <c r="E102" i="84" s="1"/>
  <c r="H19" i="91" s="1"/>
  <c r="F19" i="84"/>
  <c r="F80" i="84" s="1"/>
  <c r="D20" i="84"/>
  <c r="D81" i="84" s="1"/>
  <c r="D88" i="84" s="1"/>
  <c r="D103" i="84" s="1"/>
  <c r="G20" i="91" s="1"/>
  <c r="E20" i="84"/>
  <c r="E81" i="84" s="1"/>
  <c r="E88" i="84" s="1"/>
  <c r="E103" i="84" s="1"/>
  <c r="H20" i="91" s="1"/>
  <c r="F20" i="84"/>
  <c r="F81" i="84" s="1"/>
  <c r="A88" i="65"/>
  <c r="A89" i="65"/>
  <c r="B89" i="65"/>
  <c r="B90" i="65"/>
  <c r="B92" i="65"/>
  <c r="A95" i="65"/>
  <c r="B95" i="65"/>
  <c r="A96" i="65"/>
  <c r="B99" i="65"/>
  <c r="B100" i="65"/>
  <c r="A22" i="65"/>
  <c r="F86" i="84" l="1"/>
  <c r="F101" i="84" s="1"/>
  <c r="I18" i="91" s="1"/>
  <c r="F85" i="84"/>
  <c r="F100" i="84" s="1"/>
  <c r="I17" i="91" s="1"/>
  <c r="F88" i="84"/>
  <c r="F103" i="84" s="1"/>
  <c r="I20" i="91" s="1"/>
  <c r="F87" i="84"/>
  <c r="F102" i="84" s="1"/>
  <c r="I19" i="91" s="1"/>
  <c r="F45" i="70"/>
  <c r="F104" i="70" s="1"/>
  <c r="F132" i="70" s="1"/>
  <c r="I13" i="91" s="1"/>
  <c r="F42" i="70"/>
  <c r="F101" i="70" s="1"/>
  <c r="F129" i="70" s="1"/>
  <c r="I8" i="91" s="1"/>
  <c r="F41" i="70"/>
  <c r="B88" i="65"/>
  <c r="B97" i="65"/>
  <c r="B91" i="65"/>
  <c r="F100" i="70" l="1"/>
  <c r="F128" i="70" s="1"/>
  <c r="I7" i="91" s="1"/>
  <c r="B98" i="65"/>
  <c r="B96" i="65"/>
  <c r="J35" i="70" l="1"/>
  <c r="K35" i="70"/>
  <c r="E35" i="70"/>
  <c r="I35" i="70"/>
  <c r="F35" i="70"/>
  <c r="D35" i="70"/>
  <c r="L35" i="70"/>
  <c r="G35" i="70"/>
  <c r="H35" i="70"/>
  <c r="D39" i="59" l="1"/>
  <c r="D37" i="59"/>
  <c r="D36" i="59" l="1"/>
  <c r="D41" i="59" l="1"/>
  <c r="D40" i="59"/>
  <c r="D38" i="59"/>
  <c r="D10" i="82" l="1"/>
  <c r="E132" i="94" l="1"/>
  <c r="D26" i="81" l="1"/>
  <c r="D27" i="81" s="1"/>
  <c r="G18" i="84" l="1"/>
  <c r="G79" i="84" s="1"/>
  <c r="G19" i="84"/>
  <c r="G80" i="84" s="1"/>
  <c r="G20" i="84"/>
  <c r="G81" i="84" s="1"/>
  <c r="G17" i="84"/>
  <c r="G78" i="84" s="1"/>
  <c r="G42" i="70"/>
  <c r="G101" i="70" s="1"/>
  <c r="G43" i="70"/>
  <c r="G102" i="70" s="1"/>
  <c r="G44" i="70"/>
  <c r="G103" i="70" s="1"/>
  <c r="G45" i="70"/>
  <c r="G104" i="70" s="1"/>
  <c r="G46" i="70"/>
  <c r="G105" i="70" s="1"/>
  <c r="G41" i="70"/>
  <c r="G100" i="70" s="1"/>
  <c r="G85" i="84" l="1"/>
  <c r="G88" i="84"/>
  <c r="G87" i="84"/>
  <c r="G86" i="84"/>
  <c r="G125" i="70"/>
  <c r="G133" i="70"/>
  <c r="J14" i="91" s="1"/>
  <c r="G129" i="70"/>
  <c r="J8" i="91" s="1"/>
  <c r="G121" i="70"/>
  <c r="G132" i="70"/>
  <c r="J13" i="91" s="1"/>
  <c r="G124" i="70"/>
  <c r="G120" i="70"/>
  <c r="G128" i="70"/>
  <c r="J7" i="91" s="1"/>
  <c r="G131" i="70"/>
  <c r="J10" i="91" s="1"/>
  <c r="G123" i="70"/>
  <c r="G130" i="70"/>
  <c r="J9" i="91" s="1"/>
  <c r="G122" i="70"/>
  <c r="G94" i="84" l="1"/>
  <c r="G100" i="84"/>
  <c r="J17" i="91" s="1"/>
  <c r="G101" i="84"/>
  <c r="J18" i="91" s="1"/>
  <c r="G95" i="84"/>
  <c r="G102" i="84"/>
  <c r="J19" i="91" s="1"/>
  <c r="G96" i="84"/>
  <c r="G97" i="84"/>
  <c r="G103" i="84"/>
  <c r="J20" i="91" s="1"/>
  <c r="D7" i="59"/>
  <c r="D8" i="59"/>
  <c r="D9" i="59"/>
  <c r="D11" i="59"/>
  <c r="D10" i="59"/>
  <c r="D9" i="83" l="1"/>
  <c r="D15" i="83"/>
  <c r="D45" i="83" s="1"/>
  <c r="K45" i="83" l="1"/>
  <c r="L45" i="83"/>
  <c r="D37" i="83"/>
  <c r="E37" i="83" s="1"/>
  <c r="F37" i="83" s="1"/>
  <c r="G37" i="83" s="1"/>
  <c r="H37" i="83" s="1"/>
  <c r="J45" i="83"/>
  <c r="G45" i="83"/>
  <c r="I45" i="83"/>
  <c r="H45" i="83"/>
  <c r="I37" i="83" l="1"/>
  <c r="J37" i="83" l="1"/>
  <c r="K37" i="83" l="1"/>
  <c r="L37" i="83" l="1"/>
  <c r="A8" i="81" l="1"/>
  <c r="A9" i="81"/>
  <c r="A10" i="81"/>
  <c r="A11" i="81"/>
  <c r="L13" i="59" l="1"/>
  <c r="L43" i="59" l="1"/>
  <c r="L52" i="59"/>
  <c r="L33" i="59"/>
  <c r="L23" i="59"/>
  <c r="F5" i="82" l="1"/>
  <c r="H5" i="65"/>
  <c r="J5" i="82"/>
  <c r="L5" i="65"/>
  <c r="F5" i="65"/>
  <c r="D5" i="82"/>
  <c r="L5" i="82"/>
  <c r="N5" i="65"/>
  <c r="I5" i="82"/>
  <c r="K5" i="65"/>
  <c r="H5" i="82"/>
  <c r="J5" i="65"/>
  <c r="E5" i="82"/>
  <c r="G5" i="65"/>
  <c r="K5" i="82"/>
  <c r="M5" i="65"/>
  <c r="G5" i="82"/>
  <c r="I5" i="65"/>
  <c r="D13" i="59" l="1"/>
  <c r="E13" i="59"/>
  <c r="D52" i="59" l="1"/>
  <c r="D23" i="59"/>
  <c r="D43" i="59"/>
  <c r="D33" i="59"/>
  <c r="E23" i="59"/>
  <c r="E33" i="59"/>
  <c r="E52" i="59"/>
  <c r="E43" i="59"/>
  <c r="F13" i="59"/>
  <c r="F33" i="59" l="1"/>
  <c r="F43" i="59"/>
  <c r="F23" i="59"/>
  <c r="F52" i="59"/>
  <c r="G13" i="59"/>
  <c r="G23" i="59" l="1"/>
  <c r="G52" i="59"/>
  <c r="G43" i="59"/>
  <c r="G33" i="59"/>
  <c r="H13" i="59"/>
  <c r="I13" i="59"/>
  <c r="I33" i="59" l="1"/>
  <c r="I43" i="59"/>
  <c r="I52" i="59"/>
  <c r="I23" i="59"/>
  <c r="H23" i="59"/>
  <c r="H52" i="59"/>
  <c r="H33" i="59"/>
  <c r="H43" i="59"/>
  <c r="J13" i="59"/>
  <c r="J33" i="59" l="1"/>
  <c r="J43" i="59"/>
  <c r="J52" i="59"/>
  <c r="J23" i="59"/>
  <c r="K13" i="59"/>
  <c r="K33" i="59" l="1"/>
  <c r="K23" i="59"/>
  <c r="K52" i="59"/>
  <c r="K43" i="59"/>
  <c r="J36" i="70" l="1"/>
  <c r="K36" i="70"/>
  <c r="G36" i="70"/>
  <c r="E36" i="70"/>
  <c r="H36" i="70"/>
  <c r="F36" i="70"/>
  <c r="D36" i="70"/>
  <c r="I36" i="70"/>
  <c r="L36" i="70"/>
  <c r="H87" i="84" l="1"/>
  <c r="I87" i="84" l="1"/>
  <c r="J87" i="84" l="1"/>
  <c r="K87" i="84" l="1"/>
  <c r="L87" i="84" l="1"/>
  <c r="L96" i="84" s="1"/>
  <c r="N96" i="84" s="1"/>
  <c r="N102" i="84" l="1"/>
  <c r="F26" i="65" l="1"/>
  <c r="F18" i="65"/>
  <c r="F33" i="65"/>
  <c r="F59" i="65"/>
  <c r="F43" i="65"/>
  <c r="F53" i="65"/>
  <c r="F42" i="65"/>
  <c r="F36" i="65"/>
  <c r="F52" i="65"/>
  <c r="F41" i="65"/>
  <c r="F35" i="65"/>
  <c r="F61" i="65"/>
  <c r="F44" i="65"/>
  <c r="F40" i="65"/>
  <c r="F54" i="65"/>
  <c r="F62" i="65"/>
  <c r="F72" i="65" l="1"/>
  <c r="F120" i="65" s="1"/>
  <c r="F80" i="65"/>
  <c r="F128" i="65" s="1"/>
  <c r="F77" i="65"/>
  <c r="F51" i="65"/>
  <c r="F60" i="65"/>
  <c r="F34" i="65"/>
  <c r="F70" i="65" s="1"/>
  <c r="F58" i="65"/>
  <c r="F89" i="65" l="1"/>
  <c r="F96" i="65" l="1"/>
  <c r="F118" i="65"/>
  <c r="F97" i="65" l="1"/>
  <c r="F114" i="65" s="1"/>
  <c r="D62" i="69" s="1"/>
  <c r="F125" i="65"/>
  <c r="F17" i="65" l="1"/>
  <c r="F71" i="65" s="1"/>
  <c r="F90" i="65"/>
  <c r="F119" i="65" l="1"/>
  <c r="F15" i="65"/>
  <c r="F69" i="65" s="1"/>
  <c r="F117" i="65" s="1"/>
  <c r="F63" i="65" l="1"/>
  <c r="F55" i="65"/>
  <c r="E66" i="65" s="1"/>
  <c r="F45" i="65"/>
  <c r="F37" i="65"/>
  <c r="E48" i="65" s="1"/>
  <c r="G51" i="65" l="1"/>
  <c r="G33" i="65"/>
  <c r="F38" i="65"/>
  <c r="G40" i="65"/>
  <c r="F46" i="65"/>
  <c r="G58" i="65"/>
  <c r="F19" i="65" l="1"/>
  <c r="F73" i="65" l="1"/>
  <c r="G15" i="65"/>
  <c r="F20" i="65"/>
  <c r="F92" i="65"/>
  <c r="G69" i="65" l="1"/>
  <c r="F105" i="65"/>
  <c r="G88" i="65"/>
  <c r="F111" i="65"/>
  <c r="F121" i="65"/>
  <c r="G117" i="65" l="1"/>
  <c r="I50" i="70" l="1"/>
  <c r="F50" i="70"/>
  <c r="D50" i="70"/>
  <c r="L50" i="70"/>
  <c r="J50" i="70"/>
  <c r="H50" i="70"/>
  <c r="K50" i="70"/>
  <c r="G50" i="70"/>
  <c r="E50" i="70"/>
  <c r="K34" i="70" l="1"/>
  <c r="G34" i="70"/>
  <c r="H34" i="70"/>
  <c r="I34" i="70"/>
  <c r="E34" i="70"/>
  <c r="D34" i="70"/>
  <c r="J34" i="70"/>
  <c r="L34" i="70"/>
  <c r="F34" i="70"/>
  <c r="H26" i="65" l="1"/>
  <c r="H80" i="65" s="1"/>
  <c r="H128" i="65" s="1"/>
  <c r="E12" i="82" l="1"/>
  <c r="F12" i="82"/>
  <c r="G12" i="82"/>
  <c r="G22" i="82" s="1"/>
  <c r="G29" i="82" s="1"/>
  <c r="H12" i="82"/>
  <c r="H22" i="82" s="1"/>
  <c r="H29" i="82" s="1"/>
  <c r="I12" i="82"/>
  <c r="I22" i="82" s="1"/>
  <c r="I29" i="82" s="1"/>
  <c r="J12" i="82"/>
  <c r="J22" i="82" s="1"/>
  <c r="J29" i="82" s="1"/>
  <c r="K12" i="82"/>
  <c r="K22" i="82" s="1"/>
  <c r="K29" i="82" s="1"/>
  <c r="L12" i="82"/>
  <c r="L22" i="82" s="1"/>
  <c r="L29" i="82" s="1"/>
  <c r="F10" i="81"/>
  <c r="G10" i="81"/>
  <c r="H10" i="81"/>
  <c r="I10" i="81"/>
  <c r="J10" i="81"/>
  <c r="K10" i="81"/>
  <c r="L10" i="81"/>
  <c r="E10" i="81"/>
  <c r="E9" i="81" l="1"/>
  <c r="E11" i="82"/>
  <c r="D59" i="84" l="1" a="1"/>
  <c r="D59" i="84" s="1"/>
  <c r="D57" i="70" a="1"/>
  <c r="D57" i="70" s="1"/>
  <c r="G11" i="82" l="1"/>
  <c r="G9" i="81"/>
  <c r="I11" i="82"/>
  <c r="I9" i="81"/>
  <c r="J11" i="82"/>
  <c r="J9" i="81"/>
  <c r="H11" i="82"/>
  <c r="H9" i="81"/>
  <c r="F9" i="81"/>
  <c r="F11" i="82"/>
  <c r="K9" i="81" l="1"/>
  <c r="K11" i="82"/>
  <c r="L9" i="81" l="1"/>
  <c r="L11" i="82"/>
  <c r="G24" i="82" l="1"/>
  <c r="I24" i="82"/>
  <c r="H24" i="82"/>
  <c r="J24" i="82"/>
  <c r="K24" i="82" l="1"/>
  <c r="L24" i="82"/>
  <c r="L9" i="65" l="1"/>
  <c r="L89" i="65" s="1"/>
  <c r="H9" i="65"/>
  <c r="H89" i="65" s="1"/>
  <c r="K9" i="65"/>
  <c r="K89" i="65" s="1"/>
  <c r="K118" i="65" l="1"/>
  <c r="K96" i="65"/>
  <c r="K125" i="65" s="1"/>
  <c r="L118" i="65"/>
  <c r="L96" i="65"/>
  <c r="L125" i="65" s="1"/>
  <c r="H118" i="65"/>
  <c r="H96" i="65"/>
  <c r="H125" i="65" s="1"/>
  <c r="G9" i="65"/>
  <c r="G89" i="65" s="1"/>
  <c r="J9" i="65"/>
  <c r="J89" i="65" s="1"/>
  <c r="M9" i="65"/>
  <c r="M89" i="65" s="1"/>
  <c r="G118" i="65" l="1"/>
  <c r="G96" i="65"/>
  <c r="G125" i="65" s="1"/>
  <c r="J118" i="65"/>
  <c r="J96" i="65"/>
  <c r="J125" i="65" s="1"/>
  <c r="M118" i="65"/>
  <c r="M96" i="65"/>
  <c r="M125" i="65" s="1"/>
  <c r="I9" i="65"/>
  <c r="I89" i="65" s="1"/>
  <c r="N9" i="65"/>
  <c r="N89" i="65" s="1"/>
  <c r="I118" i="65" l="1"/>
  <c r="I96" i="65"/>
  <c r="I125" i="65" s="1"/>
  <c r="N118" i="65"/>
  <c r="N96" i="65"/>
  <c r="N125" i="65" s="1"/>
  <c r="D116" i="70" l="1" a="1"/>
  <c r="D116" i="70" l="1"/>
  <c r="H117" i="70"/>
  <c r="I117" i="70" s="1"/>
  <c r="J117" i="70" s="1"/>
  <c r="K117" i="70" s="1"/>
  <c r="L117" i="70" s="1"/>
  <c r="M116" i="70" s="1"/>
  <c r="D90" i="84" a="1"/>
  <c r="H91" i="84" l="1"/>
  <c r="I91" i="84" s="1"/>
  <c r="J91" i="84" s="1"/>
  <c r="K91" i="84" s="1"/>
  <c r="L91" i="84" s="1"/>
  <c r="N90" i="84" s="1"/>
  <c r="D90" i="84"/>
  <c r="F7" i="65" l="1" a="1"/>
  <c r="D34" i="59" a="1"/>
  <c r="D6" i="82" a="1"/>
  <c r="D24" i="83" a="1"/>
  <c r="D24" i="83" s="1"/>
  <c r="D25" i="69" a="1"/>
  <c r="D25" i="69" s="1"/>
  <c r="D25" i="83" a="1"/>
  <c r="D25" i="83" s="1"/>
  <c r="D26" i="69" a="1"/>
  <c r="D26" i="69" s="1"/>
  <c r="K19" i="82" l="1"/>
  <c r="H19" i="82"/>
  <c r="E10" i="82"/>
  <c r="F10" i="82" s="1"/>
  <c r="G10" i="82" s="1"/>
  <c r="H10" i="82" s="1"/>
  <c r="I10" i="82" s="1"/>
  <c r="J10" i="82" s="1"/>
  <c r="K10" i="82" s="1"/>
  <c r="L10" i="82" s="1"/>
  <c r="E7" i="82"/>
  <c r="F7" i="82" s="1"/>
  <c r="G7" i="82" s="1"/>
  <c r="H7" i="82" s="1"/>
  <c r="I7" i="82" s="1"/>
  <c r="J7" i="82" s="1"/>
  <c r="K7" i="82" s="1"/>
  <c r="L7" i="82" s="1"/>
  <c r="D6" i="82"/>
  <c r="I19" i="82"/>
  <c r="J19" i="82"/>
  <c r="G19" i="82"/>
  <c r="L19" i="82"/>
  <c r="F19" i="82"/>
  <c r="E19" i="82"/>
  <c r="E39" i="59"/>
  <c r="F39" i="59" s="1"/>
  <c r="G39" i="59" s="1"/>
  <c r="H39" i="59" s="1"/>
  <c r="I39" i="59" s="1"/>
  <c r="J39" i="59" s="1"/>
  <c r="K39" i="59" s="1"/>
  <c r="L39" i="59" s="1"/>
  <c r="E36" i="59"/>
  <c r="F36" i="59" s="1"/>
  <c r="G36" i="59" s="1"/>
  <c r="H36" i="59" s="1"/>
  <c r="I36" i="59" s="1"/>
  <c r="J36" i="59" s="1"/>
  <c r="K36" i="59" s="1"/>
  <c r="L36" i="59" s="1"/>
  <c r="E40" i="59"/>
  <c r="F40" i="59" s="1"/>
  <c r="G40" i="59" s="1"/>
  <c r="H40" i="59" s="1"/>
  <c r="I40" i="59" s="1"/>
  <c r="J40" i="59" s="1"/>
  <c r="K40" i="59" s="1"/>
  <c r="L40" i="59" s="1"/>
  <c r="E38" i="59"/>
  <c r="F38" i="59" s="1"/>
  <c r="G38" i="59" s="1"/>
  <c r="H38" i="59" s="1"/>
  <c r="I38" i="59" s="1"/>
  <c r="J38" i="59" s="1"/>
  <c r="K38" i="59" s="1"/>
  <c r="L38" i="59" s="1"/>
  <c r="E41" i="59"/>
  <c r="F41" i="59" s="1"/>
  <c r="G41" i="59" s="1"/>
  <c r="H41" i="59" s="1"/>
  <c r="I41" i="59" s="1"/>
  <c r="J41" i="59" s="1"/>
  <c r="K41" i="59" s="1"/>
  <c r="L41" i="59" s="1"/>
  <c r="E37" i="59"/>
  <c r="F37" i="59" s="1"/>
  <c r="G37" i="59" s="1"/>
  <c r="H37" i="59" s="1"/>
  <c r="I37" i="59" s="1"/>
  <c r="J37" i="59" s="1"/>
  <c r="K37" i="59" s="1"/>
  <c r="L37" i="59" s="1"/>
  <c r="D34" i="59"/>
  <c r="G53" i="65"/>
  <c r="G17" i="65"/>
  <c r="G43" i="65"/>
  <c r="F7" i="65"/>
  <c r="G90" i="65"/>
  <c r="G92" i="65" s="1"/>
  <c r="G61" i="65"/>
  <c r="G35" i="65"/>
  <c r="G19" i="65" l="1"/>
  <c r="G20" i="65" s="1"/>
  <c r="G42" i="65"/>
  <c r="G60" i="65"/>
  <c r="G71" i="65"/>
  <c r="G119" i="65" s="1"/>
  <c r="H15" i="65"/>
  <c r="G36" i="65"/>
  <c r="G37" i="65" s="1"/>
  <c r="H33" i="65" s="1"/>
  <c r="G45" i="65"/>
  <c r="H40" i="65" s="1"/>
  <c r="D19" i="82"/>
  <c r="H88" i="65"/>
  <c r="G97" i="65"/>
  <c r="G111" i="65"/>
  <c r="G38" i="65" l="1"/>
  <c r="G46" i="65"/>
  <c r="H35" i="65"/>
  <c r="G114" i="65"/>
  <c r="E62" i="69" s="1"/>
  <c r="H90" i="65"/>
  <c r="H92" i="65" s="1"/>
  <c r="H111" i="65" s="1"/>
  <c r="H17" i="65"/>
  <c r="H19" i="65" s="1"/>
  <c r="I15" i="65" s="1"/>
  <c r="I17" i="65" s="1"/>
  <c r="I19" i="65" s="1"/>
  <c r="J15" i="65" s="1"/>
  <c r="J17" i="65" s="1"/>
  <c r="J19" i="65" s="1"/>
  <c r="K15" i="65" s="1"/>
  <c r="K17" i="65" s="1"/>
  <c r="K19" i="65" s="1"/>
  <c r="L15" i="65" s="1"/>
  <c r="L17" i="65" s="1"/>
  <c r="L19" i="65" s="1"/>
  <c r="M15" i="65" s="1"/>
  <c r="M17" i="65" s="1"/>
  <c r="M19" i="65" s="1"/>
  <c r="N15" i="65" s="1"/>
  <c r="N17" i="65" s="1"/>
  <c r="N19" i="65" s="1"/>
  <c r="H43" i="65"/>
  <c r="H42" i="65" s="1"/>
  <c r="H36" i="65" s="1"/>
  <c r="H37" i="65" s="1"/>
  <c r="G54" i="65"/>
  <c r="G63" i="65"/>
  <c r="H58" i="65" s="1"/>
  <c r="E27" i="59"/>
  <c r="H20" i="65" l="1"/>
  <c r="H38" i="65"/>
  <c r="H61" i="65"/>
  <c r="G72" i="65"/>
  <c r="G120" i="65" s="1"/>
  <c r="G55" i="65"/>
  <c r="H45" i="65"/>
  <c r="I40" i="65" s="1"/>
  <c r="H97" i="65"/>
  <c r="I88" i="65"/>
  <c r="E28" i="59"/>
  <c r="E26" i="70"/>
  <c r="E47" i="59"/>
  <c r="F27" i="59"/>
  <c r="E29" i="59"/>
  <c r="H46" i="65" l="1"/>
  <c r="I90" i="65"/>
  <c r="I92" i="65" s="1"/>
  <c r="I97" i="65" s="1"/>
  <c r="I114" i="65" s="1"/>
  <c r="G62" i="69" s="1"/>
  <c r="I33" i="65"/>
  <c r="I43" i="65"/>
  <c r="H51" i="65"/>
  <c r="G73" i="65"/>
  <c r="H114" i="65"/>
  <c r="F62" i="69" s="1"/>
  <c r="E26" i="59"/>
  <c r="E28" i="70"/>
  <c r="F29" i="59"/>
  <c r="E49" i="59"/>
  <c r="F47" i="59"/>
  <c r="F26" i="70"/>
  <c r="E48" i="59"/>
  <c r="E27" i="70"/>
  <c r="F28" i="59"/>
  <c r="G105" i="65" l="1"/>
  <c r="G121" i="65"/>
  <c r="H53" i="65"/>
  <c r="H69" i="65"/>
  <c r="I35" i="65"/>
  <c r="I42" i="65" s="1"/>
  <c r="I111" i="65"/>
  <c r="J88" i="65"/>
  <c r="F48" i="59"/>
  <c r="F27" i="70"/>
  <c r="F28" i="70"/>
  <c r="F49" i="59"/>
  <c r="E25" i="59"/>
  <c r="F26" i="59"/>
  <c r="E46" i="59"/>
  <c r="E25" i="70"/>
  <c r="J90" i="65" l="1"/>
  <c r="J92" i="65" s="1"/>
  <c r="J97" i="65" s="1"/>
  <c r="J114" i="65" s="1"/>
  <c r="H62" i="69" s="1"/>
  <c r="I36" i="65"/>
  <c r="I37" i="65" s="1"/>
  <c r="I45" i="65"/>
  <c r="J40" i="65" s="1"/>
  <c r="H117" i="65"/>
  <c r="H60" i="65"/>
  <c r="H71" i="65"/>
  <c r="H119" i="65" s="1"/>
  <c r="F25" i="59"/>
  <c r="E45" i="59"/>
  <c r="E24" i="70"/>
  <c r="F46" i="59"/>
  <c r="F25" i="70"/>
  <c r="H54" i="65" l="1"/>
  <c r="H63" i="65"/>
  <c r="I58" i="65" s="1"/>
  <c r="J43" i="65"/>
  <c r="J33" i="65"/>
  <c r="J111" i="65"/>
  <c r="K88" i="65"/>
  <c r="F45" i="59"/>
  <c r="F24" i="70"/>
  <c r="K90" i="65" l="1"/>
  <c r="K92" i="65" s="1"/>
  <c r="K97" i="65" s="1"/>
  <c r="K114" i="65" s="1"/>
  <c r="I62" i="69" s="1"/>
  <c r="J35" i="65"/>
  <c r="J42" i="65" s="1"/>
  <c r="I61" i="65"/>
  <c r="H55" i="65"/>
  <c r="H73" i="65" s="1"/>
  <c r="H72" i="65"/>
  <c r="H120" i="65" s="1"/>
  <c r="H121" i="65" l="1"/>
  <c r="H105" i="65"/>
  <c r="I51" i="65"/>
  <c r="J36" i="65"/>
  <c r="J37" i="65" s="1"/>
  <c r="J45" i="65"/>
  <c r="K40" i="65" s="1"/>
  <c r="K111" i="65"/>
  <c r="L88" i="65"/>
  <c r="L90" i="65" l="1"/>
  <c r="L92" i="65" s="1"/>
  <c r="L97" i="65" s="1"/>
  <c r="L114" i="65" s="1"/>
  <c r="J62" i="69" s="1"/>
  <c r="K33" i="65"/>
  <c r="K43" i="65"/>
  <c r="I69" i="65"/>
  <c r="I53" i="65"/>
  <c r="I71" i="65" s="1"/>
  <c r="I119" i="65" s="1"/>
  <c r="E76" i="69"/>
  <c r="I60" i="65" l="1"/>
  <c r="I54" i="65" s="1"/>
  <c r="L111" i="65"/>
  <c r="I117" i="65"/>
  <c r="K35" i="65"/>
  <c r="K42" i="65" s="1"/>
  <c r="M88" i="65"/>
  <c r="I63" i="65" l="1"/>
  <c r="J58" i="65" s="1"/>
  <c r="J61" i="65" s="1"/>
  <c r="M90" i="65"/>
  <c r="M92" i="65" s="1"/>
  <c r="M97" i="65" s="1"/>
  <c r="M114" i="65" s="1"/>
  <c r="K62" i="69" s="1"/>
  <c r="K36" i="65"/>
  <c r="K37" i="65" s="1"/>
  <c r="K45" i="65"/>
  <c r="L40" i="65" s="1"/>
  <c r="F76" i="69"/>
  <c r="I72" i="65"/>
  <c r="I120" i="65" s="1"/>
  <c r="I55" i="65"/>
  <c r="I73" i="65" s="1"/>
  <c r="I74" i="65" l="1"/>
  <c r="I121" i="65"/>
  <c r="I105" i="65"/>
  <c r="L33" i="65"/>
  <c r="L43" i="65"/>
  <c r="J51" i="65"/>
  <c r="M111" i="65"/>
  <c r="N88" i="65"/>
  <c r="J53" i="65" l="1"/>
  <c r="J71" i="65" s="1"/>
  <c r="J119" i="65" s="1"/>
  <c r="J69" i="65"/>
  <c r="N90" i="65"/>
  <c r="N92" i="65" s="1"/>
  <c r="N97" i="65" s="1"/>
  <c r="N114" i="65" s="1"/>
  <c r="L62" i="69" s="1"/>
  <c r="L35" i="65"/>
  <c r="L42" i="65" s="1"/>
  <c r="J60" i="65" l="1"/>
  <c r="J54" i="65" s="1"/>
  <c r="L36" i="65"/>
  <c r="L37" i="65" s="1"/>
  <c r="L45" i="65"/>
  <c r="M40" i="65" s="1"/>
  <c r="N111" i="65"/>
  <c r="J117" i="65"/>
  <c r="J63" i="65" l="1"/>
  <c r="K58" i="65" s="1"/>
  <c r="K61" i="65" s="1"/>
  <c r="J72" i="65"/>
  <c r="J120" i="65" s="1"/>
  <c r="J55" i="65"/>
  <c r="J73" i="65" s="1"/>
  <c r="M33" i="65"/>
  <c r="M43" i="65"/>
  <c r="J74" i="65" l="1"/>
  <c r="J121" i="65"/>
  <c r="J105" i="65"/>
  <c r="K51" i="65"/>
  <c r="M35" i="65"/>
  <c r="M42" i="65" s="1"/>
  <c r="M36" i="65" l="1"/>
  <c r="M37" i="65" s="1"/>
  <c r="M45" i="65"/>
  <c r="N40" i="65" s="1"/>
  <c r="K53" i="65"/>
  <c r="K71" i="65" s="1"/>
  <c r="K119" i="65" s="1"/>
  <c r="K69" i="65"/>
  <c r="K60" i="65" l="1"/>
  <c r="K63" i="65" s="1"/>
  <c r="L58" i="65" s="1"/>
  <c r="K117" i="65"/>
  <c r="N43" i="65"/>
  <c r="N33" i="65"/>
  <c r="N35" i="65" s="1"/>
  <c r="N42" i="65" l="1"/>
  <c r="N36" i="65" s="1"/>
  <c r="N37" i="65" s="1"/>
  <c r="K54" i="65"/>
  <c r="K72" i="65" s="1"/>
  <c r="K120" i="65" s="1"/>
  <c r="L61" i="65"/>
  <c r="K55" i="65" l="1"/>
  <c r="K73" i="65" s="1"/>
  <c r="K105" i="65" s="1"/>
  <c r="N45" i="65"/>
  <c r="K121" i="65" l="1"/>
  <c r="K74" i="65"/>
  <c r="L51" i="65"/>
  <c r="L69" i="65" s="1"/>
  <c r="L117" i="65" s="1"/>
  <c r="L53" i="65" l="1"/>
  <c r="L71" i="65" s="1"/>
  <c r="L119" i="65" s="1"/>
  <c r="L60" i="65" l="1"/>
  <c r="L63" i="65" s="1"/>
  <c r="M58" i="65" s="1"/>
  <c r="M61" i="65" s="1"/>
  <c r="L54" i="65" l="1"/>
  <c r="L72" i="65" l="1"/>
  <c r="L120" i="65" s="1"/>
  <c r="L55" i="65"/>
  <c r="L73" i="65" l="1"/>
  <c r="M51" i="65"/>
  <c r="M53" i="65" l="1"/>
  <c r="M71" i="65" s="1"/>
  <c r="M119" i="65" s="1"/>
  <c r="M69" i="65"/>
  <c r="M117" i="65" s="1"/>
  <c r="L74" i="65"/>
  <c r="L105" i="65"/>
  <c r="L121" i="65"/>
  <c r="M60" i="65" l="1"/>
  <c r="M63" i="65" s="1"/>
  <c r="N58" i="65" s="1"/>
  <c r="N61" i="65" s="1"/>
  <c r="M54" i="65" l="1"/>
  <c r="M72" i="65" s="1"/>
  <c r="M120" i="65" s="1"/>
  <c r="M55" i="65" l="1"/>
  <c r="M73" i="65" s="1"/>
  <c r="M74" i="65" s="1"/>
  <c r="N51" i="65" l="1"/>
  <c r="N53" i="65" s="1"/>
  <c r="M105" i="65"/>
  <c r="M121" i="65"/>
  <c r="N60" i="65" l="1"/>
  <c r="N69" i="65"/>
  <c r="N117" i="65" s="1"/>
  <c r="N54" i="65"/>
  <c r="N72" i="65" s="1"/>
  <c r="N120" i="65" s="1"/>
  <c r="N63" i="65"/>
  <c r="N71" i="65"/>
  <c r="N119" i="65" s="1"/>
  <c r="L97" i="84"/>
  <c r="N97" i="84" s="1"/>
  <c r="N103" i="84"/>
  <c r="N55" i="65" l="1"/>
  <c r="N73" i="65" s="1"/>
  <c r="N74" i="65" s="1"/>
  <c r="F8" i="83"/>
  <c r="F36" i="83" s="1"/>
  <c r="G36" i="83" s="1"/>
  <c r="H36" i="83" s="1"/>
  <c r="I36" i="83" s="1"/>
  <c r="J36" i="83" s="1"/>
  <c r="K36" i="83" s="1"/>
  <c r="L36" i="83" s="1"/>
  <c r="F9" i="69"/>
  <c r="F72" i="69" s="1"/>
  <c r="N121" i="65" l="1"/>
  <c r="N105" i="65"/>
  <c r="J49" i="70"/>
  <c r="E49" i="70"/>
  <c r="G49" i="70"/>
  <c r="K49" i="70"/>
  <c r="H49" i="70"/>
  <c r="D49" i="70"/>
  <c r="F49" i="70"/>
  <c r="I49" i="70"/>
  <c r="L49" i="70"/>
  <c r="L53" i="70"/>
  <c r="I53" i="70"/>
  <c r="H53" i="70"/>
  <c r="G53" i="70"/>
  <c r="K53" i="70"/>
  <c r="D53" i="70"/>
  <c r="F53" i="70"/>
  <c r="J53" i="70"/>
  <c r="E53" i="70"/>
  <c r="F16" i="83" l="1"/>
  <c r="F46" i="83" s="1"/>
  <c r="F14" i="83"/>
  <c r="F7" i="83"/>
  <c r="F6" i="83"/>
  <c r="G165" i="94" l="1"/>
  <c r="G171" i="94"/>
  <c r="F17" i="83" s="1"/>
  <c r="F13" i="83"/>
  <c r="F31" i="82"/>
  <c r="F41" i="82" s="1"/>
  <c r="F34" i="83" s="1"/>
  <c r="F18" i="83" l="1"/>
  <c r="F21" i="82"/>
  <c r="F25" i="82"/>
  <c r="F28" i="82"/>
  <c r="F30" i="82" s="1"/>
  <c r="F42" i="82" s="1"/>
  <c r="F35" i="83" s="1"/>
  <c r="F32" i="82"/>
  <c r="F17" i="69"/>
  <c r="F15" i="69"/>
  <c r="F8" i="69"/>
  <c r="F7" i="69"/>
  <c r="F6" i="59"/>
  <c r="E6" i="59"/>
  <c r="F24" i="59" s="1"/>
  <c r="F44" i="59" l="1"/>
  <c r="F23" i="70"/>
  <c r="G47" i="94"/>
  <c r="F6" i="69"/>
  <c r="F5" i="83"/>
  <c r="F10" i="83" s="1"/>
  <c r="F29" i="82"/>
  <c r="F33" i="82" s="1"/>
  <c r="F40" i="82"/>
  <c r="F43" i="83" s="1"/>
  <c r="G28" i="82"/>
  <c r="G21" i="82"/>
  <c r="G23" i="82" s="1"/>
  <c r="G25" i="82" s="1"/>
  <c r="F39" i="82"/>
  <c r="G54" i="94"/>
  <c r="F18" i="69" s="1"/>
  <c r="F14" i="69"/>
  <c r="F64" i="69" l="1"/>
  <c r="F11" i="69"/>
  <c r="F12" i="69" s="1"/>
  <c r="F19" i="69"/>
  <c r="H21" i="82"/>
  <c r="H23" i="82" s="1"/>
  <c r="H25" i="82" s="1"/>
  <c r="G31" i="82"/>
  <c r="G41" i="82" s="1"/>
  <c r="G34" i="83" s="1"/>
  <c r="G26" i="82"/>
  <c r="G39" i="82"/>
  <c r="F11" i="83"/>
  <c r="G30" i="82"/>
  <c r="G42" i="82" s="1"/>
  <c r="G35" i="83" s="1"/>
  <c r="F50" i="59"/>
  <c r="F53" i="59" s="1"/>
  <c r="F37" i="69" l="1"/>
  <c r="F55" i="59"/>
  <c r="F39" i="69" s="1"/>
  <c r="F56" i="59"/>
  <c r="F40" i="69" s="1"/>
  <c r="F57" i="59"/>
  <c r="F41" i="69" s="1"/>
  <c r="F58" i="59"/>
  <c r="F42" i="69" s="1"/>
  <c r="F54" i="59"/>
  <c r="F38" i="69" s="1"/>
  <c r="G32" i="82"/>
  <c r="H31" i="82"/>
  <c r="H41" i="82" s="1"/>
  <c r="H34" i="83" s="1"/>
  <c r="H39" i="82"/>
  <c r="H26" i="82"/>
  <c r="I21" i="82"/>
  <c r="I23" i="82" s="1"/>
  <c r="I25" i="82" s="1"/>
  <c r="H28" i="82" l="1"/>
  <c r="G33" i="82"/>
  <c r="G40" i="82"/>
  <c r="G43" i="83" s="1"/>
  <c r="J21" i="82"/>
  <c r="J23" i="82" s="1"/>
  <c r="J25" i="82" s="1"/>
  <c r="I39" i="82"/>
  <c r="I26" i="82"/>
  <c r="I31" i="82"/>
  <c r="I41" i="82" s="1"/>
  <c r="I34" i="83" s="1"/>
  <c r="F59" i="59"/>
  <c r="F43" i="69"/>
  <c r="J31" i="82" l="1"/>
  <c r="J41" i="82" s="1"/>
  <c r="J34" i="83" s="1"/>
  <c r="K21" i="82"/>
  <c r="K23" i="82" s="1"/>
  <c r="K25" i="82" s="1"/>
  <c r="J39" i="82"/>
  <c r="J26" i="82"/>
  <c r="H30" i="82"/>
  <c r="H42" i="82" s="1"/>
  <c r="H35" i="83" s="1"/>
  <c r="E16" i="83"/>
  <c r="E46" i="83" s="1"/>
  <c r="E8" i="83"/>
  <c r="E14" i="83"/>
  <c r="E44" i="83" s="1"/>
  <c r="F44" i="83" s="1"/>
  <c r="F48" i="83" s="1"/>
  <c r="F53" i="83" s="1"/>
  <c r="F6" i="84" s="1"/>
  <c r="E7" i="83"/>
  <c r="E6" i="83"/>
  <c r="E17" i="69"/>
  <c r="E15" i="69"/>
  <c r="E9" i="69"/>
  <c r="E72" i="69" s="1"/>
  <c r="E8" i="69"/>
  <c r="E7" i="69"/>
  <c r="H32" i="82" l="1"/>
  <c r="H33" i="82" s="1"/>
  <c r="F54" i="94"/>
  <c r="E18" i="69" s="1"/>
  <c r="E14" i="69"/>
  <c r="E5" i="83"/>
  <c r="F165" i="94"/>
  <c r="F171" i="94"/>
  <c r="E17" i="83" s="1"/>
  <c r="E13" i="83"/>
  <c r="E6" i="69"/>
  <c r="F47" i="94"/>
  <c r="K26" i="82"/>
  <c r="K39" i="82"/>
  <c r="K31" i="82"/>
  <c r="K41" i="82" s="1"/>
  <c r="K34" i="83" s="1"/>
  <c r="L21" i="82"/>
  <c r="L23" i="82" s="1"/>
  <c r="L25" i="82" s="1"/>
  <c r="E31" i="82"/>
  <c r="E41" i="82" s="1"/>
  <c r="E34" i="83" s="1"/>
  <c r="I28" i="82" l="1"/>
  <c r="I30" i="82" s="1"/>
  <c r="I42" i="82" s="1"/>
  <c r="I35" i="83" s="1"/>
  <c r="H40" i="82"/>
  <c r="H43" i="83" s="1"/>
  <c r="L31" i="82"/>
  <c r="L41" i="82" s="1"/>
  <c r="L34" i="83" s="1"/>
  <c r="L26" i="82"/>
  <c r="L39" i="82"/>
  <c r="E11" i="69"/>
  <c r="E64" i="69"/>
  <c r="E18" i="83"/>
  <c r="E10" i="83"/>
  <c r="E11" i="83" s="1"/>
  <c r="E33" i="83"/>
  <c r="E19" i="69"/>
  <c r="E21" i="82"/>
  <c r="E32" i="82"/>
  <c r="E25" i="82"/>
  <c r="E28" i="82"/>
  <c r="E30" i="82" s="1"/>
  <c r="E42" i="82" s="1"/>
  <c r="E35" i="83" s="1"/>
  <c r="D17" i="69"/>
  <c r="D98" i="69" s="1"/>
  <c r="D16" i="83"/>
  <c r="D46" i="83" s="1"/>
  <c r="E39" i="82" l="1"/>
  <c r="I32" i="82"/>
  <c r="J28" i="82" s="1"/>
  <c r="E12" i="69"/>
  <c r="E29" i="82"/>
  <c r="E33" i="82" s="1"/>
  <c r="E40" i="82"/>
  <c r="E43" i="83" s="1"/>
  <c r="E48" i="83" s="1"/>
  <c r="E53" i="83" s="1"/>
  <c r="E6" i="84" s="1"/>
  <c r="I40" i="82" l="1"/>
  <c r="I43" i="83" s="1"/>
  <c r="I33" i="82"/>
  <c r="J30" i="82"/>
  <c r="J42" i="82" s="1"/>
  <c r="J35" i="83" s="1"/>
  <c r="J32" i="82" l="1"/>
  <c r="K28" i="82" s="1"/>
  <c r="J33" i="82" l="1"/>
  <c r="J40" i="82"/>
  <c r="J43" i="83" s="1"/>
  <c r="K30" i="82"/>
  <c r="K42" i="82" s="1"/>
  <c r="K35" i="83" s="1"/>
  <c r="K32" i="82" l="1"/>
  <c r="K40" i="82" s="1"/>
  <c r="K43" i="83" s="1"/>
  <c r="L28" i="82" l="1"/>
  <c r="L30" i="82" s="1"/>
  <c r="L42" i="82" s="1"/>
  <c r="L35" i="83" s="1"/>
  <c r="K33" i="82"/>
  <c r="L32" i="82" l="1"/>
  <c r="L33" i="82" s="1"/>
  <c r="L40" i="82" l="1"/>
  <c r="L43" i="83" s="1"/>
  <c r="D30" i="69"/>
  <c r="D31" i="69"/>
  <c r="D32" i="69"/>
  <c r="D33" i="69"/>
  <c r="D34" i="69"/>
  <c r="D29" i="69"/>
  <c r="D35" i="69" l="1"/>
  <c r="D19" i="59" l="1"/>
  <c r="D18" i="59"/>
  <c r="D17" i="59"/>
  <c r="D16" i="59"/>
  <c r="D27" i="59" l="1"/>
  <c r="D50" i="69"/>
  <c r="D52" i="69"/>
  <c r="D29" i="59"/>
  <c r="D49" i="69"/>
  <c r="D26" i="59"/>
  <c r="D28" i="59"/>
  <c r="D51" i="69"/>
  <c r="D15" i="59"/>
  <c r="D47" i="69" l="1"/>
  <c r="D14" i="59"/>
  <c r="D48" i="69"/>
  <c r="D25" i="59"/>
  <c r="D27" i="70"/>
  <c r="D48" i="59"/>
  <c r="D46" i="59"/>
  <c r="D25" i="70"/>
  <c r="D49" i="59"/>
  <c r="D28" i="70"/>
  <c r="D47" i="59"/>
  <c r="D26" i="70"/>
  <c r="D24" i="70" l="1"/>
  <c r="D45" i="59"/>
  <c r="D6" i="59" l="1"/>
  <c r="D24" i="59" s="1"/>
  <c r="D44" i="59" l="1"/>
  <c r="D50" i="59" s="1"/>
  <c r="D23" i="70"/>
  <c r="D53" i="59" l="1"/>
  <c r="D58" i="59"/>
  <c r="D42" i="69" s="1"/>
  <c r="D55" i="59"/>
  <c r="D39" i="69" s="1"/>
  <c r="D57" i="59"/>
  <c r="D41" i="69" s="1"/>
  <c r="D56" i="59"/>
  <c r="D40" i="69" s="1"/>
  <c r="D54" i="59"/>
  <c r="D38" i="69" s="1"/>
  <c r="D37" i="69" l="1"/>
  <c r="D59" i="59"/>
  <c r="D43" i="69" l="1"/>
  <c r="D54" i="69"/>
  <c r="D14" i="83" l="1"/>
  <c r="D44" i="83" s="1"/>
  <c r="D8" i="83"/>
  <c r="D36" i="83" s="1"/>
  <c r="E36" i="83" s="1"/>
  <c r="E39" i="83" s="1"/>
  <c r="E52" i="83" s="1"/>
  <c r="E5" i="84" s="1"/>
  <c r="E25" i="84" s="1"/>
  <c r="D7" i="83"/>
  <c r="D35" i="83" s="1"/>
  <c r="D6" i="83"/>
  <c r="D34" i="83" s="1"/>
  <c r="E165" i="94" l="1"/>
  <c r="E27" i="84"/>
  <c r="E29" i="84"/>
  <c r="E28" i="84"/>
  <c r="D13" i="83"/>
  <c r="D43" i="83" s="1"/>
  <c r="D48" i="83" s="1"/>
  <c r="D53" i="83" s="1"/>
  <c r="D6" i="84" s="1"/>
  <c r="E171" i="94"/>
  <c r="D17" i="83" s="1"/>
  <c r="D18" i="83" s="1"/>
  <c r="H44" i="83"/>
  <c r="I44" i="83"/>
  <c r="K44" i="83"/>
  <c r="G44" i="83"/>
  <c r="L44" i="83"/>
  <c r="J44" i="83"/>
  <c r="D31" i="82"/>
  <c r="D41" i="82" s="1"/>
  <c r="E45" i="84" l="1"/>
  <c r="E30" i="84"/>
  <c r="D28" i="82"/>
  <c r="D30" i="82" s="1"/>
  <c r="D42" i="82" s="1"/>
  <c r="D25" i="82"/>
  <c r="D21" i="82"/>
  <c r="D32" i="82"/>
  <c r="D39" i="82" l="1"/>
  <c r="E31" i="84"/>
  <c r="D40" i="82"/>
  <c r="D29" i="82"/>
  <c r="D33" i="82" s="1"/>
  <c r="F24" i="65" l="1"/>
  <c r="F78" i="65" l="1"/>
  <c r="E30" i="65"/>
  <c r="F98" i="65"/>
  <c r="D15" i="69"/>
  <c r="D90" i="69" s="1"/>
  <c r="D7" i="69"/>
  <c r="D9" i="69"/>
  <c r="D72" i="69" s="1"/>
  <c r="D8" i="69"/>
  <c r="D14" i="69" l="1"/>
  <c r="E54" i="94"/>
  <c r="D18" i="69" s="1"/>
  <c r="D6" i="69"/>
  <c r="E47" i="94"/>
  <c r="D5" i="83"/>
  <c r="I90" i="69"/>
  <c r="J90" i="69"/>
  <c r="K90" i="69"/>
  <c r="G90" i="69"/>
  <c r="L90" i="69"/>
  <c r="H90" i="69"/>
  <c r="F90" i="69"/>
  <c r="E90" i="69"/>
  <c r="D70" i="69"/>
  <c r="F126" i="65"/>
  <c r="F109" i="65"/>
  <c r="D61" i="69" s="1"/>
  <c r="D77" i="69" s="1"/>
  <c r="D78" i="69" s="1"/>
  <c r="G24" i="65"/>
  <c r="G78" i="65" s="1"/>
  <c r="F25" i="65"/>
  <c r="F79" i="65" s="1"/>
  <c r="D69" i="69" s="1"/>
  <c r="G95" i="65"/>
  <c r="F95" i="65"/>
  <c r="F22" i="65"/>
  <c r="F76" i="65" s="1"/>
  <c r="D8" i="81"/>
  <c r="D19" i="69" l="1"/>
  <c r="F124" i="65"/>
  <c r="F127" i="65"/>
  <c r="G109" i="65"/>
  <c r="E61" i="69" s="1"/>
  <c r="G126" i="65"/>
  <c r="D10" i="83"/>
  <c r="D33" i="83"/>
  <c r="D39" i="83" s="1"/>
  <c r="D52" i="83" s="1"/>
  <c r="D5" i="84" s="1"/>
  <c r="D25" i="84" s="1"/>
  <c r="D11" i="69"/>
  <c r="D12" i="69" s="1"/>
  <c r="D64" i="69"/>
  <c r="D73" i="69"/>
  <c r="D74" i="69" s="1"/>
  <c r="H24" i="65"/>
  <c r="H78" i="65" s="1"/>
  <c r="D28" i="84" l="1"/>
  <c r="D27" i="84"/>
  <c r="D29" i="84"/>
  <c r="H126" i="65"/>
  <c r="H109" i="65"/>
  <c r="F61" i="69" s="1"/>
  <c r="D11" i="83"/>
  <c r="E77" i="69"/>
  <c r="E78" i="69" s="1"/>
  <c r="E73" i="69"/>
  <c r="E74" i="69" s="1"/>
  <c r="E65" i="69"/>
  <c r="D65" i="69"/>
  <c r="D66" i="69" s="1"/>
  <c r="D82" i="69" s="1"/>
  <c r="D132" i="69" s="1"/>
  <c r="G25" i="65"/>
  <c r="G79" i="65" s="1"/>
  <c r="E69" i="69" s="1"/>
  <c r="G98" i="65"/>
  <c r="H95" i="65"/>
  <c r="D135" i="69" l="1"/>
  <c r="D137" i="69"/>
  <c r="D138" i="69"/>
  <c r="D139" i="69"/>
  <c r="D136" i="69"/>
  <c r="D134" i="69"/>
  <c r="D81" i="69"/>
  <c r="D110" i="69" s="1"/>
  <c r="D80" i="69"/>
  <c r="E81" i="69"/>
  <c r="E110" i="69" s="1"/>
  <c r="E66" i="69"/>
  <c r="G127" i="65"/>
  <c r="E70" i="69"/>
  <c r="D45" i="84"/>
  <c r="D30" i="84"/>
  <c r="F77" i="69"/>
  <c r="F78" i="69" s="1"/>
  <c r="F73" i="69"/>
  <c r="F74" i="69" s="1"/>
  <c r="F65" i="69"/>
  <c r="G100" i="65"/>
  <c r="D83" i="69" l="1"/>
  <c r="D140" i="69"/>
  <c r="D141" i="69" s="1"/>
  <c r="D31" i="84"/>
  <c r="E80" i="69"/>
  <c r="E82" i="69"/>
  <c r="E132" i="69" s="1"/>
  <c r="E117" i="69"/>
  <c r="E112" i="69"/>
  <c r="E113" i="69"/>
  <c r="E116" i="69"/>
  <c r="E115" i="69"/>
  <c r="E114" i="69"/>
  <c r="F66" i="69"/>
  <c r="G113" i="65"/>
  <c r="E88" i="69" s="1"/>
  <c r="D117" i="69"/>
  <c r="D162" i="69" s="1"/>
  <c r="D10" i="70" s="1"/>
  <c r="D112" i="69"/>
  <c r="D113" i="69"/>
  <c r="D158" i="69" s="1"/>
  <c r="D6" i="70" s="1"/>
  <c r="D116" i="69"/>
  <c r="D161" i="69" s="1"/>
  <c r="D9" i="70" s="1"/>
  <c r="D115" i="69"/>
  <c r="D160" i="69" s="1"/>
  <c r="D8" i="70" s="1"/>
  <c r="D114" i="69"/>
  <c r="D159" i="69" s="1"/>
  <c r="D7" i="70" s="1"/>
  <c r="H25" i="65"/>
  <c r="H79" i="65" s="1"/>
  <c r="F69" i="69" s="1"/>
  <c r="F81" i="69" s="1"/>
  <c r="F110" i="69" s="1"/>
  <c r="H98" i="65"/>
  <c r="E17" i="59"/>
  <c r="E50" i="69" s="1"/>
  <c r="D157" i="69" l="1"/>
  <c r="D118" i="69"/>
  <c r="D119" i="69" s="1"/>
  <c r="E118" i="69"/>
  <c r="E119" i="69" s="1"/>
  <c r="F70" i="69"/>
  <c r="F82" i="69" s="1"/>
  <c r="F132" i="69" s="1"/>
  <c r="H127" i="65"/>
  <c r="E83" i="69"/>
  <c r="F117" i="69"/>
  <c r="F112" i="69"/>
  <c r="F115" i="69"/>
  <c r="F114" i="69"/>
  <c r="F113" i="69"/>
  <c r="F116" i="69"/>
  <c r="H100" i="65"/>
  <c r="F17" i="59"/>
  <c r="F50" i="69" s="1"/>
  <c r="E18" i="59"/>
  <c r="E51" i="69" s="1"/>
  <c r="E19" i="59"/>
  <c r="E52" i="69" s="1"/>
  <c r="I95" i="65" l="1"/>
  <c r="H113" i="65"/>
  <c r="F88" i="69" s="1"/>
  <c r="F118" i="69"/>
  <c r="F119" i="69" s="1"/>
  <c r="F139" i="69"/>
  <c r="F162" i="69" s="1"/>
  <c r="F10" i="70" s="1"/>
  <c r="F134" i="69"/>
  <c r="F138" i="69"/>
  <c r="F161" i="69" s="1"/>
  <c r="F9" i="70" s="1"/>
  <c r="F135" i="69"/>
  <c r="F158" i="69" s="1"/>
  <c r="F6" i="70" s="1"/>
  <c r="F137" i="69"/>
  <c r="F160" i="69" s="1"/>
  <c r="F8" i="70" s="1"/>
  <c r="F136" i="69"/>
  <c r="F159" i="69" s="1"/>
  <c r="F7" i="70" s="1"/>
  <c r="D163" i="69"/>
  <c r="D5" i="70"/>
  <c r="F80" i="69"/>
  <c r="F83" i="69" s="1"/>
  <c r="F19" i="59"/>
  <c r="F52" i="69" s="1"/>
  <c r="F18" i="59"/>
  <c r="F51" i="69" s="1"/>
  <c r="G17" i="59"/>
  <c r="E16" i="59"/>
  <c r="E49" i="69" s="1"/>
  <c r="F140" i="69" l="1"/>
  <c r="F141" i="69" s="1"/>
  <c r="F157" i="69"/>
  <c r="I98" i="65"/>
  <c r="I100" i="65" s="1"/>
  <c r="I113" i="65" s="1"/>
  <c r="G88" i="69" s="1"/>
  <c r="D11" i="70"/>
  <c r="G50" i="69"/>
  <c r="G27" i="59"/>
  <c r="E15" i="59"/>
  <c r="G19" i="59"/>
  <c r="G18" i="59"/>
  <c r="F15" i="59"/>
  <c r="F16" i="59"/>
  <c r="F49" i="69" s="1"/>
  <c r="D12" i="70" l="1"/>
  <c r="E48" i="69"/>
  <c r="E47" i="69"/>
  <c r="E14" i="59"/>
  <c r="E24" i="59" s="1"/>
  <c r="G26" i="70"/>
  <c r="G47" i="59"/>
  <c r="J95" i="65"/>
  <c r="G70" i="69"/>
  <c r="G28" i="59"/>
  <c r="G51" i="69"/>
  <c r="F163" i="69"/>
  <c r="F5" i="70"/>
  <c r="G52" i="69"/>
  <c r="G29" i="59"/>
  <c r="F47" i="69"/>
  <c r="F14" i="59"/>
  <c r="F48" i="69"/>
  <c r="H17" i="59"/>
  <c r="H50" i="69" s="1"/>
  <c r="H19" i="59"/>
  <c r="H52" i="69" s="1"/>
  <c r="G16" i="59"/>
  <c r="H18" i="59"/>
  <c r="H51" i="69" s="1"/>
  <c r="G15" i="59"/>
  <c r="G48" i="59" l="1"/>
  <c r="H28" i="59"/>
  <c r="G27" i="70"/>
  <c r="G48" i="69"/>
  <c r="G14" i="59"/>
  <c r="G24" i="59" s="1"/>
  <c r="G25" i="59"/>
  <c r="G47" i="69"/>
  <c r="H27" i="59"/>
  <c r="J98" i="65"/>
  <c r="E44" i="59"/>
  <c r="E50" i="59" s="1"/>
  <c r="E23" i="70"/>
  <c r="F11" i="70"/>
  <c r="G26" i="59"/>
  <c r="G49" i="69"/>
  <c r="F54" i="69"/>
  <c r="H29" i="59"/>
  <c r="G49" i="59"/>
  <c r="G28" i="70"/>
  <c r="I19" i="59"/>
  <c r="I52" i="69" s="1"/>
  <c r="I17" i="59"/>
  <c r="I50" i="69" s="1"/>
  <c r="I18" i="59"/>
  <c r="I51" i="69" s="1"/>
  <c r="H15" i="59"/>
  <c r="F12" i="70" l="1"/>
  <c r="H70" i="69"/>
  <c r="E53" i="59"/>
  <c r="E55" i="59"/>
  <c r="E39" i="69" s="1"/>
  <c r="E56" i="59"/>
  <c r="E40" i="69" s="1"/>
  <c r="E58" i="59"/>
  <c r="E42" i="69" s="1"/>
  <c r="E54" i="59"/>
  <c r="E38" i="69" s="1"/>
  <c r="E57" i="59"/>
  <c r="E41" i="69" s="1"/>
  <c r="J100" i="65"/>
  <c r="H48" i="69"/>
  <c r="H47" i="69"/>
  <c r="H14" i="59"/>
  <c r="H24" i="59" s="1"/>
  <c r="I27" i="59"/>
  <c r="H26" i="70"/>
  <c r="H47" i="59"/>
  <c r="G46" i="59"/>
  <c r="G25" i="70"/>
  <c r="H26" i="59"/>
  <c r="H25" i="59"/>
  <c r="G45" i="59"/>
  <c r="G24" i="70"/>
  <c r="G23" i="70"/>
  <c r="G44" i="59"/>
  <c r="H48" i="59"/>
  <c r="I28" i="59"/>
  <c r="H27" i="70"/>
  <c r="I29" i="59"/>
  <c r="H49" i="59"/>
  <c r="H28" i="70"/>
  <c r="J18" i="59"/>
  <c r="J51" i="69" s="1"/>
  <c r="J19" i="59"/>
  <c r="J52" i="69" s="1"/>
  <c r="I15" i="59"/>
  <c r="J17" i="59"/>
  <c r="J50" i="69" s="1"/>
  <c r="H16" i="59"/>
  <c r="H49" i="69" s="1"/>
  <c r="I48" i="69" l="1"/>
  <c r="I47" i="69"/>
  <c r="I14" i="59"/>
  <c r="I24" i="59" s="1"/>
  <c r="E135" i="69"/>
  <c r="E158" i="69" s="1"/>
  <c r="E6" i="70" s="1"/>
  <c r="H46" i="59"/>
  <c r="H25" i="70"/>
  <c r="K95" i="65"/>
  <c r="J113" i="65"/>
  <c r="H88" i="69" s="1"/>
  <c r="J29" i="59"/>
  <c r="I49" i="59"/>
  <c r="I28" i="70"/>
  <c r="E138" i="69"/>
  <c r="E161" i="69" s="1"/>
  <c r="E9" i="70" s="1"/>
  <c r="I27" i="70"/>
  <c r="J28" i="59"/>
  <c r="I48" i="59"/>
  <c r="E139" i="69"/>
  <c r="E162" i="69" s="1"/>
  <c r="E10" i="70" s="1"/>
  <c r="E137" i="69"/>
  <c r="E160" i="69" s="1"/>
  <c r="E8" i="70" s="1"/>
  <c r="E136" i="69"/>
  <c r="E159" i="69" s="1"/>
  <c r="E7" i="70" s="1"/>
  <c r="J27" i="59"/>
  <c r="I26" i="70"/>
  <c r="I47" i="59"/>
  <c r="H44" i="59"/>
  <c r="H23" i="70"/>
  <c r="G50" i="59"/>
  <c r="G53" i="59"/>
  <c r="E37" i="69"/>
  <c r="E59" i="59"/>
  <c r="G55" i="59"/>
  <c r="G39" i="69" s="1"/>
  <c r="H24" i="70"/>
  <c r="I25" i="59"/>
  <c r="H45" i="59"/>
  <c r="K17" i="59"/>
  <c r="K50" i="69" s="1"/>
  <c r="J15" i="59"/>
  <c r="K18" i="59"/>
  <c r="K51" i="69" s="1"/>
  <c r="K19" i="59"/>
  <c r="K52" i="69" s="1"/>
  <c r="I16" i="59"/>
  <c r="I49" i="69" s="1"/>
  <c r="K28" i="59" l="1"/>
  <c r="J48" i="59"/>
  <c r="J27" i="70"/>
  <c r="I24" i="70"/>
  <c r="I45" i="59"/>
  <c r="J25" i="59"/>
  <c r="K29" i="59"/>
  <c r="J49" i="59"/>
  <c r="J28" i="70"/>
  <c r="G37" i="69"/>
  <c r="H50" i="59"/>
  <c r="H53" i="59" s="1"/>
  <c r="E54" i="69"/>
  <c r="E43" i="69"/>
  <c r="E134" i="69"/>
  <c r="G54" i="59"/>
  <c r="G38" i="69" s="1"/>
  <c r="G56" i="59"/>
  <c r="G40" i="69" s="1"/>
  <c r="G57" i="59"/>
  <c r="G41" i="69" s="1"/>
  <c r="G58" i="59"/>
  <c r="G42" i="69" s="1"/>
  <c r="K98" i="65"/>
  <c r="K100" i="65" s="1"/>
  <c r="K113" i="65" s="1"/>
  <c r="I88" i="69" s="1"/>
  <c r="I26" i="59"/>
  <c r="J47" i="69"/>
  <c r="J14" i="59"/>
  <c r="J24" i="59" s="1"/>
  <c r="J48" i="69"/>
  <c r="J47" i="59"/>
  <c r="K27" i="59"/>
  <c r="J26" i="70"/>
  <c r="I44" i="59"/>
  <c r="I23" i="70"/>
  <c r="J16" i="59"/>
  <c r="J49" i="69" s="1"/>
  <c r="L17" i="59"/>
  <c r="L50" i="69" s="1"/>
  <c r="K15" i="59"/>
  <c r="L19" i="59"/>
  <c r="L52" i="69" s="1"/>
  <c r="L18" i="59"/>
  <c r="L51" i="69" s="1"/>
  <c r="G59" i="59" l="1"/>
  <c r="E140" i="69"/>
  <c r="E141" i="69" s="1"/>
  <c r="E157" i="69"/>
  <c r="J44" i="59"/>
  <c r="J23" i="70"/>
  <c r="H55" i="59"/>
  <c r="H39" i="69" s="1"/>
  <c r="H58" i="59"/>
  <c r="H42" i="69" s="1"/>
  <c r="H57" i="59"/>
  <c r="H41" i="69" s="1"/>
  <c r="H56" i="59"/>
  <c r="H40" i="69" s="1"/>
  <c r="J45" i="59"/>
  <c r="K25" i="59"/>
  <c r="J24" i="70"/>
  <c r="H37" i="69"/>
  <c r="L95" i="65"/>
  <c r="I46" i="59"/>
  <c r="I50" i="59" s="1"/>
  <c r="I53" i="59" s="1"/>
  <c r="J26" i="59"/>
  <c r="I25" i="70"/>
  <c r="G54" i="69"/>
  <c r="G43" i="69"/>
  <c r="K26" i="70"/>
  <c r="L27" i="59"/>
  <c r="K47" i="59"/>
  <c r="E94" i="69"/>
  <c r="E98" i="69"/>
  <c r="I70" i="69"/>
  <c r="K14" i="59"/>
  <c r="K24" i="59" s="1"/>
  <c r="K48" i="69"/>
  <c r="K47" i="69"/>
  <c r="K28" i="70"/>
  <c r="L29" i="59"/>
  <c r="K49" i="59"/>
  <c r="K48" i="59"/>
  <c r="L28" i="59"/>
  <c r="K27" i="70"/>
  <c r="H54" i="59"/>
  <c r="H38" i="69" s="1"/>
  <c r="L15" i="59"/>
  <c r="K16" i="59"/>
  <c r="K49" i="69" s="1"/>
  <c r="H59" i="59" l="1"/>
  <c r="K44" i="59"/>
  <c r="K23" i="70"/>
  <c r="L98" i="65"/>
  <c r="L47" i="59"/>
  <c r="L26" i="70"/>
  <c r="L47" i="69"/>
  <c r="L48" i="69"/>
  <c r="L14" i="59"/>
  <c r="L24" i="59" s="1"/>
  <c r="L48" i="59"/>
  <c r="L27" i="70"/>
  <c r="K24" i="70"/>
  <c r="L25" i="59"/>
  <c r="K45" i="59"/>
  <c r="G76" i="69"/>
  <c r="G72" i="69"/>
  <c r="G64" i="69"/>
  <c r="J46" i="59"/>
  <c r="K26" i="59"/>
  <c r="J25" i="70"/>
  <c r="H43" i="69"/>
  <c r="H54" i="69"/>
  <c r="F98" i="69"/>
  <c r="F94" i="69"/>
  <c r="I37" i="69"/>
  <c r="I57" i="59"/>
  <c r="I41" i="69" s="1"/>
  <c r="I58" i="59"/>
  <c r="I42" i="69" s="1"/>
  <c r="I56" i="59"/>
  <c r="I40" i="69" s="1"/>
  <c r="I54" i="59"/>
  <c r="I38" i="69" s="1"/>
  <c r="I55" i="59"/>
  <c r="I39" i="69" s="1"/>
  <c r="L28" i="70"/>
  <c r="L49" i="59"/>
  <c r="E5" i="70"/>
  <c r="E163" i="69"/>
  <c r="L16" i="59"/>
  <c r="L49" i="69" s="1"/>
  <c r="H76" i="69" l="1"/>
  <c r="I54" i="69"/>
  <c r="I43" i="69"/>
  <c r="H72" i="69"/>
  <c r="I59" i="59"/>
  <c r="L24" i="70"/>
  <c r="L45" i="59"/>
  <c r="L23" i="70"/>
  <c r="L44" i="59"/>
  <c r="G94" i="69"/>
  <c r="E11" i="70"/>
  <c r="G98" i="69"/>
  <c r="H64" i="69"/>
  <c r="K46" i="59"/>
  <c r="K50" i="59" s="1"/>
  <c r="K53" i="59" s="1"/>
  <c r="L26" i="59"/>
  <c r="K25" i="70"/>
  <c r="J50" i="59"/>
  <c r="J55" i="59"/>
  <c r="J39" i="69" s="1"/>
  <c r="L100" i="65"/>
  <c r="J70" i="69"/>
  <c r="D11" i="81"/>
  <c r="D14" i="81" s="1"/>
  <c r="E8" i="81"/>
  <c r="I64" i="69" l="1"/>
  <c r="K37" i="69"/>
  <c r="K57" i="59"/>
  <c r="K41" i="69" s="1"/>
  <c r="K56" i="59"/>
  <c r="K40" i="69" s="1"/>
  <c r="K58" i="59"/>
  <c r="K42" i="69" s="1"/>
  <c r="K54" i="59"/>
  <c r="K38" i="69" s="1"/>
  <c r="H98" i="69"/>
  <c r="L113" i="65"/>
  <c r="J88" i="69" s="1"/>
  <c r="M95" i="65"/>
  <c r="H94" i="69"/>
  <c r="J54" i="59"/>
  <c r="J38" i="69" s="1"/>
  <c r="J56" i="59"/>
  <c r="J40" i="69" s="1"/>
  <c r="J57" i="59"/>
  <c r="J41" i="69" s="1"/>
  <c r="J58" i="59"/>
  <c r="J42" i="69" s="1"/>
  <c r="J53" i="59"/>
  <c r="L25" i="70"/>
  <c r="L46" i="59"/>
  <c r="L50" i="59" s="1"/>
  <c r="L54" i="59" s="1"/>
  <c r="L38" i="69" s="1"/>
  <c r="K55" i="59"/>
  <c r="K39" i="69" s="1"/>
  <c r="I72" i="69"/>
  <c r="E12" i="70"/>
  <c r="D35" i="81"/>
  <c r="D56" i="81"/>
  <c r="D74" i="81" s="1"/>
  <c r="D55" i="81"/>
  <c r="D73" i="81" s="1"/>
  <c r="D47" i="81"/>
  <c r="D34" i="81"/>
  <c r="D32" i="81"/>
  <c r="D59" i="81"/>
  <c r="D77" i="81" s="1"/>
  <c r="D58" i="81"/>
  <c r="D76" i="81" s="1"/>
  <c r="D53" i="81"/>
  <c r="D71" i="81" s="1"/>
  <c r="D52" i="81"/>
  <c r="D70" i="81" s="1"/>
  <c r="D64" i="81"/>
  <c r="D82" i="81" s="1"/>
  <c r="D62" i="81"/>
  <c r="D80" i="81" s="1"/>
  <c r="D36" i="81"/>
  <c r="D95" i="81" s="1"/>
  <c r="D61" i="81"/>
  <c r="D79" i="81" s="1"/>
  <c r="D8" i="84"/>
  <c r="D33" i="81"/>
  <c r="D65" i="81"/>
  <c r="D83" i="81" s="1"/>
  <c r="D94" i="81" s="1"/>
  <c r="I76" i="69"/>
  <c r="D86" i="81" l="1"/>
  <c r="D52" i="84" s="1"/>
  <c r="G30" i="91" s="1"/>
  <c r="L53" i="59"/>
  <c r="D89" i="81"/>
  <c r="D85" i="81"/>
  <c r="D51" i="84" s="1"/>
  <c r="L55" i="59"/>
  <c r="L39" i="69" s="1"/>
  <c r="J59" i="59"/>
  <c r="J37" i="69"/>
  <c r="I98" i="69"/>
  <c r="D40" i="81"/>
  <c r="D37" i="81"/>
  <c r="D38" i="81" s="1"/>
  <c r="D90" i="81"/>
  <c r="D34" i="84"/>
  <c r="D35" i="84"/>
  <c r="D33" i="84"/>
  <c r="D46" i="84" s="1"/>
  <c r="D36" i="84"/>
  <c r="M98" i="65"/>
  <c r="M100" i="65" s="1"/>
  <c r="M113" i="65" s="1"/>
  <c r="K88" i="69" s="1"/>
  <c r="L37" i="69"/>
  <c r="L56" i="59"/>
  <c r="L40" i="69" s="1"/>
  <c r="L57" i="59"/>
  <c r="L41" i="69" s="1"/>
  <c r="L58" i="59"/>
  <c r="L42" i="69" s="1"/>
  <c r="K59" i="59"/>
  <c r="D96" i="81"/>
  <c r="I94" i="69"/>
  <c r="K54" i="69"/>
  <c r="K43" i="69"/>
  <c r="E11" i="81"/>
  <c r="E14" i="81" s="1"/>
  <c r="F8" i="81"/>
  <c r="D37" i="84" l="1"/>
  <c r="G29" i="91"/>
  <c r="G31" i="91" s="1"/>
  <c r="D91" i="81"/>
  <c r="N95" i="65"/>
  <c r="L59" i="59"/>
  <c r="D102" i="81"/>
  <c r="D43" i="84" s="1"/>
  <c r="D49" i="84" s="1"/>
  <c r="D40" i="84"/>
  <c r="L43" i="69"/>
  <c r="L54" i="69"/>
  <c r="K70" i="69"/>
  <c r="E36" i="81"/>
  <c r="E95" i="81" s="1"/>
  <c r="E52" i="81"/>
  <c r="E70" i="81" s="1"/>
  <c r="E58" i="81"/>
  <c r="E76" i="81" s="1"/>
  <c r="E47" i="81"/>
  <c r="E56" i="81"/>
  <c r="E74" i="81" s="1"/>
  <c r="E35" i="81"/>
  <c r="E32" i="81"/>
  <c r="E33" i="81"/>
  <c r="E64" i="81"/>
  <c r="E82" i="81" s="1"/>
  <c r="E34" i="81"/>
  <c r="E61" i="81"/>
  <c r="E79" i="81" s="1"/>
  <c r="E59" i="81"/>
  <c r="E77" i="81" s="1"/>
  <c r="E53" i="81"/>
  <c r="E71" i="81" s="1"/>
  <c r="E62" i="81"/>
  <c r="E80" i="81" s="1"/>
  <c r="E55" i="81"/>
  <c r="E73" i="81" s="1"/>
  <c r="E8" i="84"/>
  <c r="E15" i="81"/>
  <c r="D27" i="83" s="1"/>
  <c r="E65" i="81"/>
  <c r="E83" i="81" s="1"/>
  <c r="E94" i="81" s="1"/>
  <c r="J43" i="69"/>
  <c r="J54" i="69"/>
  <c r="J94" i="69" s="1"/>
  <c r="F11" i="81"/>
  <c r="F14" i="81" s="1"/>
  <c r="D67" i="84" l="1"/>
  <c r="J98" i="69"/>
  <c r="K98" i="69" s="1"/>
  <c r="E85" i="81"/>
  <c r="E51" i="84" s="1"/>
  <c r="E89" i="81"/>
  <c r="F8" i="84"/>
  <c r="F61" i="81"/>
  <c r="F79" i="81" s="1"/>
  <c r="F58" i="81"/>
  <c r="F76" i="81" s="1"/>
  <c r="F56" i="81"/>
  <c r="F74" i="81" s="1"/>
  <c r="F32" i="81"/>
  <c r="F62" i="81"/>
  <c r="F80" i="81" s="1"/>
  <c r="F64" i="81"/>
  <c r="F82" i="81" s="1"/>
  <c r="F53" i="81"/>
  <c r="F71" i="81" s="1"/>
  <c r="F34" i="81"/>
  <c r="F15" i="81"/>
  <c r="E27" i="83" s="1"/>
  <c r="F65" i="81"/>
  <c r="F83" i="81" s="1"/>
  <c r="F55" i="81"/>
  <c r="F73" i="81" s="1"/>
  <c r="F35" i="81"/>
  <c r="F36" i="81"/>
  <c r="F95" i="81" s="1"/>
  <c r="F59" i="81"/>
  <c r="F77" i="81" s="1"/>
  <c r="F47" i="81"/>
  <c r="F52" i="81"/>
  <c r="F70" i="81" s="1"/>
  <c r="F33" i="81"/>
  <c r="N98" i="65"/>
  <c r="N100" i="65" s="1"/>
  <c r="N113" i="65" s="1"/>
  <c r="L88" i="69" s="1"/>
  <c r="E86" i="81"/>
  <c r="E52" i="84" s="1"/>
  <c r="H30" i="91" s="1"/>
  <c r="K94" i="69"/>
  <c r="J64" i="69"/>
  <c r="J72" i="69"/>
  <c r="J76" i="69"/>
  <c r="D101" i="81"/>
  <c r="D42" i="84" s="1"/>
  <c r="D48" i="84" s="1"/>
  <c r="D39" i="84"/>
  <c r="G22" i="91"/>
  <c r="F31" i="91"/>
  <c r="E96" i="81"/>
  <c r="E34" i="84"/>
  <c r="E35" i="84"/>
  <c r="E33" i="84"/>
  <c r="E46" i="84" s="1"/>
  <c r="E36" i="84"/>
  <c r="E37" i="81"/>
  <c r="E38" i="81" s="1"/>
  <c r="E40" i="81"/>
  <c r="E90" i="81"/>
  <c r="G8" i="81"/>
  <c r="D66" i="84" l="1"/>
  <c r="E37" i="84"/>
  <c r="F86" i="81"/>
  <c r="F52" i="84" s="1"/>
  <c r="I30" i="91" s="1"/>
  <c r="L70" i="69"/>
  <c r="D54" i="84" a="1"/>
  <c r="D54" i="84" s="1"/>
  <c r="D57" i="84" s="1"/>
  <c r="D63" i="84" s="1"/>
  <c r="D70" i="84" s="1"/>
  <c r="E91" i="81"/>
  <c r="H29" i="91"/>
  <c r="H31" i="91" s="1"/>
  <c r="H22" i="91" s="1"/>
  <c r="L94" i="69"/>
  <c r="F94" i="81"/>
  <c r="F96" i="81" s="1"/>
  <c r="F22" i="91"/>
  <c r="E31" i="91"/>
  <c r="F40" i="81"/>
  <c r="F90" i="81"/>
  <c r="F37" i="81"/>
  <c r="F38" i="81" s="1"/>
  <c r="L98" i="69"/>
  <c r="F85" i="81"/>
  <c r="F51" i="84" s="1"/>
  <c r="I29" i="91" s="1"/>
  <c r="I31" i="91" s="1"/>
  <c r="I22" i="91" s="1"/>
  <c r="F89" i="81"/>
  <c r="E102" i="81"/>
  <c r="E43" i="84" s="1"/>
  <c r="E49" i="84" s="1"/>
  <c r="E40" i="84"/>
  <c r="K76" i="69"/>
  <c r="K72" i="69"/>
  <c r="K64" i="69"/>
  <c r="G11" i="81"/>
  <c r="G14" i="81" s="1"/>
  <c r="G73" i="81" s="1"/>
  <c r="E67" i="84" l="1"/>
  <c r="F91" i="81"/>
  <c r="F39" i="84" s="1"/>
  <c r="G71" i="81"/>
  <c r="G33" i="81"/>
  <c r="G47" i="81"/>
  <c r="G15" i="81"/>
  <c r="F27" i="83" s="1"/>
  <c r="F33" i="83" s="1"/>
  <c r="G35" i="81"/>
  <c r="G32" i="81"/>
  <c r="G34" i="81"/>
  <c r="G36" i="81"/>
  <c r="G95" i="81" s="1"/>
  <c r="G8" i="84"/>
  <c r="L64" i="69"/>
  <c r="G74" i="81"/>
  <c r="L72" i="69"/>
  <c r="G79" i="81"/>
  <c r="G80" i="81"/>
  <c r="G83" i="81"/>
  <c r="F102" i="81"/>
  <c r="F43" i="84" s="1"/>
  <c r="F40" i="84"/>
  <c r="E101" i="81"/>
  <c r="E42" i="84" s="1"/>
  <c r="E48" i="84" s="1"/>
  <c r="E39" i="84"/>
  <c r="G70" i="81"/>
  <c r="D56" i="84"/>
  <c r="D62" i="84" s="1"/>
  <c r="D71" i="84" s="1"/>
  <c r="G77" i="81"/>
  <c r="G76" i="81"/>
  <c r="D31" i="91"/>
  <c r="D22" i="91" s="1"/>
  <c r="E22" i="91"/>
  <c r="L76" i="69"/>
  <c r="G82" i="81"/>
  <c r="H8" i="81"/>
  <c r="F101" i="81" l="1"/>
  <c r="F42" i="84" s="1"/>
  <c r="F66" i="84" s="1"/>
  <c r="E66" i="84"/>
  <c r="G94" i="81"/>
  <c r="G96" i="81" s="1"/>
  <c r="F39" i="83"/>
  <c r="F52" i="83" s="1"/>
  <c r="F5" i="84" s="1"/>
  <c r="F25" i="84" s="1"/>
  <c r="G40" i="81"/>
  <c r="G90" i="81"/>
  <c r="G37" i="81"/>
  <c r="G38" i="81" s="1"/>
  <c r="G86" i="81"/>
  <c r="G52" i="84" s="1"/>
  <c r="J30" i="91" s="1"/>
  <c r="G85" i="81"/>
  <c r="G51" i="84" s="1"/>
  <c r="J29" i="91" s="1"/>
  <c r="G89" i="81"/>
  <c r="E54" i="84"/>
  <c r="E57" i="84" s="1"/>
  <c r="E63" i="84" s="1"/>
  <c r="E70" i="84" s="1"/>
  <c r="F67" i="84"/>
  <c r="G91" i="81" l="1"/>
  <c r="G101" i="81" s="1"/>
  <c r="G42" i="84" s="1"/>
  <c r="J31" i="91"/>
  <c r="J22" i="91" s="1"/>
  <c r="E56" i="84"/>
  <c r="E62" i="84" s="1"/>
  <c r="E71" i="84" s="1"/>
  <c r="F29" i="84"/>
  <c r="F35" i="84" s="1"/>
  <c r="F28" i="84"/>
  <c r="F34" i="84" s="1"/>
  <c r="F27" i="84"/>
  <c r="G102" i="81"/>
  <c r="G43" i="84" s="1"/>
  <c r="G40" i="84"/>
  <c r="I8" i="81"/>
  <c r="H11" i="81"/>
  <c r="H14" i="81" s="1"/>
  <c r="G39" i="84" l="1"/>
  <c r="G66" i="84" s="1"/>
  <c r="G67" i="84"/>
  <c r="H35" i="81"/>
  <c r="H47" i="81"/>
  <c r="H33" i="81"/>
  <c r="H8" i="84"/>
  <c r="H36" i="81"/>
  <c r="H95" i="81" s="1"/>
  <c r="H34" i="81"/>
  <c r="H15" i="81"/>
  <c r="G27" i="83" s="1"/>
  <c r="G46" i="83" s="1"/>
  <c r="H32" i="81"/>
  <c r="H73" i="81"/>
  <c r="H82" i="81"/>
  <c r="H83" i="81"/>
  <c r="H80" i="81"/>
  <c r="H79" i="81"/>
  <c r="H76" i="81"/>
  <c r="H71" i="81"/>
  <c r="H70" i="81"/>
  <c r="H74" i="81"/>
  <c r="H77" i="81"/>
  <c r="F30" i="84"/>
  <c r="F33" i="84"/>
  <c r="F46" i="84" s="1"/>
  <c r="F45" i="84"/>
  <c r="F36" i="84" l="1"/>
  <c r="F37" i="84" s="1"/>
  <c r="F31" i="84"/>
  <c r="G33" i="83"/>
  <c r="G39" i="83" s="1"/>
  <c r="G52" i="83" s="1"/>
  <c r="G5" i="84" s="1"/>
  <c r="H86" i="81"/>
  <c r="H52" i="84" s="1"/>
  <c r="K30" i="91" s="1"/>
  <c r="F49" i="84"/>
  <c r="F48" i="84"/>
  <c r="H94" i="81"/>
  <c r="H96" i="81" s="1"/>
  <c r="H37" i="81"/>
  <c r="H38" i="81" s="1"/>
  <c r="H90" i="81"/>
  <c r="H40" i="81"/>
  <c r="H89" i="81"/>
  <c r="H85" i="81"/>
  <c r="H51" i="84" s="1"/>
  <c r="K29" i="91" s="1"/>
  <c r="I11" i="81"/>
  <c r="I14" i="81" s="1"/>
  <c r="J8" i="81"/>
  <c r="F100" i="65"/>
  <c r="K31" i="91" l="1"/>
  <c r="F54" i="84" a="1"/>
  <c r="F54" i="84" s="1"/>
  <c r="F57" i="84" s="1"/>
  <c r="F63" i="84" s="1"/>
  <c r="F70" i="84" s="1"/>
  <c r="F113" i="65"/>
  <c r="D88" i="69" s="1"/>
  <c r="H102" i="81"/>
  <c r="H43" i="84" s="1"/>
  <c r="H40" i="84"/>
  <c r="H91" i="81"/>
  <c r="I79" i="81"/>
  <c r="I36" i="81"/>
  <c r="I95" i="81" s="1"/>
  <c r="I35" i="81"/>
  <c r="I34" i="81"/>
  <c r="I47" i="81"/>
  <c r="I8" i="84"/>
  <c r="I33" i="81"/>
  <c r="I15" i="81"/>
  <c r="H27" i="83" s="1"/>
  <c r="H33" i="83" s="1"/>
  <c r="I32" i="81"/>
  <c r="I82" i="81"/>
  <c r="I74" i="81"/>
  <c r="I80" i="81"/>
  <c r="I73" i="81"/>
  <c r="G48" i="83"/>
  <c r="G53" i="83" s="1"/>
  <c r="G6" i="84" s="1"/>
  <c r="G25" i="84" s="1"/>
  <c r="I83" i="81"/>
  <c r="I77" i="81"/>
  <c r="I70" i="81"/>
  <c r="I76" i="81"/>
  <c r="I71" i="81"/>
  <c r="F56" i="84" l="1"/>
  <c r="F62" i="84" s="1"/>
  <c r="F71" i="84" s="1"/>
  <c r="H67" i="84"/>
  <c r="I94" i="81"/>
  <c r="I96" i="81" s="1"/>
  <c r="H46" i="83"/>
  <c r="I89" i="81"/>
  <c r="H39" i="83"/>
  <c r="H52" i="83" s="1"/>
  <c r="H5" i="84" s="1"/>
  <c r="I85" i="81"/>
  <c r="I51" i="84" s="1"/>
  <c r="L29" i="91" s="1"/>
  <c r="G28" i="84"/>
  <c r="G34" i="84" s="1"/>
  <c r="G29" i="84"/>
  <c r="G35" i="84" s="1"/>
  <c r="G27" i="84"/>
  <c r="H39" i="84"/>
  <c r="H101" i="81"/>
  <c r="H42" i="84" s="1"/>
  <c r="I90" i="81"/>
  <c r="I40" i="81"/>
  <c r="I37" i="81"/>
  <c r="I38" i="81" s="1"/>
  <c r="I86" i="81"/>
  <c r="I52" i="84" s="1"/>
  <c r="L30" i="91" s="1"/>
  <c r="J11" i="81"/>
  <c r="J14" i="81" s="1"/>
  <c r="J83" i="81" s="1"/>
  <c r="K8" i="81"/>
  <c r="J70" i="81" l="1"/>
  <c r="J71" i="81"/>
  <c r="H66" i="84"/>
  <c r="J79" i="81"/>
  <c r="J76" i="81"/>
  <c r="J74" i="81"/>
  <c r="H48" i="83"/>
  <c r="H53" i="83" s="1"/>
  <c r="H6" i="84" s="1"/>
  <c r="H25" i="84" s="1"/>
  <c r="J94" i="81"/>
  <c r="G30" i="84"/>
  <c r="G45" i="84"/>
  <c r="G33" i="84"/>
  <c r="G46" i="84" s="1"/>
  <c r="I91" i="81"/>
  <c r="I102" i="81"/>
  <c r="I43" i="84" s="1"/>
  <c r="I40" i="84"/>
  <c r="L31" i="91"/>
  <c r="J73" i="81"/>
  <c r="J35" i="81"/>
  <c r="J47" i="81"/>
  <c r="J8" i="84"/>
  <c r="J36" i="81"/>
  <c r="J95" i="81" s="1"/>
  <c r="J34" i="81"/>
  <c r="J32" i="81"/>
  <c r="J33" i="81"/>
  <c r="J15" i="81"/>
  <c r="I27" i="83" s="1"/>
  <c r="I33" i="83" s="1"/>
  <c r="J77" i="81"/>
  <c r="J80" i="81"/>
  <c r="J82" i="81"/>
  <c r="K11" i="81"/>
  <c r="K14" i="81" s="1"/>
  <c r="J89" i="81" l="1"/>
  <c r="J85" i="81"/>
  <c r="J51" i="84" s="1"/>
  <c r="M29" i="91" s="1"/>
  <c r="J86" i="81"/>
  <c r="J52" i="84" s="1"/>
  <c r="M30" i="91" s="1"/>
  <c r="K32" i="81"/>
  <c r="K36" i="81"/>
  <c r="K95" i="81" s="1"/>
  <c r="K15" i="81"/>
  <c r="J27" i="83" s="1"/>
  <c r="J33" i="83" s="1"/>
  <c r="J39" i="83" s="1"/>
  <c r="J52" i="83" s="1"/>
  <c r="J5" i="84" s="1"/>
  <c r="K34" i="81"/>
  <c r="K47" i="81"/>
  <c r="K35" i="81"/>
  <c r="K33" i="81"/>
  <c r="K8" i="84"/>
  <c r="I67" i="84"/>
  <c r="K71" i="81"/>
  <c r="I39" i="83"/>
  <c r="I52" i="83" s="1"/>
  <c r="I5" i="84" s="1"/>
  <c r="K70" i="81"/>
  <c r="G48" i="84"/>
  <c r="G49" i="84"/>
  <c r="G31" i="84"/>
  <c r="G36" i="84"/>
  <c r="G37" i="84" s="1"/>
  <c r="K82" i="81"/>
  <c r="K83" i="81"/>
  <c r="I46" i="83"/>
  <c r="J40" i="81"/>
  <c r="J37" i="81"/>
  <c r="J38" i="81" s="1"/>
  <c r="J90" i="81"/>
  <c r="J91" i="81" s="1"/>
  <c r="J96" i="81"/>
  <c r="K73" i="81"/>
  <c r="I101" i="81"/>
  <c r="I42" i="84" s="1"/>
  <c r="I39" i="84"/>
  <c r="K74" i="81"/>
  <c r="H27" i="84"/>
  <c r="H29" i="84"/>
  <c r="H35" i="84" s="1"/>
  <c r="H88" i="84" s="1"/>
  <c r="H28" i="84"/>
  <c r="H34" i="84" s="1"/>
  <c r="K80" i="81"/>
  <c r="K77" i="81"/>
  <c r="K76" i="81"/>
  <c r="K79" i="81"/>
  <c r="L8" i="81"/>
  <c r="L11" i="81"/>
  <c r="M31" i="91" l="1"/>
  <c r="L14" i="81"/>
  <c r="L34" i="81" s="1"/>
  <c r="I66" i="84"/>
  <c r="J101" i="81"/>
  <c r="J42" i="84" s="1"/>
  <c r="J39" i="84"/>
  <c r="J40" i="84"/>
  <c r="J102" i="81"/>
  <c r="J43" i="84" s="1"/>
  <c r="H30" i="84"/>
  <c r="H45" i="84"/>
  <c r="H33" i="84"/>
  <c r="H46" i="84" s="1"/>
  <c r="K86" i="81"/>
  <c r="K52" i="84" s="1"/>
  <c r="N30" i="91" s="1"/>
  <c r="L71" i="81"/>
  <c r="L80" i="81"/>
  <c r="L82" i="81"/>
  <c r="L73" i="81"/>
  <c r="L32" i="81"/>
  <c r="L8" i="84"/>
  <c r="L47" i="81"/>
  <c r="L36" i="81"/>
  <c r="L95" i="81" s="1"/>
  <c r="L33" i="81"/>
  <c r="J46" i="83"/>
  <c r="I48" i="83"/>
  <c r="I53" i="83" s="1"/>
  <c r="I6" i="84" s="1"/>
  <c r="I25" i="84" s="1"/>
  <c r="K94" i="81"/>
  <c r="K96" i="81" s="1"/>
  <c r="L83" i="81"/>
  <c r="L94" i="81" s="1"/>
  <c r="G54" i="84"/>
  <c r="G57" i="84" s="1"/>
  <c r="G63" i="84" s="1"/>
  <c r="G70" i="84" s="1"/>
  <c r="L79" i="81"/>
  <c r="L74" i="81"/>
  <c r="K89" i="81"/>
  <c r="K85" i="81"/>
  <c r="K51" i="84" s="1"/>
  <c r="N29" i="91" s="1"/>
  <c r="L70" i="81"/>
  <c r="L76" i="81"/>
  <c r="L77" i="81"/>
  <c r="K90" i="81"/>
  <c r="K40" i="81"/>
  <c r="K37" i="81"/>
  <c r="K38" i="81" s="1"/>
  <c r="L35" i="81" l="1"/>
  <c r="L15" i="81"/>
  <c r="K27" i="83" s="1"/>
  <c r="K33" i="83" s="1"/>
  <c r="J66" i="84"/>
  <c r="L96" i="81"/>
  <c r="L40" i="84" s="1"/>
  <c r="L33" i="83"/>
  <c r="L39" i="83" s="1"/>
  <c r="L52" i="83" s="1"/>
  <c r="L5" i="84" s="1"/>
  <c r="K39" i="83"/>
  <c r="K52" i="83" s="1"/>
  <c r="K5" i="84" s="1"/>
  <c r="K40" i="84"/>
  <c r="K102" i="81"/>
  <c r="K43" i="84" s="1"/>
  <c r="H49" i="84"/>
  <c r="H48" i="84"/>
  <c r="H31" i="84"/>
  <c r="H36" i="84"/>
  <c r="H37" i="84" s="1"/>
  <c r="L85" i="81"/>
  <c r="L51" i="84" s="1"/>
  <c r="O29" i="91" s="1"/>
  <c r="L89" i="81"/>
  <c r="G56" i="84"/>
  <c r="G62" i="84" s="1"/>
  <c r="G71" i="84" s="1"/>
  <c r="L86" i="81"/>
  <c r="L52" i="84" s="1"/>
  <c r="O30" i="91" s="1"/>
  <c r="I29" i="84"/>
  <c r="I35" i="84" s="1"/>
  <c r="I88" i="84" s="1"/>
  <c r="I27" i="84"/>
  <c r="I28" i="84"/>
  <c r="I34" i="84" s="1"/>
  <c r="K46" i="83"/>
  <c r="J48" i="83"/>
  <c r="J53" i="83" s="1"/>
  <c r="J6" i="84" s="1"/>
  <c r="J25" i="84" s="1"/>
  <c r="J67" i="84"/>
  <c r="N31" i="91"/>
  <c r="K91" i="81"/>
  <c r="L37" i="81"/>
  <c r="L38" i="81" s="1"/>
  <c r="L90" i="81"/>
  <c r="L40" i="81"/>
  <c r="L102" i="81" l="1"/>
  <c r="L43" i="84" s="1"/>
  <c r="L67" i="84" s="1"/>
  <c r="H54" i="84"/>
  <c r="H56" i="84" s="1"/>
  <c r="H62" i="84" s="1"/>
  <c r="H71" i="84" s="1"/>
  <c r="H86" i="84" s="1"/>
  <c r="O31" i="91"/>
  <c r="K105" i="81"/>
  <c r="L91" i="81"/>
  <c r="K101" i="81"/>
  <c r="K42" i="84" s="1"/>
  <c r="K39" i="84"/>
  <c r="K67" i="84"/>
  <c r="J27" i="84"/>
  <c r="J28" i="84"/>
  <c r="J34" i="84" s="1"/>
  <c r="J29" i="84"/>
  <c r="J35" i="84" s="1"/>
  <c r="J88" i="84" s="1"/>
  <c r="L46" i="83"/>
  <c r="L48" i="83" s="1"/>
  <c r="L53" i="83" s="1"/>
  <c r="L6" i="84" s="1"/>
  <c r="L25" i="84" s="1"/>
  <c r="K48" i="83"/>
  <c r="K53" i="83" s="1"/>
  <c r="K6" i="84" s="1"/>
  <c r="K25" i="84" s="1"/>
  <c r="I45" i="84"/>
  <c r="I33" i="84"/>
  <c r="I46" i="84" s="1"/>
  <c r="I30" i="84"/>
  <c r="H57" i="84" l="1"/>
  <c r="H63" i="84" s="1"/>
  <c r="H70" i="84" s="1"/>
  <c r="H85" i="84" s="1"/>
  <c r="K66" i="84"/>
  <c r="L27" i="84"/>
  <c r="L28" i="84"/>
  <c r="L34" i="84" s="1"/>
  <c r="L29" i="84"/>
  <c r="L35" i="84" s="1"/>
  <c r="L88" i="84" s="1"/>
  <c r="J30" i="84"/>
  <c r="J33" i="84"/>
  <c r="J46" i="84" s="1"/>
  <c r="J45" i="84"/>
  <c r="L101" i="81"/>
  <c r="L42" i="84" s="1"/>
  <c r="L39" i="84"/>
  <c r="I31" i="84"/>
  <c r="I36" i="84"/>
  <c r="I37" i="84" s="1"/>
  <c r="I48" i="84"/>
  <c r="I49" i="84"/>
  <c r="K29" i="84"/>
  <c r="K35" i="84" s="1"/>
  <c r="K88" i="84" s="1"/>
  <c r="K27" i="84"/>
  <c r="K28" i="84"/>
  <c r="K34" i="84" s="1"/>
  <c r="I54" i="84" l="1"/>
  <c r="I56" i="84" s="1"/>
  <c r="I62" i="84" s="1"/>
  <c r="I71" i="84" s="1"/>
  <c r="I86" i="84" s="1"/>
  <c r="J49" i="84"/>
  <c r="J48" i="84"/>
  <c r="J36" i="84"/>
  <c r="J37" i="84" s="1"/>
  <c r="J31" i="84"/>
  <c r="K45" i="84"/>
  <c r="K33" i="84"/>
  <c r="K46" i="84" s="1"/>
  <c r="K30" i="84"/>
  <c r="L66" i="84"/>
  <c r="L33" i="84"/>
  <c r="L46" i="84" s="1"/>
  <c r="L30" i="84"/>
  <c r="L45" i="84"/>
  <c r="J54" i="84" l="1"/>
  <c r="J56" i="84" s="1"/>
  <c r="J62" i="84" s="1"/>
  <c r="J71" i="84" s="1"/>
  <c r="J86" i="84" s="1"/>
  <c r="I57" i="84"/>
  <c r="I63" i="84" s="1"/>
  <c r="I70" i="84" s="1"/>
  <c r="I85" i="84" s="1"/>
  <c r="L31" i="84"/>
  <c r="L36" i="84"/>
  <c r="L37" i="84" s="1"/>
  <c r="L49" i="84"/>
  <c r="L48" i="84"/>
  <c r="K31" i="84"/>
  <c r="K36" i="84"/>
  <c r="K37" i="84" s="1"/>
  <c r="K48" i="84"/>
  <c r="K49" i="84"/>
  <c r="J57" i="84" l="1"/>
  <c r="J63" i="84" s="1"/>
  <c r="J70" i="84" s="1"/>
  <c r="J85" i="84" s="1"/>
  <c r="K54" i="84"/>
  <c r="K57" i="84" s="1"/>
  <c r="K63" i="84" s="1"/>
  <c r="K70" i="84" s="1"/>
  <c r="K85" i="84" s="1"/>
  <c r="L54" i="84"/>
  <c r="L56" i="84" s="1"/>
  <c r="L62" i="84" s="1"/>
  <c r="L71" i="84" s="1"/>
  <c r="L86" i="84" s="1"/>
  <c r="L95" i="84" s="1"/>
  <c r="N95" i="84" s="1"/>
  <c r="O95" i="84" s="1"/>
  <c r="K56" i="84" l="1"/>
  <c r="K62" i="84" s="1"/>
  <c r="K71" i="84" s="1"/>
  <c r="K86" i="84" s="1"/>
  <c r="P18" i="91"/>
  <c r="H101" i="84"/>
  <c r="L57" i="84"/>
  <c r="N57" i="84" l="1"/>
  <c r="L63" i="84"/>
  <c r="L70" i="84" s="1"/>
  <c r="L85" i="84" s="1"/>
  <c r="L94" i="84" s="1"/>
  <c r="N94" i="84" s="1"/>
  <c r="O94" i="84" s="1"/>
  <c r="K18" i="91"/>
  <c r="I101" i="84"/>
  <c r="L18" i="91" l="1"/>
  <c r="J101" i="84"/>
  <c r="P17" i="91"/>
  <c r="H100" i="84"/>
  <c r="I100" i="84" l="1"/>
  <c r="K17" i="91"/>
  <c r="K22" i="91" s="1"/>
  <c r="M18" i="91"/>
  <c r="K101" i="84"/>
  <c r="L17" i="91" l="1"/>
  <c r="L22" i="91" s="1"/>
  <c r="J100" i="84"/>
  <c r="N18" i="91"/>
  <c r="L101" i="84"/>
  <c r="M17" i="91" l="1"/>
  <c r="M22" i="91" s="1"/>
  <c r="K100" i="84"/>
  <c r="N101" i="84"/>
  <c r="O18" i="91"/>
  <c r="L100" i="84" l="1"/>
  <c r="N17" i="91"/>
  <c r="N22" i="91" s="1"/>
  <c r="N100" i="84" l="1"/>
  <c r="O17" i="91"/>
  <c r="O22" i="91" s="1"/>
  <c r="F27" i="65" l="1"/>
  <c r="F81" i="65" s="1"/>
  <c r="F77" i="94"/>
  <c r="F82" i="94" s="1"/>
  <c r="G22" i="65"/>
  <c r="G76" i="65" s="1"/>
  <c r="G77" i="94" l="1"/>
  <c r="G27" i="65"/>
  <c r="G81" i="65" s="1"/>
  <c r="G129" i="65" s="1"/>
  <c r="G124" i="65"/>
  <c r="F129" i="65"/>
  <c r="F107" i="65"/>
  <c r="D87" i="69" s="1"/>
  <c r="F28" i="65"/>
  <c r="G28" i="65"/>
  <c r="G107" i="65" l="1"/>
  <c r="E87" i="69" s="1"/>
  <c r="E102" i="69" s="1"/>
  <c r="G82" i="94"/>
  <c r="H27" i="65" s="1"/>
  <c r="H22" i="65"/>
  <c r="D99" i="69"/>
  <c r="D100" i="69" s="1"/>
  <c r="D91" i="69"/>
  <c r="D92" i="69" s="1"/>
  <c r="D102" i="69"/>
  <c r="D95" i="69"/>
  <c r="D96" i="69" s="1"/>
  <c r="E91" i="69" l="1"/>
  <c r="E92" i="69" s="1"/>
  <c r="E99" i="69"/>
  <c r="E100" i="69" s="1"/>
  <c r="E95" i="69"/>
  <c r="E96" i="69" s="1"/>
  <c r="D103" i="69"/>
  <c r="D121" i="69" s="1"/>
  <c r="D126" i="69" s="1"/>
  <c r="H76" i="65"/>
  <c r="H28" i="65"/>
  <c r="I22" i="65"/>
  <c r="H81" i="65"/>
  <c r="H129" i="65" s="1"/>
  <c r="D127" i="69"/>
  <c r="D123" i="69"/>
  <c r="D125" i="69"/>
  <c r="D124" i="69"/>
  <c r="D128" i="69"/>
  <c r="D104" i="69"/>
  <c r="D143" i="69" s="1"/>
  <c r="E104" i="69" l="1"/>
  <c r="E143" i="69" s="1"/>
  <c r="E145" i="69" s="1"/>
  <c r="E103" i="69"/>
  <c r="E121" i="69" s="1"/>
  <c r="E125" i="69" s="1"/>
  <c r="I76" i="65"/>
  <c r="I25" i="65"/>
  <c r="H124" i="65"/>
  <c r="H107" i="65"/>
  <c r="F87" i="69" s="1"/>
  <c r="D145" i="69"/>
  <c r="D150" i="69"/>
  <c r="D148" i="69"/>
  <c r="D169" i="69" s="1"/>
  <c r="D17" i="70" s="1"/>
  <c r="D69" i="70" s="1"/>
  <c r="D147" i="69"/>
  <c r="D168" i="69" s="1"/>
  <c r="D16" i="70" s="1"/>
  <c r="D68" i="70" s="1"/>
  <c r="D146" i="69"/>
  <c r="D149" i="69"/>
  <c r="D105" i="69"/>
  <c r="D171" i="69"/>
  <c r="D19" i="70" s="1"/>
  <c r="D71" i="70" s="1"/>
  <c r="D167" i="69"/>
  <c r="D15" i="70" s="1"/>
  <c r="D67" i="70" s="1"/>
  <c r="D129" i="69"/>
  <c r="D130" i="69" s="1"/>
  <c r="D166" i="69"/>
  <c r="D170" i="69"/>
  <c r="D18" i="70" s="1"/>
  <c r="D70" i="70" s="1"/>
  <c r="E150" i="69"/>
  <c r="E128" i="69" l="1"/>
  <c r="E147" i="69"/>
  <c r="E148" i="69"/>
  <c r="E146" i="69"/>
  <c r="E149" i="69"/>
  <c r="E123" i="69"/>
  <c r="E166" i="69" s="1"/>
  <c r="E127" i="69"/>
  <c r="E126" i="69"/>
  <c r="E124" i="69"/>
  <c r="E105" i="69"/>
  <c r="F91" i="69"/>
  <c r="F92" i="69" s="1"/>
  <c r="F102" i="69"/>
  <c r="F99" i="69"/>
  <c r="F100" i="69" s="1"/>
  <c r="F95" i="69"/>
  <c r="F96" i="69" s="1"/>
  <c r="I24" i="65"/>
  <c r="I79" i="65"/>
  <c r="I124" i="65"/>
  <c r="E171" i="69"/>
  <c r="E19" i="70" s="1"/>
  <c r="E71" i="70" s="1"/>
  <c r="E80" i="70" s="1"/>
  <c r="G37" i="91"/>
  <c r="D77" i="70"/>
  <c r="E169" i="69"/>
  <c r="E17" i="70" s="1"/>
  <c r="E69" i="70" s="1"/>
  <c r="E168" i="69"/>
  <c r="E16" i="70" s="1"/>
  <c r="E68" i="70" s="1"/>
  <c r="D78" i="70"/>
  <c r="G38" i="91"/>
  <c r="G39" i="91"/>
  <c r="D79" i="70"/>
  <c r="D172" i="69"/>
  <c r="D14" i="70"/>
  <c r="D66" i="70" s="1"/>
  <c r="D76" i="70"/>
  <c r="G36" i="91"/>
  <c r="D80" i="70"/>
  <c r="G40" i="91"/>
  <c r="D151" i="69"/>
  <c r="D152" i="69" s="1"/>
  <c r="E170" i="69" l="1"/>
  <c r="E18" i="70" s="1"/>
  <c r="E70" i="70" s="1"/>
  <c r="E79" i="70" s="1"/>
  <c r="E151" i="69"/>
  <c r="E152" i="69" s="1"/>
  <c r="E167" i="69"/>
  <c r="E15" i="70" s="1"/>
  <c r="E67" i="70" s="1"/>
  <c r="F103" i="69"/>
  <c r="F121" i="69" s="1"/>
  <c r="F125" i="69" s="1"/>
  <c r="E129" i="69"/>
  <c r="E130" i="69" s="1"/>
  <c r="H40" i="91"/>
  <c r="G69" i="69"/>
  <c r="I127" i="65"/>
  <c r="I78" i="65"/>
  <c r="I27" i="65"/>
  <c r="F104" i="69"/>
  <c r="F143" i="69" s="1"/>
  <c r="G35" i="91"/>
  <c r="D72" i="70"/>
  <c r="G41" i="91" s="1"/>
  <c r="D75" i="70"/>
  <c r="D20" i="70"/>
  <c r="D21" i="70" s="1"/>
  <c r="E14" i="70"/>
  <c r="E66" i="70" s="1"/>
  <c r="E172" i="69"/>
  <c r="E77" i="70"/>
  <c r="H37" i="91"/>
  <c r="H38" i="91"/>
  <c r="E78" i="70"/>
  <c r="H39" i="91" l="1"/>
  <c r="H36" i="91"/>
  <c r="E76" i="70"/>
  <c r="F124" i="69"/>
  <c r="F128" i="69"/>
  <c r="F126" i="69"/>
  <c r="F127" i="69"/>
  <c r="F123" i="69"/>
  <c r="F147" i="69"/>
  <c r="F168" i="69" s="1"/>
  <c r="F16" i="70" s="1"/>
  <c r="F68" i="70" s="1"/>
  <c r="F148" i="69"/>
  <c r="F149" i="69"/>
  <c r="F150" i="69"/>
  <c r="F146" i="69"/>
  <c r="F145" i="69"/>
  <c r="F166" i="69" s="1"/>
  <c r="F105" i="69"/>
  <c r="F170" i="69"/>
  <c r="F18" i="70" s="1"/>
  <c r="F70" i="70" s="1"/>
  <c r="I109" i="65"/>
  <c r="G61" i="69" s="1"/>
  <c r="I126" i="65"/>
  <c r="F167" i="69"/>
  <c r="F15" i="70" s="1"/>
  <c r="F67" i="70" s="1"/>
  <c r="J22" i="65"/>
  <c r="I81" i="65"/>
  <c r="H35" i="91"/>
  <c r="E72" i="70"/>
  <c r="H41" i="91" s="1"/>
  <c r="E75" i="70"/>
  <c r="E20" i="70"/>
  <c r="E21" i="70" s="1"/>
  <c r="G44" i="91"/>
  <c r="F44" i="91" s="1"/>
  <c r="E44" i="91" s="1"/>
  <c r="D44" i="91" s="1"/>
  <c r="G42" i="91"/>
  <c r="D73" i="70"/>
  <c r="F129" i="69" l="1"/>
  <c r="F130" i="69" s="1"/>
  <c r="F171" i="69"/>
  <c r="F19" i="70" s="1"/>
  <c r="F71" i="70" s="1"/>
  <c r="F169" i="69"/>
  <c r="F17" i="70" s="1"/>
  <c r="F69" i="70" s="1"/>
  <c r="F78" i="70" s="1"/>
  <c r="F151" i="69"/>
  <c r="F152" i="69" s="1"/>
  <c r="I129" i="65"/>
  <c r="I107" i="65"/>
  <c r="G87" i="69" s="1"/>
  <c r="F77" i="70"/>
  <c r="I37" i="91"/>
  <c r="I82" i="65"/>
  <c r="G77" i="69"/>
  <c r="G78" i="69" s="1"/>
  <c r="G65" i="69"/>
  <c r="G73" i="69"/>
  <c r="G74" i="69" s="1"/>
  <c r="J25" i="65"/>
  <c r="J76" i="65"/>
  <c r="F76" i="70"/>
  <c r="I36" i="91"/>
  <c r="I39" i="91"/>
  <c r="F79" i="70"/>
  <c r="F14" i="70"/>
  <c r="F66" i="70" s="1"/>
  <c r="F80" i="70"/>
  <c r="I40" i="91"/>
  <c r="H44" i="91"/>
  <c r="H42" i="91"/>
  <c r="E73" i="70"/>
  <c r="I38" i="91" l="1"/>
  <c r="F172" i="69"/>
  <c r="F20" i="70" s="1"/>
  <c r="F21" i="70" s="1"/>
  <c r="J79" i="65"/>
  <c r="J24" i="65"/>
  <c r="G66" i="69"/>
  <c r="G82" i="69" s="1"/>
  <c r="G132" i="69" s="1"/>
  <c r="G81" i="69"/>
  <c r="G110" i="69" s="1"/>
  <c r="J124" i="65"/>
  <c r="G91" i="69"/>
  <c r="G92" i="69" s="1"/>
  <c r="G102" i="69"/>
  <c r="G99" i="69"/>
  <c r="G100" i="69" s="1"/>
  <c r="G95" i="69"/>
  <c r="G96" i="69" s="1"/>
  <c r="F72" i="70"/>
  <c r="I41" i="91" s="1"/>
  <c r="F75" i="70"/>
  <c r="I35" i="91"/>
  <c r="F73" i="70" l="1"/>
  <c r="G80" i="69"/>
  <c r="G83" i="69" s="1"/>
  <c r="G103" i="69"/>
  <c r="G121" i="69" s="1"/>
  <c r="G123" i="69" s="1"/>
  <c r="I44" i="91"/>
  <c r="I42" i="91"/>
  <c r="G104" i="69"/>
  <c r="G143" i="69" s="1"/>
  <c r="G115" i="69"/>
  <c r="G114" i="69"/>
  <c r="G113" i="69"/>
  <c r="G117" i="69"/>
  <c r="G112" i="69"/>
  <c r="G116" i="69"/>
  <c r="H69" i="69"/>
  <c r="J127" i="65"/>
  <c r="G139" i="69"/>
  <c r="G136" i="69"/>
  <c r="G135" i="69"/>
  <c r="G137" i="69"/>
  <c r="G134" i="69"/>
  <c r="G138" i="69"/>
  <c r="G126" i="69"/>
  <c r="J78" i="65"/>
  <c r="J27" i="65"/>
  <c r="G124" i="69" l="1"/>
  <c r="G105" i="69"/>
  <c r="G128" i="69"/>
  <c r="G125" i="69"/>
  <c r="G127" i="69"/>
  <c r="G140" i="69"/>
  <c r="G141" i="69" s="1"/>
  <c r="G162" i="69"/>
  <c r="G10" i="70" s="1"/>
  <c r="G145" i="69"/>
  <c r="G148" i="69"/>
  <c r="G169" i="69" s="1"/>
  <c r="G17" i="70" s="1"/>
  <c r="G150" i="69"/>
  <c r="G149" i="69"/>
  <c r="G147" i="69"/>
  <c r="G146" i="69"/>
  <c r="G167" i="69" s="1"/>
  <c r="G15" i="70" s="1"/>
  <c r="G157" i="69"/>
  <c r="G118" i="69"/>
  <c r="G119" i="69" s="1"/>
  <c r="G159" i="69"/>
  <c r="G7" i="70" s="1"/>
  <c r="J81" i="65"/>
  <c r="K22" i="65"/>
  <c r="G166" i="69"/>
  <c r="G161" i="69"/>
  <c r="G9" i="70" s="1"/>
  <c r="G158" i="69"/>
  <c r="G6" i="70" s="1"/>
  <c r="G160" i="69"/>
  <c r="G8" i="70" s="1"/>
  <c r="J109" i="65"/>
  <c r="H61" i="69" s="1"/>
  <c r="J126" i="65"/>
  <c r="G171" i="69" l="1"/>
  <c r="G19" i="70" s="1"/>
  <c r="G71" i="70" s="1"/>
  <c r="J40" i="91" s="1"/>
  <c r="G168" i="69"/>
  <c r="G16" i="70" s="1"/>
  <c r="G68" i="70" s="1"/>
  <c r="G170" i="69"/>
  <c r="G18" i="70" s="1"/>
  <c r="G70" i="70" s="1"/>
  <c r="G129" i="69"/>
  <c r="G130" i="69" s="1"/>
  <c r="H73" i="69"/>
  <c r="H74" i="69" s="1"/>
  <c r="H77" i="69"/>
  <c r="H78" i="69" s="1"/>
  <c r="H65" i="69"/>
  <c r="G14" i="70"/>
  <c r="G69" i="70"/>
  <c r="G67" i="70"/>
  <c r="K25" i="65"/>
  <c r="K76" i="65"/>
  <c r="J129" i="65"/>
  <c r="J107" i="65"/>
  <c r="H87" i="69" s="1"/>
  <c r="G163" i="69"/>
  <c r="G5" i="70"/>
  <c r="J82" i="65"/>
  <c r="G151" i="69"/>
  <c r="G152" i="69" s="1"/>
  <c r="G80" i="70" l="1"/>
  <c r="G77" i="70"/>
  <c r="J37" i="91"/>
  <c r="G172" i="69"/>
  <c r="G20" i="70" s="1"/>
  <c r="G21" i="70" s="1"/>
  <c r="G11" i="70"/>
  <c r="G12" i="70" s="1"/>
  <c r="K124" i="65"/>
  <c r="H66" i="69"/>
  <c r="H82" i="69" s="1"/>
  <c r="H132" i="69" s="1"/>
  <c r="H81" i="69"/>
  <c r="H110" i="69" s="1"/>
  <c r="K24" i="65"/>
  <c r="K79" i="65"/>
  <c r="G66" i="70"/>
  <c r="J39" i="91"/>
  <c r="G79" i="70"/>
  <c r="H91" i="69"/>
  <c r="H92" i="69" s="1"/>
  <c r="H99" i="69"/>
  <c r="H100" i="69" s="1"/>
  <c r="H102" i="69"/>
  <c r="H95" i="69"/>
  <c r="H96" i="69" s="1"/>
  <c r="G76" i="70"/>
  <c r="J36" i="91"/>
  <c r="J38" i="91"/>
  <c r="G78" i="70"/>
  <c r="H103" i="69" l="1"/>
  <c r="H121" i="69" s="1"/>
  <c r="H125" i="69" s="1"/>
  <c r="H80" i="69"/>
  <c r="H83" i="69" s="1"/>
  <c r="H104" i="69"/>
  <c r="H143" i="69" s="1"/>
  <c r="H145" i="69" s="1"/>
  <c r="J35" i="91"/>
  <c r="G75" i="70"/>
  <c r="G72" i="70"/>
  <c r="J41" i="91" s="1"/>
  <c r="G73" i="70"/>
  <c r="H115" i="69"/>
  <c r="H114" i="69"/>
  <c r="H116" i="69"/>
  <c r="H117" i="69"/>
  <c r="H112" i="69"/>
  <c r="H113" i="69"/>
  <c r="K78" i="65"/>
  <c r="K27" i="65"/>
  <c r="K127" i="65"/>
  <c r="I69" i="69"/>
  <c r="H138" i="69"/>
  <c r="H139" i="69"/>
  <c r="H134" i="69"/>
  <c r="H135" i="69"/>
  <c r="H136" i="69"/>
  <c r="H137" i="69"/>
  <c r="H146" i="69" l="1"/>
  <c r="H147" i="69"/>
  <c r="H162" i="69"/>
  <c r="H10" i="70" s="1"/>
  <c r="H149" i="69"/>
  <c r="H158" i="69"/>
  <c r="H6" i="70" s="1"/>
  <c r="H161" i="69"/>
  <c r="H9" i="70" s="1"/>
  <c r="H126" i="69"/>
  <c r="H127" i="69"/>
  <c r="H124" i="69"/>
  <c r="H167" i="69" s="1"/>
  <c r="H15" i="70" s="1"/>
  <c r="H128" i="69"/>
  <c r="H123" i="69"/>
  <c r="H166" i="69" s="1"/>
  <c r="H105" i="69"/>
  <c r="H150" i="69"/>
  <c r="H148" i="69"/>
  <c r="H159" i="69"/>
  <c r="H7" i="70" s="1"/>
  <c r="H160" i="69"/>
  <c r="H8" i="70" s="1"/>
  <c r="H157" i="69"/>
  <c r="H118" i="69"/>
  <c r="H119" i="69" s="1"/>
  <c r="H171" i="69"/>
  <c r="H19" i="70" s="1"/>
  <c r="H71" i="70" s="1"/>
  <c r="H140" i="69"/>
  <c r="H141" i="69" s="1"/>
  <c r="H170" i="69"/>
  <c r="H18" i="70" s="1"/>
  <c r="H70" i="70" s="1"/>
  <c r="K81" i="65"/>
  <c r="K82" i="65" s="1"/>
  <c r="L22" i="65"/>
  <c r="J44" i="91"/>
  <c r="J42" i="91"/>
  <c r="K109" i="65"/>
  <c r="I61" i="69" s="1"/>
  <c r="K126" i="65"/>
  <c r="H168" i="69"/>
  <c r="H16" i="70" s="1"/>
  <c r="H67" i="70" l="1"/>
  <c r="H151" i="69"/>
  <c r="H152" i="69" s="1"/>
  <c r="H129" i="69"/>
  <c r="H130" i="69" s="1"/>
  <c r="H169" i="69"/>
  <c r="H17" i="70" s="1"/>
  <c r="H69" i="70" s="1"/>
  <c r="K38" i="91" s="1"/>
  <c r="H68" i="70"/>
  <c r="H77" i="70" s="1"/>
  <c r="H84" i="70" s="1"/>
  <c r="H91" i="70" s="1"/>
  <c r="H111" i="70" s="1"/>
  <c r="H79" i="70"/>
  <c r="H86" i="70" s="1"/>
  <c r="H93" i="70" s="1"/>
  <c r="H113" i="70" s="1"/>
  <c r="K39" i="91"/>
  <c r="I73" i="69"/>
  <c r="I74" i="69" s="1"/>
  <c r="I77" i="69"/>
  <c r="I78" i="69" s="1"/>
  <c r="I65" i="69"/>
  <c r="H14" i="70"/>
  <c r="H172" i="69"/>
  <c r="L25" i="65"/>
  <c r="L76" i="65"/>
  <c r="H163" i="69"/>
  <c r="H5" i="70"/>
  <c r="H76" i="70"/>
  <c r="H83" i="70" s="1"/>
  <c r="H90" i="70" s="1"/>
  <c r="H110" i="70" s="1"/>
  <c r="K36" i="91"/>
  <c r="K129" i="65"/>
  <c r="K107" i="65"/>
  <c r="I87" i="69" s="1"/>
  <c r="H80" i="70"/>
  <c r="H87" i="70" s="1"/>
  <c r="H94" i="70" s="1"/>
  <c r="H114" i="70" s="1"/>
  <c r="K40" i="91"/>
  <c r="K37" i="91" l="1"/>
  <c r="H78" i="70"/>
  <c r="H85" i="70" s="1"/>
  <c r="H92" i="70" s="1"/>
  <c r="H112" i="70" s="1"/>
  <c r="L79" i="65"/>
  <c r="L24" i="65"/>
  <c r="I102" i="69"/>
  <c r="I91" i="69"/>
  <c r="I92" i="69" s="1"/>
  <c r="I95" i="69"/>
  <c r="I96" i="69" s="1"/>
  <c r="I99" i="69"/>
  <c r="I100" i="69" s="1"/>
  <c r="H66" i="70"/>
  <c r="L124" i="65"/>
  <c r="I66" i="69"/>
  <c r="I82" i="69" s="1"/>
  <c r="I132" i="69" s="1"/>
  <c r="I81" i="69"/>
  <c r="I110" i="69" s="1"/>
  <c r="H11" i="70"/>
  <c r="H12" i="70" s="1"/>
  <c r="H20" i="70"/>
  <c r="H21" i="70" s="1"/>
  <c r="I80" i="69" l="1"/>
  <c r="I83" i="69" s="1"/>
  <c r="I113" i="69"/>
  <c r="I114" i="69"/>
  <c r="I117" i="69"/>
  <c r="I116" i="69"/>
  <c r="I112" i="69"/>
  <c r="I115" i="69"/>
  <c r="K35" i="91"/>
  <c r="H75" i="70"/>
  <c r="H82" i="70" s="1"/>
  <c r="H89" i="70" s="1"/>
  <c r="H109" i="70" s="1"/>
  <c r="H72" i="70"/>
  <c r="K41" i="91" s="1"/>
  <c r="H73" i="70"/>
  <c r="L78" i="65"/>
  <c r="L27" i="65"/>
  <c r="I137" i="69"/>
  <c r="I136" i="69"/>
  <c r="I134" i="69"/>
  <c r="I138" i="69"/>
  <c r="I139" i="69"/>
  <c r="I135" i="69"/>
  <c r="I103" i="69"/>
  <c r="I121" i="69" s="1"/>
  <c r="I104" i="69"/>
  <c r="I143" i="69" s="1"/>
  <c r="J69" i="69"/>
  <c r="L127" i="65"/>
  <c r="I140" i="69" l="1"/>
  <c r="I141" i="69" s="1"/>
  <c r="I149" i="69"/>
  <c r="I150" i="69"/>
  <c r="I146" i="69"/>
  <c r="I148" i="69"/>
  <c r="I147" i="69"/>
  <c r="I145" i="69"/>
  <c r="L81" i="65"/>
  <c r="M22" i="65"/>
  <c r="I162" i="69"/>
  <c r="I10" i="70" s="1"/>
  <c r="I159" i="69"/>
  <c r="I7" i="70" s="1"/>
  <c r="I105" i="69"/>
  <c r="I127" i="69"/>
  <c r="I126" i="69"/>
  <c r="I123" i="69"/>
  <c r="I128" i="69"/>
  <c r="I124" i="69"/>
  <c r="I125" i="69"/>
  <c r="L109" i="65"/>
  <c r="J61" i="69" s="1"/>
  <c r="L126" i="65"/>
  <c r="L82" i="65"/>
  <c r="K42" i="91"/>
  <c r="K44" i="91"/>
  <c r="I160" i="69"/>
  <c r="I8" i="70" s="1"/>
  <c r="I118" i="69"/>
  <c r="I119" i="69" s="1"/>
  <c r="I157" i="69"/>
  <c r="I161" i="69"/>
  <c r="I9" i="70" s="1"/>
  <c r="I158" i="69"/>
  <c r="I6" i="70" s="1"/>
  <c r="I168" i="69" l="1"/>
  <c r="I16" i="70" s="1"/>
  <c r="I167" i="69"/>
  <c r="I15" i="70" s="1"/>
  <c r="I67" i="70" s="1"/>
  <c r="I171" i="69"/>
  <c r="I19" i="70" s="1"/>
  <c r="I71" i="70" s="1"/>
  <c r="I169" i="69"/>
  <c r="I17" i="70" s="1"/>
  <c r="I69" i="70" s="1"/>
  <c r="I78" i="70" s="1"/>
  <c r="I85" i="70" s="1"/>
  <c r="I92" i="70" s="1"/>
  <c r="I112" i="70" s="1"/>
  <c r="I170" i="69"/>
  <c r="I18" i="70" s="1"/>
  <c r="I70" i="70" s="1"/>
  <c r="I79" i="70" s="1"/>
  <c r="I86" i="70" s="1"/>
  <c r="I93" i="70" s="1"/>
  <c r="I113" i="70" s="1"/>
  <c r="I151" i="69"/>
  <c r="I152" i="69" s="1"/>
  <c r="I68" i="70"/>
  <c r="L37" i="91" s="1"/>
  <c r="J65" i="69"/>
  <c r="J73" i="69"/>
  <c r="J74" i="69" s="1"/>
  <c r="J77" i="69"/>
  <c r="J78" i="69" s="1"/>
  <c r="I129" i="69"/>
  <c r="I130" i="69" s="1"/>
  <c r="I166" i="69"/>
  <c r="L129" i="65"/>
  <c r="L107" i="65"/>
  <c r="J87" i="69" s="1"/>
  <c r="M76" i="65"/>
  <c r="M25" i="65"/>
  <c r="I5" i="70"/>
  <c r="I163" i="69"/>
  <c r="L40" i="91" l="1"/>
  <c r="I80" i="70"/>
  <c r="I87" i="70" s="1"/>
  <c r="I94" i="70" s="1"/>
  <c r="I114" i="70" s="1"/>
  <c r="L38" i="91"/>
  <c r="I77" i="70"/>
  <c r="I84" i="70" s="1"/>
  <c r="I91" i="70" s="1"/>
  <c r="I111" i="70" s="1"/>
  <c r="L39" i="91"/>
  <c r="J91" i="69"/>
  <c r="J92" i="69" s="1"/>
  <c r="J102" i="69"/>
  <c r="J99" i="69"/>
  <c r="J100" i="69" s="1"/>
  <c r="J95" i="69"/>
  <c r="J96" i="69" s="1"/>
  <c r="I172" i="69"/>
  <c r="I14" i="70"/>
  <c r="I66" i="70" s="1"/>
  <c r="I11" i="70"/>
  <c r="I12" i="70" s="1"/>
  <c r="M124" i="65"/>
  <c r="L36" i="91"/>
  <c r="I76" i="70"/>
  <c r="I83" i="70" s="1"/>
  <c r="I90" i="70" s="1"/>
  <c r="I110" i="70" s="1"/>
  <c r="M79" i="65"/>
  <c r="M24" i="65"/>
  <c r="J81" i="69"/>
  <c r="J110" i="69" s="1"/>
  <c r="J66" i="69"/>
  <c r="J82" i="69" s="1"/>
  <c r="J132" i="69" s="1"/>
  <c r="J80" i="69" l="1"/>
  <c r="J83" i="69" s="1"/>
  <c r="J103" i="69"/>
  <c r="J121" i="69" s="1"/>
  <c r="J127" i="69" s="1"/>
  <c r="M78" i="65"/>
  <c r="M27" i="65"/>
  <c r="J114" i="69"/>
  <c r="J116" i="69"/>
  <c r="J112" i="69"/>
  <c r="J115" i="69"/>
  <c r="J117" i="69"/>
  <c r="J113" i="69"/>
  <c r="K69" i="69"/>
  <c r="M127" i="65"/>
  <c r="I20" i="70"/>
  <c r="I21" i="70" s="1"/>
  <c r="J136" i="69"/>
  <c r="J138" i="69"/>
  <c r="J134" i="69"/>
  <c r="J137" i="69"/>
  <c r="J135" i="69"/>
  <c r="J139" i="69"/>
  <c r="L35" i="91"/>
  <c r="I75" i="70"/>
  <c r="I82" i="70" s="1"/>
  <c r="I89" i="70" s="1"/>
  <c r="I109" i="70" s="1"/>
  <c r="I72" i="70"/>
  <c r="L41" i="91" s="1"/>
  <c r="J104" i="69"/>
  <c r="J143" i="69" s="1"/>
  <c r="J124" i="69" l="1"/>
  <c r="J123" i="69"/>
  <c r="J128" i="69"/>
  <c r="J125" i="69"/>
  <c r="J126" i="69"/>
  <c r="J105" i="69"/>
  <c r="L44" i="91"/>
  <c r="L42" i="91"/>
  <c r="J140" i="69"/>
  <c r="J141" i="69" s="1"/>
  <c r="J158" i="69"/>
  <c r="J6" i="70" s="1"/>
  <c r="J160" i="69"/>
  <c r="J8" i="70" s="1"/>
  <c r="J159" i="69"/>
  <c r="J7" i="70" s="1"/>
  <c r="J146" i="69"/>
  <c r="J167" i="69" s="1"/>
  <c r="J15" i="70" s="1"/>
  <c r="J145" i="69"/>
  <c r="J149" i="69"/>
  <c r="J170" i="69" s="1"/>
  <c r="J18" i="70" s="1"/>
  <c r="J150" i="69"/>
  <c r="J148" i="69"/>
  <c r="J147" i="69"/>
  <c r="J162" i="69"/>
  <c r="J10" i="70" s="1"/>
  <c r="N22" i="65"/>
  <c r="M81" i="65"/>
  <c r="J118" i="69"/>
  <c r="J119" i="69" s="1"/>
  <c r="J157" i="69"/>
  <c r="J161" i="69"/>
  <c r="J9" i="70" s="1"/>
  <c r="I73" i="70"/>
  <c r="M126" i="65"/>
  <c r="M109" i="65"/>
  <c r="K61" i="69" s="1"/>
  <c r="J171" i="69" l="1"/>
  <c r="J19" i="70" s="1"/>
  <c r="J168" i="69"/>
  <c r="J16" i="70" s="1"/>
  <c r="J68" i="70" s="1"/>
  <c r="M37" i="91" s="1"/>
  <c r="J169" i="69"/>
  <c r="J17" i="70" s="1"/>
  <c r="J69" i="70" s="1"/>
  <c r="J166" i="69"/>
  <c r="J129" i="69"/>
  <c r="J130" i="69" s="1"/>
  <c r="J151" i="69"/>
  <c r="J152" i="69" s="1"/>
  <c r="M129" i="65"/>
  <c r="M107" i="65"/>
  <c r="K87" i="69" s="1"/>
  <c r="N25" i="65"/>
  <c r="N76" i="65"/>
  <c r="K77" i="69"/>
  <c r="K78" i="69" s="1"/>
  <c r="K73" i="69"/>
  <c r="K74" i="69" s="1"/>
  <c r="K65" i="69"/>
  <c r="J71" i="70"/>
  <c r="M82" i="65"/>
  <c r="J70" i="70"/>
  <c r="J67" i="70"/>
  <c r="J163" i="69"/>
  <c r="J5" i="70"/>
  <c r="J172" i="69" l="1"/>
  <c r="J20" i="70" s="1"/>
  <c r="J21" i="70" s="1"/>
  <c r="J14" i="70"/>
  <c r="J77" i="70"/>
  <c r="J84" i="70" s="1"/>
  <c r="J91" i="70" s="1"/>
  <c r="J111" i="70" s="1"/>
  <c r="J11" i="70"/>
  <c r="J12" i="70" s="1"/>
  <c r="M38" i="91"/>
  <c r="J78" i="70"/>
  <c r="J85" i="70" s="1"/>
  <c r="J92" i="70" s="1"/>
  <c r="J112" i="70" s="1"/>
  <c r="J79" i="70"/>
  <c r="J86" i="70" s="1"/>
  <c r="J93" i="70" s="1"/>
  <c r="J113" i="70" s="1"/>
  <c r="M39" i="91"/>
  <c r="K102" i="69"/>
  <c r="K95" i="69"/>
  <c r="K96" i="69" s="1"/>
  <c r="K91" i="69"/>
  <c r="K92" i="69" s="1"/>
  <c r="K99" i="69"/>
  <c r="K100" i="69" s="1"/>
  <c r="M36" i="91"/>
  <c r="J76" i="70"/>
  <c r="J83" i="70" s="1"/>
  <c r="J90" i="70" s="1"/>
  <c r="J110" i="70" s="1"/>
  <c r="J80" i="70"/>
  <c r="J87" i="70" s="1"/>
  <c r="J94" i="70" s="1"/>
  <c r="J114" i="70" s="1"/>
  <c r="M40" i="91"/>
  <c r="K81" i="69"/>
  <c r="K110" i="69" s="1"/>
  <c r="K66" i="69"/>
  <c r="K82" i="69" s="1"/>
  <c r="K132" i="69" s="1"/>
  <c r="N124" i="65"/>
  <c r="N24" i="65"/>
  <c r="N79" i="65"/>
  <c r="J66" i="70"/>
  <c r="K80" i="69" l="1"/>
  <c r="K83" i="69" s="1"/>
  <c r="K103" i="69"/>
  <c r="K121" i="69" s="1"/>
  <c r="K128" i="69" s="1"/>
  <c r="K104" i="69"/>
  <c r="K143" i="69" s="1"/>
  <c r="K149" i="69" s="1"/>
  <c r="K139" i="69"/>
  <c r="K138" i="69"/>
  <c r="K137" i="69"/>
  <c r="K135" i="69"/>
  <c r="K136" i="69"/>
  <c r="K134" i="69"/>
  <c r="N78" i="65"/>
  <c r="N27" i="65"/>
  <c r="N81" i="65" s="1"/>
  <c r="J75" i="70"/>
  <c r="J82" i="70" s="1"/>
  <c r="J89" i="70" s="1"/>
  <c r="J109" i="70" s="1"/>
  <c r="J72" i="70"/>
  <c r="M41" i="91" s="1"/>
  <c r="M35" i="91"/>
  <c r="J73" i="70"/>
  <c r="K116" i="69"/>
  <c r="K115" i="69"/>
  <c r="K114" i="69"/>
  <c r="K117" i="69"/>
  <c r="K112" i="69"/>
  <c r="K113" i="69"/>
  <c r="L69" i="69"/>
  <c r="N127" i="65"/>
  <c r="K124" i="69" l="1"/>
  <c r="K123" i="69"/>
  <c r="K126" i="69"/>
  <c r="K127" i="69"/>
  <c r="K170" i="69" s="1"/>
  <c r="K18" i="70" s="1"/>
  <c r="K105" i="69"/>
  <c r="K146" i="69"/>
  <c r="K148" i="69"/>
  <c r="K145" i="69"/>
  <c r="K147" i="69"/>
  <c r="K162" i="69"/>
  <c r="K10" i="70" s="1"/>
  <c r="K158" i="69"/>
  <c r="K6" i="70" s="1"/>
  <c r="K140" i="69"/>
  <c r="K141" i="69" s="1"/>
  <c r="K160" i="69"/>
  <c r="K8" i="70" s="1"/>
  <c r="K161" i="69"/>
  <c r="K9" i="70" s="1"/>
  <c r="K150" i="69"/>
  <c r="K171" i="69" s="1"/>
  <c r="K19" i="70" s="1"/>
  <c r="K71" i="70" s="1"/>
  <c r="K80" i="70" s="1"/>
  <c r="K87" i="70" s="1"/>
  <c r="K94" i="70" s="1"/>
  <c r="K114" i="70" s="1"/>
  <c r="K159" i="69"/>
  <c r="K7" i="70" s="1"/>
  <c r="K125" i="69"/>
  <c r="K168" i="69" s="1"/>
  <c r="K16" i="70" s="1"/>
  <c r="K166" i="69"/>
  <c r="N129" i="65"/>
  <c r="N107" i="65"/>
  <c r="L87" i="69" s="1"/>
  <c r="N109" i="65"/>
  <c r="L61" i="69" s="1"/>
  <c r="N126" i="65"/>
  <c r="N82" i="65"/>
  <c r="K118" i="69"/>
  <c r="K119" i="69" s="1"/>
  <c r="K157" i="69"/>
  <c r="M44" i="91"/>
  <c r="M42" i="91"/>
  <c r="K169" i="69" l="1"/>
  <c r="K17" i="70" s="1"/>
  <c r="K69" i="70" s="1"/>
  <c r="K78" i="70" s="1"/>
  <c r="K85" i="70" s="1"/>
  <c r="K92" i="70" s="1"/>
  <c r="K112" i="70" s="1"/>
  <c r="K129" i="69"/>
  <c r="K130" i="69" s="1"/>
  <c r="K167" i="69"/>
  <c r="K15" i="70" s="1"/>
  <c r="K67" i="70" s="1"/>
  <c r="K151" i="69"/>
  <c r="K152" i="69" s="1"/>
  <c r="K70" i="70"/>
  <c r="K79" i="70" s="1"/>
  <c r="K86" i="70" s="1"/>
  <c r="K93" i="70" s="1"/>
  <c r="K113" i="70" s="1"/>
  <c r="K68" i="70"/>
  <c r="N37" i="91" s="1"/>
  <c r="N40" i="91"/>
  <c r="L77" i="69"/>
  <c r="L78" i="69" s="1"/>
  <c r="L73" i="69"/>
  <c r="L74" i="69" s="1"/>
  <c r="L65" i="69"/>
  <c r="K163" i="69"/>
  <c r="K5" i="70"/>
  <c r="L95" i="69"/>
  <c r="L96" i="69" s="1"/>
  <c r="L102" i="69"/>
  <c r="L99" i="69"/>
  <c r="L100" i="69" s="1"/>
  <c r="L91" i="69"/>
  <c r="L92" i="69" s="1"/>
  <c r="K14" i="70"/>
  <c r="K172" i="69" l="1"/>
  <c r="N38" i="91"/>
  <c r="K76" i="70"/>
  <c r="K83" i="70" s="1"/>
  <c r="K90" i="70" s="1"/>
  <c r="K110" i="70" s="1"/>
  <c r="N36" i="91"/>
  <c r="K66" i="70"/>
  <c r="N35" i="91" s="1"/>
  <c r="N39" i="91"/>
  <c r="K77" i="70"/>
  <c r="K84" i="70" s="1"/>
  <c r="K91" i="70" s="1"/>
  <c r="K111" i="70" s="1"/>
  <c r="L103" i="69"/>
  <c r="L121" i="69" s="1"/>
  <c r="L124" i="69" s="1"/>
  <c r="L104" i="69"/>
  <c r="L143" i="69" s="1"/>
  <c r="L146" i="69" s="1"/>
  <c r="K11" i="70"/>
  <c r="K12" i="70" s="1"/>
  <c r="K20" i="70"/>
  <c r="K21" i="70" s="1"/>
  <c r="L66" i="69"/>
  <c r="L82" i="69" s="1"/>
  <c r="L132" i="69" s="1"/>
  <c r="L81" i="69"/>
  <c r="L110" i="69" s="1"/>
  <c r="K72" i="70" l="1"/>
  <c r="N41" i="91" s="1"/>
  <c r="N44" i="91" s="1"/>
  <c r="K75" i="70"/>
  <c r="K82" i="70" s="1"/>
  <c r="K89" i="70" s="1"/>
  <c r="K109" i="70" s="1"/>
  <c r="L147" i="69"/>
  <c r="L149" i="69"/>
  <c r="L145" i="69"/>
  <c r="L148" i="69"/>
  <c r="L150" i="69"/>
  <c r="L167" i="69"/>
  <c r="L15" i="70" s="1"/>
  <c r="L123" i="69"/>
  <c r="L125" i="69"/>
  <c r="L128" i="69"/>
  <c r="L126" i="69"/>
  <c r="L169" i="69" s="1"/>
  <c r="L17" i="70" s="1"/>
  <c r="L127" i="69"/>
  <c r="L105" i="69"/>
  <c r="L113" i="69"/>
  <c r="L116" i="69"/>
  <c r="L117" i="69"/>
  <c r="L112" i="69"/>
  <c r="L115" i="69"/>
  <c r="L114" i="69"/>
  <c r="L135" i="69"/>
  <c r="L139" i="69"/>
  <c r="L137" i="69"/>
  <c r="L134" i="69"/>
  <c r="L138" i="69"/>
  <c r="L136" i="69"/>
  <c r="K73" i="70"/>
  <c r="N42" i="91"/>
  <c r="L80" i="69"/>
  <c r="L83" i="69" s="1"/>
  <c r="L168" i="69" l="1"/>
  <c r="L16" i="70" s="1"/>
  <c r="L170" i="69"/>
  <c r="L18" i="70" s="1"/>
  <c r="L171" i="69"/>
  <c r="L19" i="70" s="1"/>
  <c r="L151" i="69"/>
  <c r="L152" i="69" s="1"/>
  <c r="L129" i="69"/>
  <c r="L130" i="69" s="1"/>
  <c r="L166" i="69"/>
  <c r="L172" i="69" s="1"/>
  <c r="L161" i="69"/>
  <c r="L9" i="70" s="1"/>
  <c r="L70" i="70" s="1"/>
  <c r="L140" i="69"/>
  <c r="L141" i="69" s="1"/>
  <c r="L159" i="69"/>
  <c r="L7" i="70" s="1"/>
  <c r="L68" i="70" s="1"/>
  <c r="L160" i="69"/>
  <c r="L8" i="70" s="1"/>
  <c r="L69" i="70" s="1"/>
  <c r="L157" i="69"/>
  <c r="L118" i="69"/>
  <c r="L119" i="69" s="1"/>
  <c r="L162" i="69"/>
  <c r="L10" i="70" s="1"/>
  <c r="L71" i="70" s="1"/>
  <c r="L158" i="69"/>
  <c r="L6" i="70" s="1"/>
  <c r="L67" i="70" s="1"/>
  <c r="L14" i="70" l="1"/>
  <c r="L78" i="70"/>
  <c r="L85" i="70" s="1"/>
  <c r="L92" i="70" s="1"/>
  <c r="L112" i="70" s="1"/>
  <c r="L123" i="70" s="1"/>
  <c r="M123" i="70" s="1"/>
  <c r="O123" i="70" s="1"/>
  <c r="O38" i="91"/>
  <c r="L80" i="70"/>
  <c r="L87" i="70" s="1"/>
  <c r="L94" i="70" s="1"/>
  <c r="L114" i="70" s="1"/>
  <c r="L125" i="70" s="1"/>
  <c r="M125" i="70" s="1"/>
  <c r="O125" i="70" s="1"/>
  <c r="O40" i="91"/>
  <c r="O36" i="91"/>
  <c r="L76" i="70"/>
  <c r="L83" i="70" s="1"/>
  <c r="L90" i="70" s="1"/>
  <c r="L110" i="70" s="1"/>
  <c r="L121" i="70" s="1"/>
  <c r="M121" i="70" s="1"/>
  <c r="O121" i="70" s="1"/>
  <c r="L5" i="70"/>
  <c r="L66" i="70" s="1"/>
  <c r="L163" i="69"/>
  <c r="L77" i="70"/>
  <c r="L84" i="70" s="1"/>
  <c r="L91" i="70" s="1"/>
  <c r="L111" i="70" s="1"/>
  <c r="L122" i="70" s="1"/>
  <c r="M122" i="70" s="1"/>
  <c r="O122" i="70" s="1"/>
  <c r="O37" i="91"/>
  <c r="O39" i="91"/>
  <c r="L79" i="70"/>
  <c r="L86" i="70" s="1"/>
  <c r="L93" i="70" s="1"/>
  <c r="L113" i="70" s="1"/>
  <c r="L124" i="70" s="1"/>
  <c r="M124" i="70" s="1"/>
  <c r="O124" i="70" s="1"/>
  <c r="L20" i="70"/>
  <c r="L21" i="70" s="1"/>
  <c r="H133" i="70" l="1"/>
  <c r="P14" i="91"/>
  <c r="H132" i="70"/>
  <c r="P13" i="91"/>
  <c r="P9" i="91"/>
  <c r="H130" i="70"/>
  <c r="H129" i="70"/>
  <c r="P8" i="91"/>
  <c r="L11" i="70"/>
  <c r="L12" i="70" s="1"/>
  <c r="L75" i="70"/>
  <c r="L82" i="70" s="1"/>
  <c r="O35" i="91"/>
  <c r="L72" i="70"/>
  <c r="O41" i="91" s="1"/>
  <c r="P10" i="91"/>
  <c r="H131" i="70"/>
  <c r="L73" i="70" l="1"/>
  <c r="M75" i="70"/>
  <c r="L89" i="70"/>
  <c r="L109" i="70" s="1"/>
  <c r="L120" i="70" s="1"/>
  <c r="M120" i="70" s="1"/>
  <c r="O120" i="70" s="1"/>
  <c r="I132" i="70"/>
  <c r="K13" i="91"/>
  <c r="I133" i="70"/>
  <c r="K14" i="91"/>
  <c r="I131" i="70"/>
  <c r="K10" i="91"/>
  <c r="O42" i="91"/>
  <c r="O44" i="91"/>
  <c r="I129" i="70"/>
  <c r="K8" i="91"/>
  <c r="K9" i="91"/>
  <c r="I130" i="70"/>
  <c r="J130" i="70" l="1"/>
  <c r="L9" i="91"/>
  <c r="J129" i="70"/>
  <c r="L8" i="91"/>
  <c r="L14" i="91"/>
  <c r="J133" i="70"/>
  <c r="L10" i="91"/>
  <c r="J131" i="70"/>
  <c r="H128" i="70"/>
  <c r="P7" i="91"/>
  <c r="J132" i="70"/>
  <c r="L13" i="91"/>
  <c r="M10" i="91" l="1"/>
  <c r="K131" i="70"/>
  <c r="K132" i="70"/>
  <c r="M13" i="91"/>
  <c r="I128" i="70"/>
  <c r="K7" i="91"/>
  <c r="M14" i="91"/>
  <c r="K133" i="70"/>
  <c r="M8" i="91"/>
  <c r="K129" i="70"/>
  <c r="M9" i="91"/>
  <c r="K130" i="70"/>
  <c r="L130" i="70" l="1"/>
  <c r="N9" i="91"/>
  <c r="N8" i="91"/>
  <c r="L129" i="70"/>
  <c r="L131" i="70"/>
  <c r="N10" i="91"/>
  <c r="L133" i="70"/>
  <c r="N14" i="91"/>
  <c r="J128" i="70"/>
  <c r="L7" i="91"/>
  <c r="L132" i="70"/>
  <c r="N13" i="91"/>
  <c r="O13" i="91" l="1"/>
  <c r="O132" i="70"/>
  <c r="M7" i="91"/>
  <c r="K128" i="70"/>
  <c r="O131" i="70"/>
  <c r="O10" i="91"/>
  <c r="O14" i="91"/>
  <c r="O133" i="70"/>
  <c r="O129" i="70"/>
  <c r="O8" i="91"/>
  <c r="O9" i="91"/>
  <c r="O130" i="70"/>
  <c r="N7" i="91" l="1"/>
  <c r="L128" i="70"/>
  <c r="O7" i="91" l="1"/>
  <c r="O128" i="7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<sst xmlns="http://schemas.openxmlformats.org/spreadsheetml/2006/main" count="1042" uniqueCount="446">
  <si>
    <t>Style Guidelines</t>
  </si>
  <si>
    <t>NB Use Window Unfreeze Panes (on each worksheet) to have row 1 scroll with the rest of the worksheet</t>
  </si>
  <si>
    <t>Styles</t>
  </si>
  <si>
    <t>Input data</t>
  </si>
  <si>
    <t>Input data (e.g. RFS data, inflation, etc)</t>
  </si>
  <si>
    <t>Input assumption or parameter</t>
  </si>
  <si>
    <t>Input assumptions or parameters (e.g. for a scenario or control sheet)</t>
  </si>
  <si>
    <t>Feed internal</t>
  </si>
  <si>
    <t>Feed cell from within this workbook</t>
  </si>
  <si>
    <t>Feed external</t>
  </si>
  <si>
    <t>Feed cell from a different workbook</t>
  </si>
  <si>
    <t>Confidential</t>
  </si>
  <si>
    <t>Confidential data, to be removed or randomized before publication</t>
  </si>
  <si>
    <t>Randomized</t>
  </si>
  <si>
    <t>Randomized data</t>
  </si>
  <si>
    <t>Calculation</t>
  </si>
  <si>
    <t>Intermediate calculation (not final output)</t>
  </si>
  <si>
    <t>Model logic</t>
  </si>
  <si>
    <t>Cells required for model logic (e.g. year counters)</t>
  </si>
  <si>
    <t>Intentionally blank</t>
  </si>
  <si>
    <t>Cells left intentionally blank</t>
  </si>
  <si>
    <t>Output</t>
  </si>
  <si>
    <t>A key result from this part of the model (in particular one that will be used elsewhere in the model)</t>
  </si>
  <si>
    <t>Highlight</t>
  </si>
  <si>
    <t>A cell that is highlighted for uncertainty</t>
  </si>
  <si>
    <t>QA highlight</t>
  </si>
  <si>
    <t>A cell that is highlighted for quality assurance</t>
  </si>
  <si>
    <t>Check pass</t>
  </si>
  <si>
    <t>A side calculation intended solely to cross check a result (and which therefore should not be referenced anywhere else in the model)</t>
  </si>
  <si>
    <t>Check fail</t>
  </si>
  <si>
    <t>Note or source</t>
  </si>
  <si>
    <t>Text</t>
  </si>
  <si>
    <t>Note/source</t>
  </si>
  <si>
    <t>Named range</t>
  </si>
  <si>
    <t>Cells which are part of a named range</t>
  </si>
  <si>
    <t>Name</t>
  </si>
  <si>
    <t>named_range_1</t>
  </si>
  <si>
    <r>
      <t xml:space="preserve">An Excel Name applying to one or more adjacent cells (use </t>
    </r>
    <r>
      <rPr>
        <u/>
        <sz val="9"/>
        <rFont val="Arial"/>
        <family val="2"/>
      </rPr>
      <t>I</t>
    </r>
    <r>
      <rPr>
        <sz val="11"/>
        <color theme="1"/>
        <rFont val="Calibri"/>
        <family val="2"/>
        <scheme val="minor"/>
      </rPr>
      <t xml:space="preserve">nsert </t>
    </r>
    <r>
      <rPr>
        <u/>
        <sz val="9"/>
        <rFont val="Arial"/>
        <family val="2"/>
      </rPr>
      <t>N</t>
    </r>
    <r>
      <rPr>
        <sz val="11"/>
        <color theme="1"/>
        <rFont val="Calibri"/>
        <family val="2"/>
        <scheme val="minor"/>
      </rPr>
      <t xml:space="preserve">ame </t>
    </r>
    <r>
      <rPr>
        <u/>
        <sz val="9"/>
        <rFont val="Arial"/>
        <family val="2"/>
      </rPr>
      <t>C</t>
    </r>
    <r>
      <rPr>
        <sz val="11"/>
        <color theme="1"/>
        <rFont val="Calibri"/>
        <family val="2"/>
        <scheme val="minor"/>
      </rPr>
      <t>reate to actually create the Excel Names)</t>
    </r>
  </si>
  <si>
    <t>Un-format</t>
  </si>
  <si>
    <t>Going back to default Excel formatting</t>
  </si>
  <si>
    <t>H1</t>
  </si>
  <si>
    <t>Title</t>
  </si>
  <si>
    <t>Heading level 1</t>
  </si>
  <si>
    <t>H2</t>
  </si>
  <si>
    <t>Heading level 2</t>
  </si>
  <si>
    <t>H3</t>
  </si>
  <si>
    <t>Heading level 3</t>
  </si>
  <si>
    <t>H4</t>
  </si>
  <si>
    <t>Heading level 4</t>
  </si>
  <si>
    <t>Model Map</t>
  </si>
  <si>
    <t>Select Base Year:</t>
  </si>
  <si>
    <t>2024/25</t>
  </si>
  <si>
    <t>selected_year</t>
  </si>
  <si>
    <t>Historical Prices</t>
  </si>
  <si>
    <t>Published 01/04/2019</t>
  </si>
  <si>
    <t>Published 01/04/2020</t>
  </si>
  <si>
    <t>Published 01/04/2021</t>
  </si>
  <si>
    <t>Duct and Chambers</t>
  </si>
  <si>
    <t>Poles</t>
  </si>
  <si>
    <t>Volumes for Simplified Underground Lead in service</t>
  </si>
  <si>
    <t>Service</t>
  </si>
  <si>
    <t>Volumes / lead in</t>
  </si>
  <si>
    <t>Measure</t>
  </si>
  <si>
    <t>Lead-in duct</t>
  </si>
  <si>
    <t>Spine duct – single bore</t>
  </si>
  <si>
    <t>Joint Boxes</t>
  </si>
  <si>
    <t>Duct and Chambers Inputs</t>
  </si>
  <si>
    <t>Installed base volumes</t>
  </si>
  <si>
    <t>Units</t>
  </si>
  <si>
    <t>Lead-ins</t>
  </si>
  <si>
    <t>kms</t>
  </si>
  <si>
    <t>Spine duct – 2 bores</t>
  </si>
  <si>
    <t>Spine duct – 3+ bores</t>
  </si>
  <si>
    <t>Joint boxes</t>
  </si>
  <si>
    <t>units</t>
  </si>
  <si>
    <t>Manholes</t>
  </si>
  <si>
    <t>Duct and Chambers Base Year Cost Data</t>
  </si>
  <si>
    <t>Pay &amp; non-pay costs</t>
  </si>
  <si>
    <t>OCM Dep</t>
  </si>
  <si>
    <t>HG/L</t>
  </si>
  <si>
    <t>Other CCA</t>
  </si>
  <si>
    <t>Other Dep</t>
  </si>
  <si>
    <t>Total CCA Costs</t>
  </si>
  <si>
    <t>MCE</t>
  </si>
  <si>
    <t>NRC (main COW)</t>
  </si>
  <si>
    <t>Other COWs</t>
  </si>
  <si>
    <t>Other non COW</t>
  </si>
  <si>
    <t>NCA</t>
  </si>
  <si>
    <t>Total MCE</t>
  </si>
  <si>
    <t xml:space="preserve">LDD Costs </t>
  </si>
  <si>
    <t>As of:</t>
  </si>
  <si>
    <t>Opening and closing balances</t>
  </si>
  <si>
    <t>2022/23</t>
  </si>
  <si>
    <t>2023/24</t>
  </si>
  <si>
    <t>Associated with the POLES COW</t>
  </si>
  <si>
    <t>Opening GRC</t>
  </si>
  <si>
    <t>Closing GRC</t>
  </si>
  <si>
    <t>Mean GRC</t>
  </si>
  <si>
    <t>Opening NRC</t>
  </si>
  <si>
    <t>Closing NRC</t>
  </si>
  <si>
    <t>Mean NRC</t>
  </si>
  <si>
    <t>OCM depreciation</t>
  </si>
  <si>
    <t>Associated with Other COWs</t>
  </si>
  <si>
    <t>Base Year adjustments</t>
  </si>
  <si>
    <t>Normalise Leavers cost</t>
  </si>
  <si>
    <t>Normalise Restructuring costs</t>
  </si>
  <si>
    <t>Parameters and Assumptions</t>
  </si>
  <si>
    <t>Million</t>
  </si>
  <si>
    <t>Thousand</t>
  </si>
  <si>
    <t>Opex_CVE</t>
  </si>
  <si>
    <t>Opex_eff</t>
  </si>
  <si>
    <t>Leadin_discount</t>
  </si>
  <si>
    <t>Manifold_uplift_ratio</t>
  </si>
  <si>
    <t>Single-premise</t>
  </si>
  <si>
    <t>Multi-premise</t>
  </si>
  <si>
    <t>asset_inflation</t>
  </si>
  <si>
    <t>opex_inflation</t>
  </si>
  <si>
    <t>CPI</t>
  </si>
  <si>
    <t>Asset lives</t>
  </si>
  <si>
    <t>Duct and chambers assets</t>
  </si>
  <si>
    <t>years</t>
  </si>
  <si>
    <t>duct_asset_life</t>
  </si>
  <si>
    <t>Pole Assets</t>
  </si>
  <si>
    <t>pole_asset_life</t>
  </si>
  <si>
    <t>Volume growth, cost and capex forecast assumptions</t>
  </si>
  <si>
    <t>Poles Volume Forecasts</t>
  </si>
  <si>
    <t>Year Start</t>
  </si>
  <si>
    <t>Gross additions</t>
  </si>
  <si>
    <t>Retirements (poles replaced)</t>
  </si>
  <si>
    <t>Year end</t>
  </si>
  <si>
    <t>D&amp;C Volume Growth (Installed base)</t>
  </si>
  <si>
    <t>Capex</t>
  </si>
  <si>
    <t>LDD capex forecasts</t>
  </si>
  <si>
    <t>Poles (total) capex forecasts</t>
  </si>
  <si>
    <t>Poles replacement capex</t>
  </si>
  <si>
    <t>Poles testing capex</t>
  </si>
  <si>
    <t>Network adjustment costs</t>
  </si>
  <si>
    <t>Outputs for Forecasts</t>
  </si>
  <si>
    <t>2025/26</t>
  </si>
  <si>
    <t>2026/27</t>
  </si>
  <si>
    <t>2027/28</t>
  </si>
  <si>
    <t>2028/29</t>
  </si>
  <si>
    <t>2029/30</t>
  </si>
  <si>
    <t>2030/31</t>
  </si>
  <si>
    <t>Duct network adjustments - Additions</t>
  </si>
  <si>
    <t>Poles network adjustment - Additions</t>
  </si>
  <si>
    <t>Total</t>
  </si>
  <si>
    <t>Actuals --&gt;</t>
  </si>
  <si>
    <t>Forecasts --&gt;</t>
  </si>
  <si>
    <t>Duct and Chambers Volume Forecasts</t>
  </si>
  <si>
    <t>Base year volumes</t>
  </si>
  <si>
    <t>End Year vols</t>
  </si>
  <si>
    <t>Growth rates</t>
  </si>
  <si>
    <t>Set Lead-in volume growth the same as single bore</t>
  </si>
  <si>
    <t xml:space="preserve">Forecast mid year volumes for each PIA component </t>
  </si>
  <si>
    <t>Calculate Attributions in Each Year</t>
  </si>
  <si>
    <t>Unit Costs</t>
  </si>
  <si>
    <t>Inflation</t>
  </si>
  <si>
    <t>Revised Standard Cost</t>
  </si>
  <si>
    <t>Sub-total</t>
  </si>
  <si>
    <t>Attributions</t>
  </si>
  <si>
    <t>Forecasts of LDD to 2030/31</t>
  </si>
  <si>
    <t>Assumptions</t>
  </si>
  <si>
    <t>Years &gt;&gt;&gt;&gt;&gt;</t>
  </si>
  <si>
    <t>Total duct capex forecasts</t>
  </si>
  <si>
    <t>Forecasting</t>
  </si>
  <si>
    <t>Assume no new registrations</t>
  </si>
  <si>
    <t>Assume no write outs or disposals</t>
  </si>
  <si>
    <t>Check</t>
  </si>
  <si>
    <t>Assume no CCA adjustments</t>
  </si>
  <si>
    <t>Calculated asset life</t>
  </si>
  <si>
    <t>Assume write outs = OCM depreciation</t>
  </si>
  <si>
    <t>Total Pre 31/3/2018</t>
  </si>
  <si>
    <t>Assets - GRC</t>
  </si>
  <si>
    <t>Assets - NRC</t>
  </si>
  <si>
    <t>Assets registered post 31/3/2018</t>
  </si>
  <si>
    <t>Assume no disposals</t>
  </si>
  <si>
    <t>Outputs for Duct and Chambers Forecasting</t>
  </si>
  <si>
    <t>Assets pre 31/3/2018</t>
  </si>
  <si>
    <t>Assets post 31/3/2018</t>
  </si>
  <si>
    <t>All Assets</t>
  </si>
  <si>
    <t>Net asset registrations</t>
  </si>
  <si>
    <t>Price movement</t>
  </si>
  <si>
    <t>Write outs and Other adjs</t>
  </si>
  <si>
    <t>Duct Opening NRC</t>
  </si>
  <si>
    <t>Net Asset registrations</t>
  </si>
  <si>
    <t>Other CCA adjustments</t>
  </si>
  <si>
    <t>Duct and Chambers Cost Forecasts</t>
  </si>
  <si>
    <t>Base year cost data</t>
  </si>
  <si>
    <t>Opex</t>
  </si>
  <si>
    <t>Cost forecasting assumptions</t>
  </si>
  <si>
    <t>Inflation Forecasts</t>
  </si>
  <si>
    <t>D&amp;C Attribution Bases</t>
  </si>
  <si>
    <t>Volume Growth</t>
  </si>
  <si>
    <t>Set lead-in to be same as Single Bore</t>
  </si>
  <si>
    <t>Weighted  Growth rate</t>
  </si>
  <si>
    <t>Forecast duct and chambers costs</t>
  </si>
  <si>
    <t>Operating Costs</t>
  </si>
  <si>
    <t>Attribute on the basis of OCM depreciation</t>
  </si>
  <si>
    <t>Assume grows on the basis of weighted growth rate</t>
  </si>
  <si>
    <t>Mean Capital Employed</t>
  </si>
  <si>
    <t>Assume flat : mix of BDUK &amp; other assets</t>
  </si>
  <si>
    <t>Attribute on the basis of LDD MCE</t>
  </si>
  <si>
    <t>Summarise and attribute to components</t>
  </si>
  <si>
    <t>Output panel</t>
  </si>
  <si>
    <t>Totals</t>
  </si>
  <si>
    <t>Duct and chambers forecast unit costs, charges and Xs</t>
  </si>
  <si>
    <t>Costs and volume data and other assumptions</t>
  </si>
  <si>
    <t>Comments</t>
  </si>
  <si>
    <t>Volumes</t>
  </si>
  <si>
    <t>WACC</t>
  </si>
  <si>
    <t>Forecast shares</t>
  </si>
  <si>
    <t>Assume shares remain constant</t>
  </si>
  <si>
    <t>Current Charges</t>
  </si>
  <si>
    <t>Simplified underground lead-in volume assumptions</t>
  </si>
  <si>
    <t>Assume volumes stay constant</t>
  </si>
  <si>
    <t>Not a part of simplified lead in</t>
  </si>
  <si>
    <t>Simplified underground lead-in discount factors</t>
  </si>
  <si>
    <t>Note: changed this to 100% as we no longer think it is appropriate to apply a discount rate to this element of the simplified lead-in charge</t>
  </si>
  <si>
    <t>Calculate unit costs and charges</t>
  </si>
  <si>
    <t>FAC (incl. ROCE)</t>
  </si>
  <si>
    <t>Unit costs</t>
  </si>
  <si>
    <t>Unit costs are per metre: volumes in kms, costs in £m</t>
  </si>
  <si>
    <t>Unit costs are per junction box, costs are in £m</t>
  </si>
  <si>
    <t>Unit costs are per manhole, costs are in £m</t>
  </si>
  <si>
    <t>Raw Charges</t>
  </si>
  <si>
    <t xml:space="preserve">This is a combination of the 3 cost elements that feed into the simplified lead in charge </t>
  </si>
  <si>
    <t>Modelled Charges</t>
  </si>
  <si>
    <t>(rounded to 2sf)</t>
  </si>
  <si>
    <t>Duct and chambers service prices out to April 2025</t>
  </si>
  <si>
    <t>Calculate Xs</t>
  </si>
  <si>
    <t>Modelled prices to nearest penny</t>
  </si>
  <si>
    <t>5 year CAGR</t>
  </si>
  <si>
    <t>Index from 2020/21</t>
  </si>
  <si>
    <t>Start and end prices</t>
  </si>
  <si>
    <t>Start price</t>
  </si>
  <si>
    <t>End price</t>
  </si>
  <si>
    <t>Change as index</t>
  </si>
  <si>
    <t>Implied X</t>
  </si>
  <si>
    <t>Prices in each year</t>
  </si>
  <si>
    <t>Indexation check</t>
  </si>
  <si>
    <t>Pole volume forecasts</t>
  </si>
  <si>
    <t>Forecast Total Pole Volumes</t>
  </si>
  <si>
    <t>Volume Forecasts from Parameters and Assumptions</t>
  </si>
  <si>
    <t>Mid Year volume</t>
  </si>
  <si>
    <t>Growth Rate</t>
  </si>
  <si>
    <t>Forecasts of poles by type of pole</t>
  </si>
  <si>
    <t>Proportions</t>
  </si>
  <si>
    <t>DP poles - pure</t>
  </si>
  <si>
    <t>DP poles - mixed</t>
  </si>
  <si>
    <t>Feeder poles - pure</t>
  </si>
  <si>
    <t>Feeder poles - mixed</t>
  </si>
  <si>
    <t>Cable poles</t>
  </si>
  <si>
    <t>Forecasts of poles by type and total DP poles</t>
  </si>
  <si>
    <t>Total DP Poles</t>
  </si>
  <si>
    <t>Attachment Forecasts</t>
  </si>
  <si>
    <t>Forecasts of OR manifolds</t>
  </si>
  <si>
    <t>Input volumes and scale to 2022/23 mid year volume</t>
  </si>
  <si>
    <t>Type of Pole</t>
  </si>
  <si>
    <t>Estimate 2022/23 mid year</t>
  </si>
  <si>
    <t>Estimate 2023/24 mid year</t>
  </si>
  <si>
    <t>Estimate 2024/25 mid year</t>
  </si>
  <si>
    <t>DP poles - pure: single premises</t>
  </si>
  <si>
    <t>DP poles - pure: multi premises</t>
  </si>
  <si>
    <t>DP poles - mixed: single premises</t>
  </si>
  <si>
    <t>DP poles - mixed: multi premises</t>
  </si>
  <si>
    <t>Feeder poles - pure: single premises</t>
  </si>
  <si>
    <t>Feeder poles - pure: multi premises</t>
  </si>
  <si>
    <t>Feeder poles - mixed: single premises</t>
  </si>
  <si>
    <t>Feeder poles - mixed: multi premises</t>
  </si>
  <si>
    <t>Cable poles: single premises</t>
  </si>
  <si>
    <t>Cable poles: multi premises</t>
  </si>
  <si>
    <t>Forecast attachments through time</t>
  </si>
  <si>
    <t>Single</t>
  </si>
  <si>
    <t>Multi</t>
  </si>
  <si>
    <t>Total attachments</t>
  </si>
  <si>
    <t>OR Attachments/pole</t>
  </si>
  <si>
    <t>All Pure Attachmnts</t>
  </si>
  <si>
    <t>Total Pure Poles</t>
  </si>
  <si>
    <t>Attachments/Pole</t>
  </si>
  <si>
    <t>Cable multi attachmnts</t>
  </si>
  <si>
    <t>PIA attachments /pole</t>
  </si>
  <si>
    <t>Total Attachments/pole</t>
  </si>
  <si>
    <t>Forecast Poles Costs for main CoW</t>
  </si>
  <si>
    <t xml:space="preserve">Input Volumes, forecast unit costs and forecast net additions </t>
  </si>
  <si>
    <t>Indexation Assumptions</t>
  </si>
  <si>
    <t>Cumulative index</t>
  </si>
  <si>
    <t>Forecast Unit Costs</t>
  </si>
  <si>
    <t>Poles unit cost</t>
  </si>
  <si>
    <t>Forecast Installation Volumes</t>
  </si>
  <si>
    <t>Poles capex forecasts</t>
  </si>
  <si>
    <t>Note: this also includes annual capex from pole testing and network adjustments</t>
  </si>
  <si>
    <t>Forecast GRCs, NRCs and OCM dep</t>
  </si>
  <si>
    <t>Asset life &gt;&gt;&gt;</t>
  </si>
  <si>
    <t>Relevant Asset Inflation</t>
  </si>
  <si>
    <t>New Assets</t>
  </si>
  <si>
    <t>Forecast to be equivalent to replacement capex for poles</t>
  </si>
  <si>
    <t>Calculate totals GRCs, NRCs and OCM depreciation and form output panel</t>
  </si>
  <si>
    <t>Outputs for Poles Cost Forecasting</t>
  </si>
  <si>
    <t>Poles Cost Forecasts</t>
  </si>
  <si>
    <t>Base year (2019/20) cost data</t>
  </si>
  <si>
    <t>Opex Volume Growth</t>
  </si>
  <si>
    <t>Forecast poles costs</t>
  </si>
  <si>
    <t xml:space="preserve">Assume flat : mix of assets practically none of which are revalued. </t>
  </si>
  <si>
    <t>Assume flat : mix of assets</t>
  </si>
  <si>
    <t>Assume flat : mix of other assets</t>
  </si>
  <si>
    <t>Output panel for next sheet</t>
  </si>
  <si>
    <t>Poles forecast unit costs, charges and Xs</t>
  </si>
  <si>
    <t>Costs, volumes &amp; other assumptions</t>
  </si>
  <si>
    <t>Assume allocations are constant over the peiod</t>
  </si>
  <si>
    <t>FAC (£m)</t>
  </si>
  <si>
    <t>Attribute to</t>
  </si>
  <si>
    <t>Unit costs (£)</t>
  </si>
  <si>
    <t>Facilities on pole</t>
  </si>
  <si>
    <t>Total attachment costs (£m)</t>
  </si>
  <si>
    <t>Unit cost (£ per pole)</t>
  </si>
  <si>
    <t>Unit Costs (£ per attachment) - Single</t>
  </si>
  <si>
    <t>Unit Costs (£ per attachment) - Multi</t>
  </si>
  <si>
    <t>Mixed poles attachment coefficient</t>
  </si>
  <si>
    <t>Modelled charge (per cable attachment) - Single</t>
  </si>
  <si>
    <t>Modelled charge (per cable attachment) - Multi</t>
  </si>
  <si>
    <t>Discount on single-end-user attachments</t>
  </si>
  <si>
    <t>Modelled charge after discounts  (per cable attachment, nearest p)</t>
  </si>
  <si>
    <t>Charges as share of unit cost</t>
  </si>
  <si>
    <t>Summary of Modelled Charges</t>
  </si>
  <si>
    <t>Forecast poles service prices out to March 2021</t>
  </si>
  <si>
    <t>Published 01/04/2022</t>
  </si>
  <si>
    <t>Published 01/04/2023</t>
  </si>
  <si>
    <t>Published 01/04/2024</t>
  </si>
  <si>
    <t>Published 01/04/2025</t>
  </si>
  <si>
    <t>Index from 2025/26</t>
  </si>
  <si>
    <t>n/a</t>
  </si>
  <si>
    <t>PIA model outputs</t>
  </si>
  <si>
    <t>Proposed control</t>
  </si>
  <si>
    <t>PIA service charges</t>
  </si>
  <si>
    <t>Unit</t>
  </si>
  <si>
    <t>2019/20</t>
  </si>
  <si>
    <t>2020/21</t>
  </si>
  <si>
    <t>2021/22</t>
  </si>
  <si>
    <t>CPI +</t>
  </si>
  <si>
    <t>Duct</t>
  </si>
  <si>
    <r>
      <rPr>
        <sz val="11"/>
        <color theme="1"/>
        <rFont val="Calibri"/>
        <family val="2"/>
      </rPr>
      <t xml:space="preserve">£ </t>
    </r>
    <r>
      <rPr>
        <sz val="11"/>
        <color theme="1"/>
        <rFont val="Calibri"/>
        <family val="2"/>
        <scheme val="minor"/>
      </rPr>
      <t>per connection</t>
    </r>
  </si>
  <si>
    <r>
      <rPr>
        <sz val="11"/>
        <color theme="1"/>
        <rFont val="Calibri"/>
        <family val="2"/>
      </rPr>
      <t xml:space="preserve">£ </t>
    </r>
    <r>
      <rPr>
        <sz val="11"/>
        <color theme="1"/>
        <rFont val="Calibri"/>
        <family val="2"/>
        <scheme val="minor"/>
      </rPr>
      <t>per metre</t>
    </r>
  </si>
  <si>
    <t>Footway Boxes</t>
  </si>
  <si>
    <t>£ per entry</t>
  </si>
  <si>
    <t>Facility on pole for Multi-end user attachment</t>
  </si>
  <si>
    <r>
      <rPr>
        <sz val="11"/>
        <color theme="1"/>
        <rFont val="Calibri"/>
        <family val="2"/>
      </rPr>
      <t xml:space="preserve">£ </t>
    </r>
    <r>
      <rPr>
        <sz val="11"/>
        <color theme="1"/>
        <rFont val="Calibri"/>
        <family val="2"/>
        <scheme val="minor"/>
      </rPr>
      <t>per pole</t>
    </r>
  </si>
  <si>
    <t>Facility on pole for Single end-user attachment</t>
  </si>
  <si>
    <t>£ per equipment</t>
  </si>
  <si>
    <t>£ per cable</t>
  </si>
  <si>
    <t>Facility on pole for attachments (blended)</t>
  </si>
  <si>
    <t>Breakdown of poles cost</t>
  </si>
  <si>
    <t>Facility on pole</t>
  </si>
  <si>
    <t>Manifold and cable up pole</t>
  </si>
  <si>
    <t>Attachment volumes for single &amp; multi attachments</t>
  </si>
  <si>
    <t>Proportion of attachments that are single</t>
  </si>
  <si>
    <t>FAC number for duct</t>
  </si>
  <si>
    <t>Uplift to account for chamber products</t>
  </si>
  <si>
    <t>PIA Charges Model</t>
  </si>
  <si>
    <t>Information</t>
  </si>
  <si>
    <t xml:space="preserve">Title </t>
  </si>
  <si>
    <t>Objective</t>
  </si>
  <si>
    <t>This model is the non-confidential version of Ofcom's PIA Charges Model. The PIA Charges Model forecasts costs for duct and poles to determine future cost-based charge controls</t>
  </si>
  <si>
    <t>Confidentiality status</t>
  </si>
  <si>
    <t>Non-confidential</t>
  </si>
  <si>
    <t>Contents</t>
  </si>
  <si>
    <t>Sheet</t>
  </si>
  <si>
    <t>Description</t>
  </si>
  <si>
    <t>This contents sheet</t>
  </si>
  <si>
    <t>Ofcom style guide</t>
  </si>
  <si>
    <t>Actual model sheets</t>
  </si>
  <si>
    <t>Network Adjs</t>
  </si>
  <si>
    <t>Estimated capex for network adjustments below the £4,750 financial limit, split by duct and pole</t>
  </si>
  <si>
    <t>D&amp;C Vols</t>
  </si>
  <si>
    <t>Calculated duct volumes and cost attributions</t>
  </si>
  <si>
    <t>LDD forecasts</t>
  </si>
  <si>
    <t>Forecast capital costs for duct's main Class of Work (LDD)</t>
  </si>
  <si>
    <t>D&amp;C Cost Forecasts</t>
  </si>
  <si>
    <t>Estimates total duct and chamber cost forecasts (both capital and operating costs)</t>
  </si>
  <si>
    <t>D&amp;C Forecast UCs, Charges &amp; Xs</t>
  </si>
  <si>
    <t>Converts the calculated duct costs into unit costs and then applies fair shares to determine cost-based charges and required CPI-X charge controls</t>
  </si>
  <si>
    <t>Calculated pole volumes</t>
  </si>
  <si>
    <t>Poles main COW Forecasts</t>
  </si>
  <si>
    <t>Forecast capital costs for poles Class of Work</t>
  </si>
  <si>
    <t>Poles costs forecasts</t>
  </si>
  <si>
    <t>Estimates total poles cost forecasts (both capital and operating costs)</t>
  </si>
  <si>
    <t>Poles Fcast UCs, Charges &amp; Xs</t>
  </si>
  <si>
    <t>Converts the calculated poles costs into unit costs and then applies fair shares to determine cost-based charges and required CPI-X charge controls</t>
  </si>
  <si>
    <t>Model outputs</t>
  </si>
  <si>
    <t>Consolidates key outputs such as cost-based charges and CPI-X controls</t>
  </si>
  <si>
    <t>Terms and conditions</t>
  </si>
  <si>
    <r>
      <t xml:space="preserve">The terms and conditions on which OFCOM is making available this model are set out below.
The </t>
    </r>
    <r>
      <rPr>
        <sz val="11"/>
        <rFont val="Calibri"/>
        <family val="2"/>
      </rPr>
      <t>PIA Charges</t>
    </r>
    <r>
      <rPr>
        <sz val="11"/>
        <color theme="1"/>
        <rFont val="Calibri"/>
        <family val="2"/>
        <scheme val="minor"/>
      </rPr>
      <t xml:space="preserve"> Model ('the Model') has been developed to </t>
    </r>
    <r>
      <rPr>
        <sz val="11"/>
        <rFont val="Calibri"/>
        <family val="2"/>
        <scheme val="minor"/>
      </rPr>
      <t xml:space="preserve">determine cost-based charge controls for regulated duct and pole (PIA) services. The Model is provided as part of the explanation of OFCOM’s position in Volume 4 of "Promoting competition and investment in fibre networks: Telecoms Access Review 2026-31".
</t>
    </r>
    <r>
      <rPr>
        <sz val="11"/>
        <color theme="1"/>
        <rFont val="Calibri"/>
        <family val="2"/>
        <scheme val="minor"/>
      </rPr>
      <t xml:space="preserve">
While you may freely use the Model for the purposes for which it is provided, as set out in any accompanying model documentation, OFCOM does not guarantee that the Model will function when used in any modified way.
No representation or warranty is given as to the accuracy, completeness or correctness of the provided Model and it is provided 'as is'. It is provided without any representation or endorsement made and without warranty of any kind, whether express or implied, including but not limited to the implied warranties of satisfactory quality, fitness for a particular purpose, non-infringement, compatibility, security and accuracy.
OFCOM does not accept any responsibility for any loss, disruption or damage to your data or your computer system which may occur whilst using the Model or material derived from the Model. OFCOM does not warrant that the functions contained in the Model will be uninterrupted or error free. Also, OFCOM does not warrant that defects will be corrected, or that the Model provided is free of viruses.
In no event will OFCOM be liable for any loss or damage including, without limitation, indirect or consequential loss or damage, or any loss or damages whatsoever arising from use or loss of use of, data or profits arising out of or in connection with the use or otherwise of the provided Model. By using the Model, you agree to the above.</t>
    </r>
  </si>
  <si>
    <t>Inputs for PIA Charges Model</t>
  </si>
  <si>
    <t>Simplified lead-in</t>
  </si>
  <si>
    <t>Facility on pole for Multi-end-user attachment</t>
  </si>
  <si>
    <t>Facility on pole for Single-end-user attachment</t>
  </si>
  <si>
    <t>Pole top equipment</t>
  </si>
  <si>
    <t>Cable up a pole (per cable)</t>
  </si>
  <si>
    <t>Post 2018/19 assets</t>
  </si>
  <si>
    <t>GRC</t>
  </si>
  <si>
    <t>NRC</t>
  </si>
  <si>
    <t>Write outs and Other CCA adjustments</t>
  </si>
  <si>
    <t>Other post 97 Assets</t>
  </si>
  <si>
    <t>Pre 97 Access</t>
  </si>
  <si>
    <t>RAV- GRC</t>
  </si>
  <si>
    <t>RAV- NRC</t>
  </si>
  <si>
    <t>Pre 97 Other</t>
  </si>
  <si>
    <t>CCA - GRC</t>
  </si>
  <si>
    <t>CCA - NRC</t>
  </si>
  <si>
    <t xml:space="preserve">Duct and Chambers Attributions </t>
  </si>
  <si>
    <t>D&amp;C Shares</t>
  </si>
  <si>
    <t>2022/23 Unit Costs</t>
  </si>
  <si>
    <t>2023/24 Unit Costs</t>
  </si>
  <si>
    <t>2024/25 Unit Costs</t>
  </si>
  <si>
    <t>Pole Inputs</t>
  </si>
  <si>
    <t>Installed base by type of pole</t>
  </si>
  <si>
    <t xml:space="preserve">Pole Utilisation Data </t>
  </si>
  <si>
    <t>All poles</t>
  </si>
  <si>
    <t>Ratio of manifolds to poles</t>
  </si>
  <si>
    <t>Base Year Pole Cost Data</t>
  </si>
  <si>
    <t>Other non-COW</t>
  </si>
  <si>
    <t>Unit Capital Cost of pole</t>
  </si>
  <si>
    <t>Mutilpliers</t>
  </si>
  <si>
    <t>CVE for operating costs</t>
  </si>
  <si>
    <t xml:space="preserve">Efficiency for operating costs </t>
  </si>
  <si>
    <t>Discounts on simplified underground lead-in</t>
  </si>
  <si>
    <t xml:space="preserve">Relevant shares for duct and chambers products </t>
  </si>
  <si>
    <t>Junction boxes: no of sub-ducts entering or exiting/sub-duct crossing</t>
  </si>
  <si>
    <t>Attribution of Poles Costs</t>
  </si>
  <si>
    <t>Attachment costs</t>
  </si>
  <si>
    <t>Manifold costs</t>
  </si>
  <si>
    <t>Cables up poles costs</t>
  </si>
  <si>
    <t>Poles: Uplift ratio attachments</t>
  </si>
  <si>
    <t xml:space="preserve">Poles: Uplift ratio of manifolds </t>
  </si>
  <si>
    <t>PIA attachments added to pure poles average</t>
  </si>
  <si>
    <t>Inflation Assumptions</t>
  </si>
  <si>
    <t>PIA Asset Inflation  - measure</t>
  </si>
  <si>
    <t>RPI</t>
  </si>
  <si>
    <t>Fixed %</t>
  </si>
  <si>
    <t>PIA Asset Inflation value</t>
  </si>
  <si>
    <t>Opex Inflation - measure</t>
  </si>
  <si>
    <t>Opex Inflation value</t>
  </si>
  <si>
    <t>metres</t>
  </si>
  <si>
    <t>exits</t>
  </si>
  <si>
    <t>Input data that are either based on actuals, rounded actuals, or randomised by +/- 20% to produce non-confidential inputs</t>
  </si>
  <si>
    <t>Ofcom assumptions and parameters, as well as randomised capex and volume information,  or randomised by +/- 20% to produce non-confidential inputs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</si>
</sst>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5" formatCode="&quot;£&quot;#,##0;\-&quot;£&quot;#,##0"/>
    <numFmt numFmtId="7" formatCode="&quot;£&quot;#,##0.00;\-&quot;£&quot;#,##0.00"/>
    <numFmt numFmtId="43" formatCode="_-* #,##0.00_-;\-* #,##0.00_-;_-* &quot;-&quot;??_-;_-@_-"/>
    <numFmt numFmtId="164" formatCode="_-* #,##0_-;\-* #,##0_-;_-* &quot;-&quot;??_-;_-@_-"/>
    <numFmt numFmtId="165" formatCode="0.0%"/>
    <numFmt numFmtId="166" formatCode="#,##0_ ;[Red]\-#,##0\ "/>
    <numFmt numFmtId="167" formatCode="0.0"/>
    <numFmt numFmtId="168" formatCode="&quot;£&quot;#,##0.00"/>
    <numFmt numFmtId="169" formatCode="&quot;£&quot;#,##0"/>
    <numFmt numFmtId="170" formatCode="#,##0.00_);[Red]\-#,##0.00_);0.00_);@_)"/>
    <numFmt numFmtId="171" formatCode="_-* #,##0.000_-;\-* #,##0.000_-;_-* &quot;-&quot;??_-;_-@_-"/>
    <numFmt numFmtId="172" formatCode="&quot;£&quot;#,##0.0000"/>
    <numFmt numFmtId="173" formatCode="[$-F800]dddd\,\ mmmm\ dd\,\ yyyy"/>
    <numFmt numFmtId="174" formatCode="&quot;£&quot;#,##0.000&quot;m&quot;"/>
    <numFmt numFmtId="175" formatCode="#,##0.0"/>
    <numFmt numFmtId="176" formatCode="&quot;£&quot;#,##0&quot;m&quot;;[Red]&quot;£&quot;#,##0&quot;m&quot;"/>
    <numFmt numFmtId="177" formatCode="[$£-809]#,##0.0"/>
    <numFmt numFmtId="178" formatCode="&quot;£&quot;#,##0&quot;m&quot;;[Red]\-&quot;£&quot;#,##0&quot;m&quot;;\ &quot;-&quot;"/>
    <numFmt numFmtId="179" formatCode="&quot;£&quot;#,##0.0&quot;m&quot;;[Red]\-&quot;£&quot;#,##0.0&quot;m&quot;;\ &quot;-&quot;"/>
    <numFmt numFmtId="180" formatCode="&quot;£&quot;#,##0.000&quot;m&quot;;[Red]\-&quot;£&quot;#,##0.000&quot;m&quot;;\ &quot;-&quot;"/>
    <numFmt numFmtId="181" formatCode="&quot;£&quot;#,##0.0000;\-&quot;£&quot;#,##0.0000"/>
    <numFmt numFmtId="182" formatCode="&quot;£&quot;#,##0.000&quot;m&quot;;\-&quot;£&quot;#,##0.000&quot;m&quot;;&quot;-&quot;"/>
    <numFmt numFmtId="183" formatCode="&quot;£&quot;#,##0.0;\-&quot;£&quot;#,##0.0"/>
    <numFmt numFmtId="184" formatCode="&quot;£&quot;#,##0.0&quot;m&quot;"/>
    <numFmt numFmtId="185" formatCode="&quot;£&quot;#,##0.0&quot;m&quot;;\-&quot;£&quot;#,##0.0&quot;m&quot;;&quot;-&quot;"/>
    <numFmt numFmtId="186" formatCode="#,##0_);[Red]\-#,##0_);0_);@_)"/>
    <numFmt numFmtId="187" formatCode="#,##0.00;[Red]\-#,##0.00;\-"/>
    <numFmt numFmtId="188" formatCode="#,##0;[Red]\-#,##0;\-"/>
    <numFmt numFmtId="189" formatCode="#,##0.0;[Red]\-#,##0.0;\-"/>
    <numFmt numFmtId="190" formatCode="&quot;Rnd&quot;* &quot;[&quot;General&quot;]&quot;;&quot;Rnd&quot;* &quot;[&quot;\-General&quot;]&quot;"/>
    <numFmt numFmtId="191" formatCode="&quot;£&quot;#,##0.000"/>
    <numFmt numFmtId="192" formatCode="&quot;£&quot;#,##0.00000000;\-&quot;£&quot;#,##0.00000000"/>
    <numFmt numFmtId="193" formatCode="&quot;£&quot;#,##0.0000000000"/>
    <numFmt numFmtId="194" formatCode="&quot;£&quot;#,##0.00000"/>
    <numFmt numFmtId="195" formatCode="&quot;£&quot;#,##0.00&quot;m&quot;"/>
    <numFmt numFmtId="196" formatCode="0.000"/>
  </numFmts>
  <fonts count="69" x14ac:knownFonts="1">
    <font>
      <sz val="11"/>
      <color theme="1"/>
      <name val="Calibri"/>
      <family val="2"/>
      <scheme val="minor"/>
    </font>
    <font>
      <b/>
      <sz val="11"/>
      <color theme="1"/>
      <name val="Calibri"/>
      <family val="2"/>
      <scheme val="minor"/>
    </font>
    <font>
      <sz val="11"/>
      <color theme="1"/>
      <name val="Calibri"/>
      <family val="2"/>
      <scheme val="minor"/>
    </font>
    <font>
      <sz val="9"/>
      <name val="Arial"/>
      <family val="2"/>
    </font>
    <font>
      <b/>
      <sz val="18"/>
      <name val="Arial"/>
      <family val="2"/>
    </font>
    <font>
      <b/>
      <sz val="9"/>
      <name val="Arial"/>
      <family val="2"/>
    </font>
    <font>
      <b/>
      <sz val="14"/>
      <name val="Arial"/>
      <family val="2"/>
    </font>
    <font>
      <b/>
      <sz val="12"/>
      <name val="Arial"/>
      <family val="2"/>
    </font>
    <font>
      <b/>
      <sz val="11"/>
      <color theme="0"/>
      <name val="Calibri"/>
      <family val="2"/>
      <scheme val="minor"/>
    </font>
    <font>
      <sz val="11"/>
      <color theme="0"/>
      <name val="Calibri"/>
      <family val="2"/>
      <scheme val="minor"/>
    </font>
    <font>
      <b/>
      <sz val="14"/>
      <color theme="1"/>
      <name val="Calibri"/>
      <family val="2"/>
      <scheme val="minor"/>
    </font>
    <font>
      <b/>
      <sz val="10"/>
      <color theme="1"/>
      <name val="Calibri"/>
      <family val="2"/>
      <scheme val="minor"/>
    </font>
    <font>
      <i/>
      <sz val="11"/>
      <color rgb="FFFF0000"/>
      <name val="Calibri"/>
      <family val="2"/>
      <scheme val="minor"/>
    </font>
    <font>
      <i/>
      <sz val="9"/>
      <color indexed="16"/>
      <name val="Arial"/>
      <family val="2"/>
    </font>
    <font>
      <sz val="8"/>
      <color indexed="10"/>
      <name val="Arial"/>
      <family val="2"/>
    </font>
    <font>
      <i/>
      <sz val="9"/>
      <color rgb="FF969696"/>
      <name val="Arial"/>
      <family val="2"/>
    </font>
    <font>
      <b/>
      <sz val="12"/>
      <color theme="1"/>
      <name val="Calibri"/>
      <family val="2"/>
      <scheme val="minor"/>
    </font>
    <font>
      <u/>
      <sz val="9"/>
      <color theme="10"/>
      <name val="Arial"/>
      <family val="2"/>
    </font>
    <font>
      <sz val="9"/>
      <color theme="1"/>
      <name val="Calibri"/>
      <family val="2"/>
      <scheme val="minor"/>
    </font>
    <font>
      <b/>
      <sz val="9"/>
      <name val="Calibri"/>
      <family val="2"/>
      <scheme val="minor"/>
    </font>
    <font>
      <sz val="9"/>
      <name val="Calibri"/>
      <family val="2"/>
      <scheme val="minor"/>
    </font>
    <font>
      <b/>
      <sz val="14"/>
      <name val="Calibri"/>
      <family val="2"/>
      <scheme val="minor"/>
    </font>
    <font>
      <b/>
      <sz val="12"/>
      <name val="Calibri"/>
      <family val="2"/>
      <scheme val="minor"/>
    </font>
    <font>
      <sz val="10"/>
      <name val="Calibri"/>
      <family val="2"/>
      <scheme val="minor"/>
    </font>
    <font>
      <b/>
      <sz val="10"/>
      <name val="Calibri"/>
      <family val="2"/>
      <scheme val="minor"/>
    </font>
    <font>
      <sz val="10"/>
      <color theme="1"/>
      <name val="Calibri"/>
      <family val="2"/>
      <scheme val="minor"/>
    </font>
    <font>
      <i/>
      <sz val="9"/>
      <color rgb="FFFF0000"/>
      <name val="Calibri"/>
      <family val="2"/>
      <scheme val="minor"/>
    </font>
    <font>
      <sz val="10"/>
      <name val="Arial"/>
      <family val="2"/>
    </font>
    <font>
      <b/>
      <sz val="10"/>
      <color theme="0"/>
      <name val="Calibri"/>
      <family val="2"/>
      <scheme val="minor"/>
    </font>
    <font>
      <sz val="10"/>
      <color theme="0"/>
      <name val="Calibri"/>
      <family val="2"/>
      <scheme val="minor"/>
    </font>
    <font>
      <i/>
      <sz val="10"/>
      <color rgb="FFFF0000"/>
      <name val="Calibri"/>
      <family val="2"/>
      <scheme val="minor"/>
    </font>
    <font>
      <sz val="10"/>
      <color rgb="FFFF0000"/>
      <name val="Calibri"/>
      <family val="2"/>
      <scheme val="minor"/>
    </font>
    <font>
      <sz val="11"/>
      <color theme="1"/>
      <name val="Calibri"/>
      <family val="2"/>
    </font>
    <font>
      <sz val="14"/>
      <name val="Calibri"/>
      <family val="2"/>
      <scheme val="minor"/>
    </font>
    <font>
      <b/>
      <i/>
      <sz val="10"/>
      <color theme="1"/>
      <name val="Calibri"/>
      <family val="2"/>
      <scheme val="minor"/>
    </font>
    <font>
      <i/>
      <sz val="10"/>
      <color theme="1"/>
      <name val="Calibri"/>
      <family val="2"/>
      <scheme val="minor"/>
    </font>
    <font>
      <u/>
      <sz val="10"/>
      <color theme="10"/>
      <name val="Arial"/>
      <family val="2"/>
    </font>
    <font>
      <b/>
      <sz val="16"/>
      <color theme="1"/>
      <name val="Calibri"/>
      <family val="2"/>
      <scheme val="minor"/>
    </font>
    <font>
      <b/>
      <sz val="20"/>
      <color theme="1"/>
      <name val="Calibri"/>
      <family val="2"/>
      <scheme val="minor"/>
    </font>
    <font>
      <b/>
      <sz val="22"/>
      <name val="Arial"/>
      <family val="2"/>
    </font>
    <font>
      <b/>
      <sz val="10"/>
      <name val="Arial"/>
      <family val="2"/>
    </font>
    <font>
      <b/>
      <sz val="22"/>
      <color theme="3"/>
      <name val="Calibri"/>
      <family val="2"/>
      <scheme val="minor"/>
    </font>
    <font>
      <sz val="10"/>
      <color rgb="FF0000FF"/>
      <name val="Arial"/>
      <family val="2"/>
    </font>
    <font>
      <sz val="10"/>
      <color indexed="16"/>
      <name val="Arial"/>
      <family val="2"/>
    </font>
    <font>
      <sz val="11"/>
      <color rgb="FF0000FF"/>
      <name val="Calibri"/>
      <family val="2"/>
      <scheme val="minor"/>
    </font>
    <font>
      <b/>
      <sz val="10"/>
      <color theme="0"/>
      <name val="Arial"/>
      <family val="2"/>
    </font>
    <font>
      <b/>
      <sz val="16"/>
      <name val="Calibri"/>
      <family val="2"/>
      <scheme val="minor"/>
    </font>
    <font>
      <b/>
      <sz val="11"/>
      <name val="Calibri"/>
      <family val="2"/>
      <scheme val="minor"/>
    </font>
    <font>
      <sz val="16"/>
      <color theme="1"/>
      <name val="Calibri"/>
      <family val="2"/>
      <scheme val="minor"/>
    </font>
    <font>
      <sz val="10"/>
      <name val="Arial"/>
      <family val="2"/>
    </font>
    <font>
      <sz val="8"/>
      <name val="Calibri"/>
      <family val="2"/>
      <scheme val="minor"/>
    </font>
    <font>
      <b/>
      <i/>
      <sz val="12"/>
      <color theme="1"/>
      <name val="Calibri"/>
      <family val="2"/>
      <scheme val="minor"/>
    </font>
    <font>
      <b/>
      <i/>
      <sz val="14"/>
      <color theme="1"/>
      <name val="Calibri"/>
      <family val="2"/>
      <scheme val="minor"/>
    </font>
    <font>
      <b/>
      <i/>
      <sz val="9"/>
      <color theme="1"/>
      <name val="Calibri"/>
      <family val="2"/>
      <scheme val="minor"/>
    </font>
    <font>
      <sz val="8"/>
      <color theme="1"/>
      <name val="Calibri"/>
      <family val="2"/>
      <scheme val="minor"/>
    </font>
    <font>
      <sz val="11"/>
      <name val="Calibri"/>
      <family val="2"/>
      <scheme val="minor"/>
    </font>
    <font>
      <sz val="24"/>
      <color rgb="FFCC0044"/>
      <name val="Calibri Light"/>
      <family val="2"/>
      <scheme val="major"/>
    </font>
    <font>
      <sz val="10"/>
      <color indexed="10"/>
      <name val="Calibri"/>
      <family val="2"/>
      <scheme val="minor"/>
    </font>
    <font>
      <b/>
      <sz val="14"/>
      <color rgb="FF404040"/>
      <name val="Calibri Light"/>
      <family val="2"/>
      <scheme val="major"/>
    </font>
    <font>
      <sz val="11"/>
      <color rgb="FF000000"/>
      <name val="Calibri"/>
      <family val="2"/>
      <scheme val="minor"/>
    </font>
    <font>
      <sz val="11"/>
      <color theme="0" tint="-0.14996795556505021"/>
      <name val="Calibri"/>
      <family val="2"/>
      <scheme val="minor"/>
    </font>
    <font>
      <sz val="11"/>
      <color rgb="FF969696"/>
      <name val="Calibri"/>
      <family val="2"/>
      <scheme val="minor"/>
    </font>
    <font>
      <b/>
      <sz val="11"/>
      <color rgb="FFFFFFFF"/>
      <name val="Calibri"/>
      <family val="2"/>
      <scheme val="minor"/>
    </font>
    <font>
      <i/>
      <sz val="11"/>
      <color rgb="FFC00000"/>
      <name val="Calibri"/>
      <family val="2"/>
      <scheme val="minor"/>
    </font>
    <font>
      <u/>
      <sz val="9"/>
      <name val="Arial"/>
      <family val="2"/>
    </font>
    <font>
      <b/>
      <sz val="16"/>
      <color rgb="FFCC0044"/>
      <name val="Calibri Light"/>
      <family val="2"/>
      <scheme val="major"/>
    </font>
    <font>
      <b/>
      <sz val="11"/>
      <color rgb="FF642566"/>
      <name val="Calibri Light"/>
      <family val="2"/>
      <scheme val="major"/>
    </font>
    <font>
      <sz val="9"/>
      <name val="Verdana"/>
      <family val="2"/>
    </font>
    <font>
      <sz val="11"/>
      <name val="Calibri"/>
      <family val="2"/>
    </font>
  </fonts>
  <fills count="22">
    <fill>
      <patternFill patternType="none"/>
    </fill>
    <fill>
      <patternFill patternType="gray125"/>
    </fill>
    <fill>
      <patternFill patternType="solid">
        <fgColor rgb="FFFFFF00"/>
        <bgColor indexed="64"/>
      </patternFill>
    </fill>
    <fill>
      <patternFill patternType="solid">
        <fgColor rgb="FFE8D9E8"/>
        <bgColor indexed="64"/>
      </patternFill>
    </fill>
    <fill>
      <gradientFill degree="45">
        <stop position="0">
          <color rgb="FFF7941D"/>
        </stop>
        <stop position="0.5">
          <color rgb="FFFFF200"/>
        </stop>
        <stop position="1">
          <color rgb="FFF7941D"/>
        </stop>
      </gradientFill>
    </fill>
    <fill>
      <patternFill patternType="solid">
        <fgColor theme="0" tint="-0.14999847407452621"/>
        <bgColor indexed="64"/>
      </patternFill>
    </fill>
    <fill>
      <patternFill patternType="solid">
        <fgColor theme="0"/>
        <bgColor indexed="64"/>
      </patternFill>
    </fill>
    <fill>
      <patternFill patternType="solid">
        <fgColor indexed="13"/>
        <bgColor indexed="64"/>
      </patternFill>
    </fill>
    <fill>
      <patternFill patternType="solid">
        <fgColor theme="1"/>
        <bgColor indexed="64"/>
      </patternFill>
    </fill>
    <fill>
      <patternFill patternType="solid">
        <fgColor rgb="FF00B0F0"/>
        <bgColor indexed="64"/>
      </patternFill>
    </fill>
    <fill>
      <patternFill patternType="solid">
        <fgColor rgb="FFE7EEF5"/>
        <bgColor indexed="64"/>
      </patternFill>
    </fill>
    <fill>
      <patternFill patternType="solid">
        <fgColor theme="5" tint="0.79998168889431442"/>
        <bgColor indexed="64"/>
      </patternFill>
    </fill>
    <fill>
      <patternFill patternType="solid">
        <fgColor rgb="FFFFFF99"/>
        <bgColor indexed="64"/>
      </patternFill>
    </fill>
    <fill>
      <patternFill patternType="solid">
        <fgColor theme="6" tint="0.79998168889431442"/>
        <bgColor indexed="26"/>
      </patternFill>
    </fill>
    <fill>
      <patternFill patternType="solid">
        <fgColor theme="0" tint="-0.14999847407452621"/>
        <bgColor indexed="26"/>
      </patternFill>
    </fill>
    <fill>
      <patternFill patternType="solid">
        <fgColor rgb="FFFF0000"/>
        <bgColor indexed="64"/>
      </patternFill>
    </fill>
    <fill>
      <patternFill patternType="solid">
        <fgColor rgb="FFFFC000"/>
        <bgColor indexed="64"/>
      </patternFill>
    </fill>
    <fill>
      <patternFill patternType="solid">
        <fgColor rgb="FFFFF296"/>
        <bgColor indexed="64"/>
      </patternFill>
    </fill>
    <fill>
      <patternFill patternType="solid">
        <fgColor rgb="FFDAEEF3"/>
        <bgColor indexed="64"/>
      </patternFill>
    </fill>
    <fill>
      <patternFill patternType="solid">
        <fgColor rgb="FFEAC8EA"/>
        <bgColor indexed="64"/>
      </patternFill>
    </fill>
    <fill>
      <patternFill patternType="solid">
        <fgColor rgb="FF00FFFF"/>
        <bgColor indexed="64"/>
      </patternFill>
    </fill>
    <fill>
      <patternFill patternType="solid">
        <fgColor rgb="FFA5A5A5"/>
        <bgColor indexed="64"/>
      </patternFill>
    </fill>
  </fills>
  <borders count="30">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rgb="FF660066"/>
      </left>
      <right style="thin">
        <color rgb="FF660066"/>
      </right>
      <top style="thin">
        <color rgb="FF660066"/>
      </top>
      <bottom style="thin">
        <color rgb="FF660066"/>
      </bottom>
      <diagonal/>
    </border>
    <border>
      <left style="mediumDashed">
        <color rgb="FFC90044"/>
      </left>
      <right style="mediumDashed">
        <color rgb="FFC90044"/>
      </right>
      <top style="mediumDashed">
        <color rgb="FFC90044"/>
      </top>
      <bottom style="mediumDashed">
        <color rgb="FFC9004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ck">
        <color indexed="64"/>
      </bottom>
      <diagonal/>
    </border>
    <border>
      <left style="thin">
        <color theme="1"/>
      </left>
      <right style="thin">
        <color theme="1"/>
      </right>
      <top style="thin">
        <color theme="1"/>
      </top>
      <bottom style="thin">
        <color theme="1"/>
      </bottom>
      <diagonal/>
    </border>
    <border>
      <left/>
      <right/>
      <top/>
      <bottom style="thick">
        <color theme="4"/>
      </bottom>
      <diagonal/>
    </border>
    <border>
      <left style="thin">
        <color rgb="FF0033CC"/>
      </left>
      <right style="thin">
        <color rgb="FF0033CC"/>
      </right>
      <top style="thin">
        <color rgb="FF0033CC"/>
      </top>
      <bottom style="thin">
        <color rgb="FF0033CC"/>
      </bottom>
      <diagonal/>
    </border>
    <border>
      <left style="thin">
        <color theme="7" tint="-0.24994659260841701"/>
      </left>
      <right style="thin">
        <color theme="7" tint="-0.24994659260841701"/>
      </right>
      <top style="thin">
        <color theme="7" tint="-0.24994659260841701"/>
      </top>
      <bottom style="thin">
        <color theme="7" tint="-0.24994659260841701"/>
      </bottom>
      <diagonal/>
    </border>
    <border>
      <left style="thin">
        <color rgb="FFC90044"/>
      </left>
      <right style="thin">
        <color rgb="FFC90044"/>
      </right>
      <top style="thin">
        <color rgb="FFC90044"/>
      </top>
      <bottom style="thin">
        <color rgb="FFC90044"/>
      </bottom>
      <diagonal/>
    </border>
    <border>
      <left style="hair">
        <color indexed="59"/>
      </left>
      <right style="hair">
        <color indexed="59"/>
      </right>
      <top style="hair">
        <color indexed="59"/>
      </top>
      <bottom style="hair">
        <color indexed="59"/>
      </bottom>
      <diagonal/>
    </border>
    <border>
      <left style="hair">
        <color rgb="FF660066"/>
      </left>
      <right style="hair">
        <color rgb="FF660066"/>
      </right>
      <top style="hair">
        <color rgb="FF660066"/>
      </top>
      <bottom style="hair">
        <color rgb="FF660066"/>
      </bottom>
      <diagonal/>
    </border>
    <border>
      <left style="hair">
        <color rgb="FF66CCFF"/>
      </left>
      <right style="hair">
        <color rgb="FF66CCFF"/>
      </right>
      <top style="hair">
        <color rgb="FF66CCFF"/>
      </top>
      <bottom style="hair">
        <color rgb="FF66CCFF"/>
      </bottom>
      <diagonal/>
    </border>
    <border>
      <left style="thin">
        <color rgb="FF66CCFF"/>
      </left>
      <right style="thin">
        <color rgb="FF66CCFF"/>
      </right>
      <top style="thin">
        <color rgb="FF66CCFF"/>
      </top>
      <bottom style="thin">
        <color rgb="FF66CCFF"/>
      </bottom>
      <diagonal/>
    </border>
    <border>
      <left style="hair">
        <color rgb="FFFFC000"/>
      </left>
      <right style="hair">
        <color rgb="FFFFC000"/>
      </right>
      <top style="hair">
        <color rgb="FFFFC000"/>
      </top>
      <bottom style="hair">
        <color rgb="FFFFC000"/>
      </bottom>
      <diagonal/>
    </border>
    <border>
      <left style="thin">
        <color rgb="FFFFC000"/>
      </left>
      <right style="thin">
        <color rgb="FFFFC000"/>
      </right>
      <top style="thin">
        <color rgb="FFFFC000"/>
      </top>
      <bottom style="thin">
        <color rgb="FFFFC000"/>
      </bottom>
      <diagonal/>
    </border>
    <border>
      <left style="hair">
        <color rgb="FF00EA00"/>
      </left>
      <right style="hair">
        <color rgb="FF00EA00"/>
      </right>
      <top style="hair">
        <color rgb="FF00EA00"/>
      </top>
      <bottom style="hair">
        <color rgb="FF00EA00"/>
      </bottom>
      <diagonal/>
    </border>
    <border>
      <left style="thin">
        <color rgb="FF00EA00"/>
      </left>
      <right style="thin">
        <color rgb="FF00EA00"/>
      </right>
      <top style="thin">
        <color rgb="FF00EA00"/>
      </top>
      <bottom style="thin">
        <color rgb="FF00EA00"/>
      </bottom>
      <diagonal/>
    </border>
    <border>
      <left style="thin">
        <color theme="1"/>
      </left>
      <right/>
      <top style="thin">
        <color theme="1"/>
      </top>
      <bottom style="thin">
        <color theme="1"/>
      </bottom>
      <diagonal/>
    </border>
    <border>
      <left style="medium">
        <color theme="0" tint="-0.14999847407452621"/>
      </left>
      <right style="medium">
        <color theme="0" tint="-0.14999847407452621"/>
      </right>
      <top style="medium">
        <color theme="0" tint="-0.14999847407452621"/>
      </top>
      <bottom style="medium">
        <color theme="0" tint="-0.14999847407452621"/>
      </bottom>
      <diagonal/>
    </border>
    <border>
      <left style="hair">
        <color rgb="FFC00000"/>
      </left>
      <right style="hair">
        <color rgb="FFC00000"/>
      </right>
      <top style="hair">
        <color rgb="FFC00000"/>
      </top>
      <bottom style="hair">
        <color rgb="FFC00000"/>
      </bottom>
      <diagonal/>
    </border>
    <border>
      <left style="hair">
        <color rgb="FFC00000"/>
      </left>
      <right style="hair">
        <color rgb="FFC00000"/>
      </right>
      <top style="hair">
        <color rgb="FFC00000"/>
      </top>
      <bottom/>
      <diagonal/>
    </border>
    <border>
      <left style="hair">
        <color rgb="FFC00000"/>
      </left>
      <right style="hair">
        <color rgb="FFC00000"/>
      </right>
      <top/>
      <bottom style="hair">
        <color rgb="FFC00000"/>
      </bottom>
      <diagonal/>
    </border>
  </borders>
  <cellStyleXfs count="83">
    <xf numFmtId="0" fontId="0" fillId="0" borderId="0"/>
    <xf numFmtId="43" fontId="2" fillId="0" borderId="0" applyFont="0" applyFill="0" applyBorder="0" applyAlignment="0" applyProtection="0"/>
    <xf numFmtId="0" fontId="3" fillId="0" borderId="0" applyProtection="0">
      <alignment vertical="center"/>
    </xf>
    <xf numFmtId="9" fontId="2" fillId="0" borderId="0" applyFont="0" applyFill="0" applyBorder="0" applyAlignment="0" applyProtection="0"/>
    <xf numFmtId="0" fontId="5"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horizontal="left" vertical="center"/>
    </xf>
    <xf numFmtId="0" fontId="3" fillId="3" borderId="0" applyNumberFormat="0" applyFont="0" applyBorder="0" applyAlignment="0" applyProtection="0">
      <alignment vertical="center"/>
    </xf>
    <xf numFmtId="0" fontId="3" fillId="0" borderId="0">
      <alignment vertical="center"/>
    </xf>
    <xf numFmtId="0" fontId="3" fillId="0" borderId="6" applyNumberFormat="0" applyAlignment="0">
      <alignment vertical="center"/>
      <protection locked="0"/>
    </xf>
    <xf numFmtId="0" fontId="13" fillId="0" borderId="0" applyNumberFormat="0" applyAlignment="0">
      <alignment vertical="center"/>
    </xf>
    <xf numFmtId="0" fontId="14" fillId="0" borderId="0" applyNumberFormat="0" applyFill="0" applyProtection="0">
      <alignment horizontal="left" vertical="center"/>
    </xf>
    <xf numFmtId="0" fontId="3" fillId="4" borderId="7" applyNumberFormat="0" applyFont="0" applyAlignment="0" applyProtection="0">
      <alignment vertical="center"/>
    </xf>
    <xf numFmtId="0" fontId="14" fillId="0" borderId="0" applyNumberFormat="0" applyFill="0" applyBorder="0" applyAlignment="0" applyProtection="0">
      <alignment vertical="top"/>
    </xf>
    <xf numFmtId="9" fontId="3" fillId="0" borderId="0" applyFont="0" applyFill="0" applyBorder="0" applyAlignment="0" applyProtection="0"/>
    <xf numFmtId="170" fontId="15" fillId="0" borderId="0" applyNumberFormat="0" applyAlignment="0">
      <alignment vertical="center"/>
    </xf>
    <xf numFmtId="43" fontId="2" fillId="0" borderId="0" applyFont="0" applyFill="0" applyBorder="0" applyAlignment="0" applyProtection="0"/>
    <xf numFmtId="0" fontId="3" fillId="7" borderId="0" applyNumberFormat="0" applyFont="0" applyBorder="0" applyAlignment="0" applyProtection="0">
      <alignment vertical="center"/>
    </xf>
    <xf numFmtId="0" fontId="17" fillId="0" borderId="0" applyNumberFormat="0" applyFill="0" applyBorder="0" applyAlignment="0" applyProtection="0">
      <alignment vertical="center"/>
    </xf>
    <xf numFmtId="0" fontId="27" fillId="0" borderId="0"/>
    <xf numFmtId="9" fontId="27" fillId="0" borderId="0" applyFont="0" applyFill="0" applyBorder="0" applyAlignment="0" applyProtection="0"/>
    <xf numFmtId="0" fontId="2" fillId="0" borderId="0"/>
    <xf numFmtId="43" fontId="27" fillId="0" borderId="0" applyFont="0" applyFill="0" applyBorder="0" applyAlignment="0" applyProtection="0"/>
    <xf numFmtId="9" fontId="27" fillId="0" borderId="0" applyFont="0" applyFill="0" applyBorder="0" applyAlignment="0" applyProtection="0"/>
    <xf numFmtId="177" fontId="3" fillId="0" borderId="0">
      <alignment vertical="center"/>
    </xf>
    <xf numFmtId="177" fontId="14" fillId="0" borderId="0" applyNumberFormat="0" applyFill="0" applyBorder="0" applyAlignment="0" applyProtection="0">
      <alignment vertical="top"/>
    </xf>
    <xf numFmtId="177" fontId="17" fillId="0" borderId="0" applyNumberFormat="0" applyFill="0" applyBorder="0" applyAlignment="0" applyProtection="0">
      <alignment vertical="center"/>
    </xf>
    <xf numFmtId="177" fontId="2" fillId="0" borderId="0"/>
    <xf numFmtId="177" fontId="2" fillId="0" borderId="0"/>
    <xf numFmtId="177" fontId="2" fillId="0" borderId="0"/>
    <xf numFmtId="177" fontId="2" fillId="0" borderId="0"/>
    <xf numFmtId="0" fontId="36" fillId="0" borderId="0" applyNumberFormat="0" applyFill="0" applyBorder="0" applyAlignment="0" applyProtection="0"/>
    <xf numFmtId="0" fontId="27" fillId="0" borderId="0">
      <alignment vertical="center"/>
    </xf>
    <xf numFmtId="0" fontId="41" fillId="0" borderId="13" applyNumberFormat="0" applyFill="0" applyAlignment="0" applyProtection="0"/>
    <xf numFmtId="186" fontId="42" fillId="10" borderId="14">
      <alignment vertical="center"/>
    </xf>
    <xf numFmtId="186" fontId="42" fillId="3" borderId="15">
      <alignment vertical="center"/>
    </xf>
    <xf numFmtId="187" fontId="27" fillId="3" borderId="15" applyProtection="0">
      <alignment vertical="center"/>
    </xf>
    <xf numFmtId="187" fontId="27" fillId="11" borderId="16">
      <alignment vertical="center"/>
    </xf>
    <xf numFmtId="187" fontId="27" fillId="12" borderId="16">
      <alignment vertical="center"/>
    </xf>
    <xf numFmtId="188" fontId="43" fillId="0" borderId="17" applyAlignment="0" applyProtection="0">
      <alignment vertical="center"/>
      <protection locked="0"/>
    </xf>
    <xf numFmtId="187" fontId="27" fillId="0" borderId="18">
      <alignment vertical="center"/>
    </xf>
    <xf numFmtId="187" fontId="27" fillId="0" borderId="6">
      <alignment vertical="center"/>
    </xf>
    <xf numFmtId="187" fontId="27" fillId="0" borderId="19" applyProtection="0">
      <alignment vertical="center"/>
    </xf>
    <xf numFmtId="187" fontId="40" fillId="0" borderId="20" applyProtection="0">
      <alignment vertical="center"/>
      <protection locked="0"/>
    </xf>
    <xf numFmtId="187" fontId="27" fillId="0" borderId="21" applyProtection="0">
      <alignment vertical="center"/>
    </xf>
    <xf numFmtId="187" fontId="40" fillId="0" borderId="22">
      <alignment vertical="center"/>
    </xf>
    <xf numFmtId="189" fontId="27" fillId="13" borderId="12">
      <alignment vertical="center"/>
    </xf>
    <xf numFmtId="187" fontId="27" fillId="0" borderId="23" applyProtection="0">
      <alignment vertical="center"/>
      <protection locked="0"/>
    </xf>
    <xf numFmtId="187" fontId="40" fillId="0" borderId="24" applyProtection="0">
      <alignment vertical="center"/>
      <protection locked="0"/>
    </xf>
    <xf numFmtId="190" fontId="44" fillId="4" borderId="7"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0" fontId="2" fillId="0" borderId="0"/>
    <xf numFmtId="0" fontId="49" fillId="0" borderId="0"/>
    <xf numFmtId="0" fontId="55" fillId="0" borderId="0">
      <alignment vertical="center"/>
    </xf>
    <xf numFmtId="0" fontId="56" fillId="0" borderId="0" applyNumberFormat="0" applyFill="0" applyBorder="0" applyAlignment="0" applyProtection="0">
      <alignment vertical="center"/>
    </xf>
    <xf numFmtId="0" fontId="57" fillId="0" borderId="0" applyNumberFormat="0" applyAlignment="0" applyProtection="0">
      <alignment vertical="center"/>
    </xf>
    <xf numFmtId="0" fontId="58" fillId="0" borderId="0" applyNumberFormat="0" applyFill="0" applyBorder="0" applyAlignment="0" applyProtection="0">
      <alignment horizontal="left" vertical="center"/>
    </xf>
    <xf numFmtId="0" fontId="59" fillId="17" borderId="0" applyNumberFormat="0" applyAlignment="0" applyProtection="0">
      <alignment vertical="center"/>
    </xf>
    <xf numFmtId="0" fontId="44" fillId="17" borderId="0" applyNumberFormat="0" applyAlignment="0" applyProtection="0">
      <alignment vertical="center"/>
      <protection locked="0"/>
    </xf>
    <xf numFmtId="0" fontId="59" fillId="18" borderId="0" applyNumberFormat="0" applyAlignment="0" applyProtection="0">
      <alignment vertical="center"/>
    </xf>
    <xf numFmtId="0" fontId="44" fillId="18" borderId="0" applyNumberFormat="0" applyAlignment="0" applyProtection="0">
      <alignment vertical="center"/>
    </xf>
    <xf numFmtId="0" fontId="44" fillId="4" borderId="7" applyNumberFormat="0" applyAlignment="0" applyProtection="0">
      <alignment vertical="center"/>
    </xf>
    <xf numFmtId="190" fontId="44" fillId="4" borderId="7" applyAlignment="0" applyProtection="0">
      <alignment vertical="center"/>
    </xf>
    <xf numFmtId="0" fontId="60" fillId="0" borderId="0" applyNumberFormat="0" applyAlignment="0" applyProtection="0">
      <alignment vertical="center"/>
    </xf>
    <xf numFmtId="0" fontId="3" fillId="5" borderId="0" applyNumberFormat="0" applyFont="0" applyBorder="0" applyAlignment="0" applyProtection="0">
      <alignment vertical="center"/>
    </xf>
    <xf numFmtId="0" fontId="59" fillId="19" borderId="0" applyNumberFormat="0" applyAlignment="0" applyProtection="0">
      <alignment vertical="center"/>
    </xf>
    <xf numFmtId="0" fontId="3" fillId="20" borderId="0" applyNumberFormat="0" applyFont="0" applyBorder="0" applyAlignment="0" applyProtection="0">
      <alignment vertical="center"/>
    </xf>
    <xf numFmtId="0" fontId="61" fillId="0" borderId="0" applyNumberFormat="0" applyAlignment="0" applyProtection="0">
      <alignment vertical="center"/>
    </xf>
    <xf numFmtId="0" fontId="55" fillId="0" borderId="0" applyProtection="0">
      <alignment vertical="center"/>
    </xf>
    <xf numFmtId="0" fontId="62" fillId="15" borderId="0" applyNumberFormat="0" applyAlignment="0" applyProtection="0">
      <alignment vertical="center"/>
    </xf>
    <xf numFmtId="0" fontId="55" fillId="0" borderId="27" applyNumberFormat="0" applyAlignment="0" applyProtection="0">
      <alignment vertical="center"/>
      <protection locked="0"/>
    </xf>
    <xf numFmtId="0" fontId="63" fillId="0" borderId="0" applyNumberFormat="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55" fillId="0" borderId="0">
      <alignment vertical="center"/>
    </xf>
    <xf numFmtId="0" fontId="56"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58" fillId="0" borderId="0" applyNumberFormat="0" applyFill="0" applyBorder="0" applyAlignment="0" applyProtection="0">
      <alignment horizontal="left" vertical="center"/>
    </xf>
    <xf numFmtId="0" fontId="66" fillId="0" borderId="0" applyNumberFormat="0" applyFill="0" applyBorder="0" applyAlignment="0" applyProtection="0">
      <alignment vertical="center"/>
    </xf>
  </cellStyleXfs>
  <cellXfs count="391">
    <xf numFmtId="0" fontId="0" fillId="0" borderId="0" xfId="0"/>
    <xf numFmtId="0" fontId="0" fillId="0" borderId="1" xfId="0" applyBorder="1"/>
    <xf numFmtId="0" fontId="0" fillId="0" borderId="0" xfId="0" applyAlignment="1">
      <alignment horizontal="right" vertical="center"/>
    </xf>
    <xf numFmtId="10" fontId="0" fillId="0" borderId="0" xfId="0" applyNumberFormat="1" applyAlignment="1">
      <alignment horizontal="right" vertical="center"/>
    </xf>
    <xf numFmtId="0" fontId="1" fillId="0" borderId="0" xfId="0" applyFont="1"/>
    <xf numFmtId="0" fontId="0" fillId="0" borderId="5" xfId="0" applyBorder="1"/>
    <xf numFmtId="10" fontId="0" fillId="0" borderId="0" xfId="0" applyNumberFormat="1"/>
    <xf numFmtId="0" fontId="10" fillId="0" borderId="0" xfId="0" applyFont="1"/>
    <xf numFmtId="0" fontId="16" fillId="0" borderId="0" xfId="0" applyFont="1"/>
    <xf numFmtId="0" fontId="20" fillId="0" borderId="0" xfId="9" applyFont="1">
      <alignment vertical="center"/>
    </xf>
    <xf numFmtId="0" fontId="18" fillId="0" borderId="0" xfId="0" applyFont="1"/>
    <xf numFmtId="0" fontId="19" fillId="0" borderId="0" xfId="4" applyFont="1" applyFill="1" applyAlignment="1">
      <alignment vertical="center" wrapText="1"/>
    </xf>
    <xf numFmtId="0" fontId="21" fillId="0" borderId="0" xfId="9" applyFont="1">
      <alignment vertical="center"/>
    </xf>
    <xf numFmtId="0" fontId="23" fillId="0" borderId="0" xfId="9" applyFont="1">
      <alignment vertical="center"/>
    </xf>
    <xf numFmtId="0" fontId="23" fillId="0" borderId="0" xfId="20" applyFont="1"/>
    <xf numFmtId="0" fontId="24" fillId="0" borderId="0" xfId="20" applyFont="1"/>
    <xf numFmtId="0" fontId="26" fillId="0" borderId="0" xfId="20" applyFont="1"/>
    <xf numFmtId="3" fontId="23" fillId="0" borderId="0" xfId="20" applyNumberFormat="1" applyFont="1"/>
    <xf numFmtId="0" fontId="28" fillId="8" borderId="0" xfId="20" applyFont="1" applyFill="1" applyAlignment="1">
      <alignment horizontal="right"/>
    </xf>
    <xf numFmtId="0" fontId="25" fillId="0" borderId="0" xfId="22" applyFont="1"/>
    <xf numFmtId="10" fontId="23" fillId="0" borderId="0" xfId="20" applyNumberFormat="1" applyFont="1"/>
    <xf numFmtId="0" fontId="25" fillId="0" borderId="0" xfId="22" applyFont="1" applyAlignment="1">
      <alignment horizontal="left" vertical="center"/>
    </xf>
    <xf numFmtId="0" fontId="23" fillId="0" borderId="11" xfId="20" applyFont="1" applyBorder="1"/>
    <xf numFmtId="10" fontId="23" fillId="0" borderId="11" xfId="20" applyNumberFormat="1" applyFont="1" applyBorder="1"/>
    <xf numFmtId="0" fontId="30" fillId="0" borderId="0" xfId="20" applyFont="1"/>
    <xf numFmtId="0" fontId="30" fillId="0" borderId="0" xfId="20" applyFont="1" applyAlignment="1">
      <alignment horizontal="right"/>
    </xf>
    <xf numFmtId="3" fontId="30" fillId="0" borderId="0" xfId="20" applyNumberFormat="1" applyFont="1" applyAlignment="1">
      <alignment horizontal="right"/>
    </xf>
    <xf numFmtId="0" fontId="28" fillId="8" borderId="0" xfId="4" quotePrefix="1" applyFont="1" applyFill="1" applyAlignment="1">
      <alignment horizontal="right" vertical="center"/>
    </xf>
    <xf numFmtId="0" fontId="25" fillId="0" borderId="0" xfId="0" applyFont="1"/>
    <xf numFmtId="0" fontId="31" fillId="0" borderId="0" xfId="0" applyFont="1"/>
    <xf numFmtId="164" fontId="25" fillId="0" borderId="0" xfId="0" applyNumberFormat="1" applyFont="1"/>
    <xf numFmtId="0" fontId="28" fillId="8" borderId="0" xfId="20" applyFont="1" applyFill="1" applyAlignment="1">
      <alignment horizontal="center"/>
    </xf>
    <xf numFmtId="178" fontId="21" fillId="0" borderId="0" xfId="20" applyNumberFormat="1" applyFont="1"/>
    <xf numFmtId="178" fontId="23" fillId="0" borderId="0" xfId="20" applyNumberFormat="1" applyFont="1"/>
    <xf numFmtId="178" fontId="24" fillId="0" borderId="0" xfId="20" applyNumberFormat="1" applyFont="1"/>
    <xf numFmtId="178" fontId="30" fillId="0" borderId="0" xfId="20" applyNumberFormat="1" applyFont="1"/>
    <xf numFmtId="178" fontId="23" fillId="0" borderId="0" xfId="20" applyNumberFormat="1" applyFont="1" applyAlignment="1">
      <alignment horizontal="center"/>
    </xf>
    <xf numFmtId="0" fontId="22" fillId="0" borderId="0" xfId="20" applyFont="1"/>
    <xf numFmtId="0" fontId="33" fillId="0" borderId="0" xfId="20" applyFont="1"/>
    <xf numFmtId="164" fontId="25" fillId="0" borderId="0" xfId="1" applyNumberFormat="1" applyFont="1"/>
    <xf numFmtId="0" fontId="25" fillId="0" borderId="0" xfId="0" applyFont="1" applyAlignment="1">
      <alignment vertical="center"/>
    </xf>
    <xf numFmtId="10" fontId="25" fillId="0" borderId="0" xfId="3" applyNumberFormat="1" applyFont="1"/>
    <xf numFmtId="0" fontId="25" fillId="0" borderId="0" xfId="0" applyFont="1" applyAlignment="1">
      <alignment horizontal="center" vertical="center" wrapText="1"/>
    </xf>
    <xf numFmtId="174" fontId="25" fillId="0" borderId="0" xfId="0" applyNumberFormat="1" applyFont="1"/>
    <xf numFmtId="0" fontId="25" fillId="0" borderId="0" xfId="0" applyFont="1" applyAlignment="1">
      <alignment horizontal="left" vertical="center"/>
    </xf>
    <xf numFmtId="0" fontId="26" fillId="0" borderId="0" xfId="0" applyFont="1" applyAlignment="1">
      <alignment horizontal="left"/>
    </xf>
    <xf numFmtId="179" fontId="23" fillId="0" borderId="0" xfId="20" applyNumberFormat="1" applyFont="1"/>
    <xf numFmtId="180" fontId="23" fillId="0" borderId="0" xfId="20" applyNumberFormat="1" applyFont="1"/>
    <xf numFmtId="0" fontId="30" fillId="0" borderId="0" xfId="0" applyFont="1"/>
    <xf numFmtId="180" fontId="25" fillId="0" borderId="0" xfId="0" applyNumberFormat="1" applyFont="1"/>
    <xf numFmtId="0" fontId="18" fillId="0" borderId="0" xfId="0" applyFont="1" applyAlignment="1">
      <alignment horizontal="center"/>
    </xf>
    <xf numFmtId="179" fontId="25" fillId="0" borderId="0" xfId="0" applyNumberFormat="1" applyFont="1"/>
    <xf numFmtId="179" fontId="0" fillId="0" borderId="0" xfId="0" applyNumberFormat="1"/>
    <xf numFmtId="0" fontId="26" fillId="0" borderId="0" xfId="0" applyFont="1" applyAlignment="1">
      <alignment vertical="center" wrapText="1"/>
    </xf>
    <xf numFmtId="179" fontId="25" fillId="0" borderId="5" xfId="0" applyNumberFormat="1" applyFont="1" applyBorder="1"/>
    <xf numFmtId="165" fontId="25" fillId="0" borderId="0" xfId="3" applyNumberFormat="1" applyFont="1"/>
    <xf numFmtId="10" fontId="25" fillId="0" borderId="0" xfId="0" applyNumberFormat="1" applyFont="1"/>
    <xf numFmtId="10" fontId="25" fillId="0" borderId="5" xfId="0" applyNumberFormat="1" applyFont="1" applyBorder="1"/>
    <xf numFmtId="0" fontId="30" fillId="0" borderId="0" xfId="0" applyFont="1" applyAlignment="1">
      <alignment horizontal="right"/>
    </xf>
    <xf numFmtId="171" fontId="25" fillId="0" borderId="0" xfId="0" applyNumberFormat="1" applyFont="1"/>
    <xf numFmtId="0" fontId="25" fillId="0" borderId="5" xfId="0" applyFont="1" applyBorder="1"/>
    <xf numFmtId="0" fontId="25" fillId="0" borderId="0" xfId="0" applyFont="1" applyAlignment="1">
      <alignment horizontal="right" vertical="center"/>
    </xf>
    <xf numFmtId="0" fontId="34" fillId="0" borderId="0" xfId="0" applyFont="1"/>
    <xf numFmtId="181" fontId="25" fillId="0" borderId="0" xfId="0" applyNumberFormat="1" applyFont="1"/>
    <xf numFmtId="0" fontId="22" fillId="0" borderId="0" xfId="9" applyFont="1">
      <alignment vertical="center"/>
    </xf>
    <xf numFmtId="0" fontId="28" fillId="8" borderId="0" xfId="0" applyFont="1" applyFill="1" applyAlignment="1">
      <alignment horizontal="right"/>
    </xf>
    <xf numFmtId="0" fontId="11" fillId="0" borderId="0" xfId="0" applyFont="1"/>
    <xf numFmtId="0" fontId="35" fillId="0" borderId="0" xfId="0" applyFont="1"/>
    <xf numFmtId="0" fontId="25" fillId="0" borderId="0" xfId="0" applyFont="1" applyAlignment="1">
      <alignment horizontal="right"/>
    </xf>
    <xf numFmtId="0" fontId="25" fillId="0" borderId="0" xfId="0" applyFont="1" applyAlignment="1">
      <alignment horizontal="center"/>
    </xf>
    <xf numFmtId="0" fontId="25" fillId="0" borderId="0" xfId="0" applyFont="1" applyAlignment="1">
      <alignment horizontal="center" vertical="center"/>
    </xf>
    <xf numFmtId="7" fontId="25" fillId="0" borderId="0" xfId="0" applyNumberFormat="1" applyFont="1" applyAlignment="1">
      <alignment horizontal="right"/>
    </xf>
    <xf numFmtId="0" fontId="23" fillId="0" borderId="0" xfId="4" applyFont="1">
      <alignment vertical="center"/>
    </xf>
    <xf numFmtId="0" fontId="31" fillId="6" borderId="0" xfId="0" applyFont="1" applyFill="1"/>
    <xf numFmtId="10" fontId="25" fillId="0" borderId="0" xfId="0" applyNumberFormat="1" applyFont="1" applyAlignment="1">
      <alignment horizontal="center"/>
    </xf>
    <xf numFmtId="172" fontId="25" fillId="0" borderId="0" xfId="0" applyNumberFormat="1" applyFont="1"/>
    <xf numFmtId="0" fontId="25" fillId="0" borderId="5" xfId="0" applyFont="1" applyBorder="1" applyAlignment="1">
      <alignment vertical="center"/>
    </xf>
    <xf numFmtId="166" fontId="25" fillId="0" borderId="0" xfId="0" applyNumberFormat="1" applyFont="1"/>
    <xf numFmtId="0" fontId="25" fillId="0" borderId="8" xfId="0" applyFont="1" applyBorder="1" applyAlignment="1">
      <alignment vertical="center"/>
    </xf>
    <xf numFmtId="0" fontId="28" fillId="9" borderId="0" xfId="0" applyFont="1" applyFill="1"/>
    <xf numFmtId="168" fontId="25" fillId="0" borderId="0" xfId="0" applyNumberFormat="1" applyFont="1" applyAlignment="1">
      <alignment horizontal="right"/>
    </xf>
    <xf numFmtId="0" fontId="25" fillId="0" borderId="1" xfId="0" applyFont="1" applyBorder="1"/>
    <xf numFmtId="0" fontId="28" fillId="8" borderId="0" xfId="0" applyFont="1" applyFill="1" applyAlignment="1">
      <alignment vertical="center"/>
    </xf>
    <xf numFmtId="0" fontId="37" fillId="0" borderId="0" xfId="0" applyFont="1"/>
    <xf numFmtId="9" fontId="25" fillId="0" borderId="0" xfId="3" applyFont="1"/>
    <xf numFmtId="168" fontId="25" fillId="0" borderId="0" xfId="0" applyNumberFormat="1" applyFont="1"/>
    <xf numFmtId="164" fontId="25" fillId="0" borderId="0" xfId="1" applyNumberFormat="1" applyFont="1" applyFill="1" applyBorder="1" applyAlignment="1">
      <alignment horizontal="center"/>
    </xf>
    <xf numFmtId="0" fontId="28" fillId="8" borderId="0" xfId="22" applyFont="1" applyFill="1" applyAlignment="1">
      <alignment horizontal="left" vertical="center"/>
    </xf>
    <xf numFmtId="165" fontId="25" fillId="0" borderId="0" xfId="3" applyNumberFormat="1" applyFont="1" applyBorder="1"/>
    <xf numFmtId="0" fontId="25" fillId="0" borderId="0" xfId="0" applyFont="1" applyAlignment="1">
      <alignment horizontal="left"/>
    </xf>
    <xf numFmtId="0" fontId="0" fillId="0" borderId="0" xfId="0" applyAlignment="1">
      <alignment horizontal="left"/>
    </xf>
    <xf numFmtId="0" fontId="25" fillId="0" borderId="5" xfId="0" applyFont="1" applyBorder="1" applyAlignment="1">
      <alignment horizontal="left" vertical="center"/>
    </xf>
    <xf numFmtId="10" fontId="25" fillId="0" borderId="0" xfId="0" quotePrefix="1" applyNumberFormat="1" applyFont="1" applyAlignment="1">
      <alignment vertical="center"/>
    </xf>
    <xf numFmtId="0" fontId="38" fillId="0" borderId="0" xfId="0" applyFont="1"/>
    <xf numFmtId="0" fontId="28" fillId="8" borderId="0" xfId="0" applyFont="1" applyFill="1" applyAlignment="1">
      <alignment horizontal="center" vertical="center" wrapText="1"/>
    </xf>
    <xf numFmtId="184" fontId="25" fillId="0" borderId="0" xfId="0" applyNumberFormat="1" applyFont="1"/>
    <xf numFmtId="0" fontId="27" fillId="0" borderId="0" xfId="9" applyFont="1">
      <alignment vertical="center"/>
    </xf>
    <xf numFmtId="0" fontId="11" fillId="0" borderId="0" xfId="0" applyFont="1" applyAlignment="1">
      <alignment vertical="center"/>
    </xf>
    <xf numFmtId="0" fontId="25" fillId="5" borderId="0" xfId="0" applyFont="1" applyFill="1"/>
    <xf numFmtId="164" fontId="25" fillId="5" borderId="0" xfId="0" applyNumberFormat="1" applyFont="1" applyFill="1" applyAlignment="1">
      <alignment vertical="center"/>
    </xf>
    <xf numFmtId="0" fontId="23" fillId="5" borderId="0" xfId="9" applyFont="1" applyFill="1">
      <alignment vertical="center"/>
    </xf>
    <xf numFmtId="165" fontId="25" fillId="0" borderId="0" xfId="3" applyNumberFormat="1" applyFont="1" applyFill="1"/>
    <xf numFmtId="175" fontId="23" fillId="0" borderId="0" xfId="20" applyNumberFormat="1" applyFont="1"/>
    <xf numFmtId="10" fontId="25" fillId="0" borderId="8" xfId="3" applyNumberFormat="1" applyFont="1" applyFill="1" applyBorder="1" applyAlignment="1">
      <alignment vertical="center"/>
    </xf>
    <xf numFmtId="2" fontId="25" fillId="0" borderId="0" xfId="0" applyNumberFormat="1" applyFont="1" applyAlignment="1">
      <alignment horizontal="right"/>
    </xf>
    <xf numFmtId="43" fontId="25" fillId="5" borderId="0" xfId="0" applyNumberFormat="1" applyFont="1" applyFill="1"/>
    <xf numFmtId="164" fontId="25" fillId="5" borderId="0" xfId="1" applyNumberFormat="1" applyFont="1" applyFill="1"/>
    <xf numFmtId="166" fontId="25" fillId="5" borderId="0" xfId="0" applyNumberFormat="1" applyFont="1" applyFill="1"/>
    <xf numFmtId="165" fontId="23" fillId="0" borderId="0" xfId="20" applyNumberFormat="1" applyFont="1"/>
    <xf numFmtId="165" fontId="25" fillId="0" borderId="0" xfId="1" applyNumberFormat="1" applyFont="1" applyFill="1"/>
    <xf numFmtId="165" fontId="23" fillId="0" borderId="5" xfId="20" applyNumberFormat="1" applyFont="1" applyBorder="1"/>
    <xf numFmtId="0" fontId="0" fillId="5" borderId="0" xfId="0" applyFill="1"/>
    <xf numFmtId="10" fontId="0" fillId="5" borderId="0" xfId="0" applyNumberFormat="1" applyFill="1"/>
    <xf numFmtId="0" fontId="11" fillId="0" borderId="0" xfId="22" applyFont="1" applyAlignment="1">
      <alignment horizontal="left" vertical="center"/>
    </xf>
    <xf numFmtId="0" fontId="46" fillId="0" borderId="0" xfId="20" applyFont="1"/>
    <xf numFmtId="0" fontId="23" fillId="0" borderId="5" xfId="20" applyFont="1" applyBorder="1"/>
    <xf numFmtId="10" fontId="23" fillId="0" borderId="5" xfId="20" applyNumberFormat="1" applyFont="1" applyBorder="1"/>
    <xf numFmtId="10" fontId="25" fillId="0" borderId="5" xfId="3" applyNumberFormat="1" applyFont="1" applyBorder="1"/>
    <xf numFmtId="0" fontId="18" fillId="0" borderId="5" xfId="0" applyFont="1" applyBorder="1" applyAlignment="1">
      <alignment horizontal="center"/>
    </xf>
    <xf numFmtId="0" fontId="1" fillId="0" borderId="0" xfId="22" applyFont="1" applyAlignment="1">
      <alignment horizontal="left" vertical="center"/>
    </xf>
    <xf numFmtId="9" fontId="25" fillId="0" borderId="0" xfId="0" applyNumberFormat="1" applyFont="1"/>
    <xf numFmtId="10" fontId="25" fillId="0" borderId="0" xfId="0" applyNumberFormat="1" applyFont="1" applyAlignment="1">
      <alignment horizontal="right"/>
    </xf>
    <xf numFmtId="0" fontId="25" fillId="0" borderId="0" xfId="0" applyFont="1" applyAlignment="1">
      <alignment horizontal="left" indent="1"/>
    </xf>
    <xf numFmtId="10" fontId="25" fillId="0" borderId="0" xfId="0" applyNumberFormat="1" applyFont="1" applyAlignment="1">
      <alignment vertical="center"/>
    </xf>
    <xf numFmtId="7" fontId="25" fillId="0" borderId="0" xfId="0" applyNumberFormat="1" applyFont="1"/>
    <xf numFmtId="171" fontId="25" fillId="0" borderId="0" xfId="1" applyNumberFormat="1" applyFont="1"/>
    <xf numFmtId="191" fontId="25" fillId="0" borderId="0" xfId="0" applyNumberFormat="1" applyFont="1"/>
    <xf numFmtId="10" fontId="25" fillId="5" borderId="0" xfId="0" applyNumberFormat="1" applyFont="1" applyFill="1"/>
    <xf numFmtId="2" fontId="25" fillId="0" borderId="0" xfId="3" applyNumberFormat="1" applyFont="1" applyAlignment="1">
      <alignment horizontal="center"/>
    </xf>
    <xf numFmtId="165" fontId="25" fillId="0" borderId="0" xfId="3" applyNumberFormat="1" applyFont="1" applyAlignment="1">
      <alignment horizontal="center"/>
    </xf>
    <xf numFmtId="7" fontId="25" fillId="0" borderId="0" xfId="0" applyNumberFormat="1" applyFont="1" applyAlignment="1">
      <alignment horizontal="center"/>
    </xf>
    <xf numFmtId="168" fontId="25" fillId="0" borderId="0" xfId="0" applyNumberFormat="1" applyFont="1" applyAlignment="1">
      <alignment horizontal="right" wrapText="1"/>
    </xf>
    <xf numFmtId="7" fontId="25" fillId="0" borderId="0" xfId="0" applyNumberFormat="1" applyFont="1" applyAlignment="1">
      <alignment horizontal="right" wrapText="1"/>
    </xf>
    <xf numFmtId="43" fontId="25" fillId="0" borderId="0" xfId="1" applyFont="1" applyFill="1"/>
    <xf numFmtId="2" fontId="25" fillId="0" borderId="0" xfId="3" applyNumberFormat="1" applyFont="1" applyAlignment="1">
      <alignment horizontal="right"/>
    </xf>
    <xf numFmtId="0" fontId="11" fillId="5" borderId="0" xfId="0" applyFont="1" applyFill="1"/>
    <xf numFmtId="7" fontId="25" fillId="5" borderId="0" xfId="0" applyNumberFormat="1" applyFont="1" applyFill="1"/>
    <xf numFmtId="10" fontId="0" fillId="0" borderId="1" xfId="0" applyNumberFormat="1" applyBorder="1"/>
    <xf numFmtId="10" fontId="25" fillId="0" borderId="0" xfId="0" applyNumberFormat="1" applyFont="1" applyAlignment="1">
      <alignment horizontal="right" vertical="center"/>
    </xf>
    <xf numFmtId="9" fontId="25" fillId="0" borderId="0" xfId="3" applyFont="1" applyFill="1"/>
    <xf numFmtId="0" fontId="28" fillId="0" borderId="0" xfId="0" applyFont="1" applyAlignment="1">
      <alignment horizontal="center"/>
    </xf>
    <xf numFmtId="7" fontId="25" fillId="0" borderId="0" xfId="1" applyNumberFormat="1" applyFont="1" applyFill="1"/>
    <xf numFmtId="0" fontId="11" fillId="5" borderId="2" xfId="0" applyFont="1" applyFill="1" applyBorder="1" applyAlignment="1">
      <alignment horizontal="right" vertical="center"/>
    </xf>
    <xf numFmtId="0" fontId="28" fillId="8" borderId="0" xfId="0" applyFont="1" applyFill="1" applyAlignment="1">
      <alignment horizontal="right" vertical="center"/>
    </xf>
    <xf numFmtId="14" fontId="28" fillId="8" borderId="0" xfId="0" applyNumberFormat="1" applyFont="1" applyFill="1" applyAlignment="1">
      <alignment horizontal="right" vertical="center" wrapText="1"/>
    </xf>
    <xf numFmtId="17" fontId="29" fillId="8" borderId="0" xfId="0" applyNumberFormat="1" applyFont="1" applyFill="1" applyAlignment="1">
      <alignment horizontal="right" wrapText="1"/>
    </xf>
    <xf numFmtId="165" fontId="0" fillId="0" borderId="0" xfId="3" applyNumberFormat="1" applyFont="1"/>
    <xf numFmtId="7" fontId="0" fillId="5" borderId="0" xfId="0" applyNumberFormat="1" applyFill="1"/>
    <xf numFmtId="0" fontId="8" fillId="8" borderId="0" xfId="0" applyFont="1" applyFill="1"/>
    <xf numFmtId="17" fontId="28" fillId="8" borderId="0" xfId="0" applyNumberFormat="1" applyFont="1" applyFill="1" applyAlignment="1">
      <alignment horizontal="right" wrapText="1"/>
    </xf>
    <xf numFmtId="0" fontId="48" fillId="0" borderId="0" xfId="0" applyFont="1"/>
    <xf numFmtId="183" fontId="30" fillId="0" borderId="0" xfId="0" applyNumberFormat="1" applyFont="1" applyAlignment="1">
      <alignment horizontal="left"/>
    </xf>
    <xf numFmtId="164" fontId="0" fillId="0" borderId="0" xfId="1" applyNumberFormat="1" applyFont="1"/>
    <xf numFmtId="0" fontId="25" fillId="0" borderId="9" xfId="0" applyFont="1" applyBorder="1" applyAlignment="1">
      <alignment vertical="center"/>
    </xf>
    <xf numFmtId="0" fontId="25" fillId="0" borderId="10" xfId="0" applyFont="1" applyBorder="1" applyAlignment="1">
      <alignment vertical="center"/>
    </xf>
    <xf numFmtId="0" fontId="0" fillId="0" borderId="0" xfId="0" applyAlignment="1">
      <alignment vertical="center"/>
    </xf>
    <xf numFmtId="0" fontId="12" fillId="0" borderId="0" xfId="0" applyFont="1"/>
    <xf numFmtId="174" fontId="0" fillId="0" borderId="0" xfId="0" applyNumberFormat="1"/>
    <xf numFmtId="165" fontId="25" fillId="0" borderId="0" xfId="0" applyNumberFormat="1" applyFont="1"/>
    <xf numFmtId="0" fontId="28" fillId="8" borderId="0" xfId="0" applyFont="1" applyFill="1" applyAlignment="1">
      <alignment horizontal="center" vertical="center"/>
    </xf>
    <xf numFmtId="10" fontId="1" fillId="0" borderId="0" xfId="0" applyNumberFormat="1" applyFont="1" applyAlignment="1">
      <alignment vertical="center"/>
    </xf>
    <xf numFmtId="0" fontId="28" fillId="8" borderId="0" xfId="0" applyFont="1" applyFill="1" applyAlignment="1">
      <alignment horizontal="left" vertical="center" wrapText="1"/>
    </xf>
    <xf numFmtId="0" fontId="9" fillId="8" borderId="0" xfId="0" applyFont="1" applyFill="1"/>
    <xf numFmtId="0" fontId="8" fillId="8" borderId="0" xfId="0" applyFont="1" applyFill="1" applyAlignment="1">
      <alignment horizontal="center" vertical="center" wrapText="1"/>
    </xf>
    <xf numFmtId="0" fontId="8" fillId="8" borderId="0" xfId="0" applyFont="1" applyFill="1" applyAlignment="1">
      <alignment horizontal="center" wrapText="1"/>
    </xf>
    <xf numFmtId="166" fontId="26" fillId="0" borderId="1" xfId="18" applyNumberFormat="1" applyFont="1" applyFill="1" applyBorder="1" applyAlignment="1">
      <alignment horizontal="right" vertical="center"/>
    </xf>
    <xf numFmtId="166" fontId="30" fillId="0" borderId="1" xfId="18" applyNumberFormat="1" applyFont="1" applyFill="1" applyBorder="1" applyAlignment="1">
      <alignment horizontal="right" vertical="center"/>
    </xf>
    <xf numFmtId="0" fontId="25" fillId="0" borderId="2" xfId="0" applyFont="1" applyBorder="1" applyAlignment="1">
      <alignment horizontal="center" vertical="center"/>
    </xf>
    <xf numFmtId="0" fontId="37" fillId="0" borderId="0" xfId="0" applyFont="1" applyAlignment="1">
      <alignment vertical="center"/>
    </xf>
    <xf numFmtId="0" fontId="16" fillId="0" borderId="0" xfId="0" applyFont="1" applyAlignment="1">
      <alignment vertical="center"/>
    </xf>
    <xf numFmtId="0" fontId="10" fillId="0" borderId="0" xfId="0" applyFont="1" applyAlignment="1">
      <alignment vertical="center"/>
    </xf>
    <xf numFmtId="165" fontId="0" fillId="0" borderId="0" xfId="0" applyNumberFormat="1"/>
    <xf numFmtId="173" fontId="25" fillId="0" borderId="0" xfId="0" applyNumberFormat="1" applyFont="1"/>
    <xf numFmtId="173" fontId="0" fillId="0" borderId="0" xfId="0" applyNumberFormat="1"/>
    <xf numFmtId="167" fontId="28" fillId="8" borderId="0" xfId="25" applyNumberFormat="1" applyFont="1" applyFill="1" applyAlignment="1">
      <alignment horizontal="left" vertical="center" indent="1"/>
    </xf>
    <xf numFmtId="177" fontId="23" fillId="0" borderId="0" xfId="25" applyFont="1" applyAlignment="1">
      <alignment horizontal="left" vertical="center"/>
    </xf>
    <xf numFmtId="166" fontId="30" fillId="0" borderId="0" xfId="18" applyNumberFormat="1" applyFont="1" applyFill="1" applyBorder="1" applyAlignment="1">
      <alignment horizontal="right" vertical="center"/>
    </xf>
    <xf numFmtId="10" fontId="25" fillId="0" borderId="5" xfId="3" applyNumberFormat="1" applyFont="1" applyFill="1" applyBorder="1" applyAlignment="1">
      <alignment vertical="center"/>
    </xf>
    <xf numFmtId="9" fontId="0" fillId="0" borderId="0" xfId="3" applyFont="1"/>
    <xf numFmtId="165" fontId="25" fillId="0" borderId="0" xfId="3" applyNumberFormat="1" applyFont="1" applyBorder="1" applyAlignment="1">
      <alignment horizontal="right"/>
    </xf>
    <xf numFmtId="165" fontId="23" fillId="0" borderId="0" xfId="3" applyNumberFormat="1" applyFont="1" applyBorder="1" applyAlignment="1" applyProtection="1">
      <alignment horizontal="center" vertical="center"/>
      <protection locked="0"/>
    </xf>
    <xf numFmtId="0" fontId="25" fillId="0" borderId="2" xfId="0" applyFont="1" applyBorder="1" applyAlignment="1">
      <alignment horizontal="center"/>
    </xf>
    <xf numFmtId="165" fontId="25" fillId="0" borderId="0" xfId="3" applyNumberFormat="1" applyFont="1" applyFill="1" applyAlignment="1">
      <alignment horizontal="right"/>
    </xf>
    <xf numFmtId="165" fontId="25" fillId="0" borderId="0" xfId="3" applyNumberFormat="1" applyFont="1" applyFill="1" applyBorder="1" applyAlignment="1">
      <alignment horizontal="right"/>
    </xf>
    <xf numFmtId="0" fontId="28" fillId="0" borderId="0" xfId="0" applyFont="1" applyAlignment="1">
      <alignment horizontal="right"/>
    </xf>
    <xf numFmtId="178" fontId="28" fillId="0" borderId="0" xfId="20" applyNumberFormat="1" applyFont="1" applyAlignment="1">
      <alignment horizontal="right"/>
    </xf>
    <xf numFmtId="178" fontId="28" fillId="0" borderId="0" xfId="20" applyNumberFormat="1" applyFont="1" applyAlignment="1">
      <alignment horizontal="center"/>
    </xf>
    <xf numFmtId="176" fontId="23" fillId="0" borderId="0" xfId="20" applyNumberFormat="1" applyFont="1"/>
    <xf numFmtId="10" fontId="25" fillId="0" borderId="0" xfId="3" applyNumberFormat="1" applyFont="1" applyFill="1" applyAlignment="1">
      <alignment horizontal="right"/>
    </xf>
    <xf numFmtId="164" fontId="28" fillId="8" borderId="0" xfId="0" applyNumberFormat="1" applyFont="1" applyFill="1"/>
    <xf numFmtId="0" fontId="0" fillId="8" borderId="0" xfId="0" applyFill="1"/>
    <xf numFmtId="164" fontId="23" fillId="0" borderId="0" xfId="1" applyNumberFormat="1" applyFont="1" applyBorder="1" applyAlignment="1">
      <alignment vertical="center"/>
    </xf>
    <xf numFmtId="0" fontId="51" fillId="0" borderId="0" xfId="0" applyFont="1"/>
    <xf numFmtId="0" fontId="52" fillId="0" borderId="0" xfId="0" applyFont="1"/>
    <xf numFmtId="0" fontId="53" fillId="0" borderId="0" xfId="0" applyFont="1"/>
    <xf numFmtId="169" fontId="23" fillId="0" borderId="0" xfId="9" applyNumberFormat="1" applyFont="1">
      <alignment vertical="center"/>
    </xf>
    <xf numFmtId="14" fontId="28" fillId="8" borderId="0" xfId="0" applyNumberFormat="1" applyFont="1" applyFill="1" applyAlignment="1">
      <alignment horizontal="right"/>
    </xf>
    <xf numFmtId="0" fontId="54" fillId="0" borderId="0" xfId="0" applyFont="1"/>
    <xf numFmtId="0" fontId="28" fillId="9" borderId="0" xfId="20" applyFont="1" applyFill="1"/>
    <xf numFmtId="0" fontId="29" fillId="9" borderId="0" xfId="20" applyFont="1" applyFill="1"/>
    <xf numFmtId="10" fontId="25" fillId="0" borderId="0" xfId="3" applyNumberFormat="1" applyFont="1" applyFill="1" applyBorder="1" applyAlignment="1">
      <alignment horizontal="right" vertical="center"/>
    </xf>
    <xf numFmtId="10" fontId="47" fillId="0" borderId="0" xfId="20" applyNumberFormat="1" applyFont="1" applyAlignment="1">
      <alignment vertical="center"/>
    </xf>
    <xf numFmtId="180" fontId="25" fillId="0" borderId="5" xfId="0" applyNumberFormat="1" applyFont="1" applyBorder="1"/>
    <xf numFmtId="0" fontId="28" fillId="8" borderId="0" xfId="0" applyFont="1" applyFill="1" applyAlignment="1">
      <alignment horizontal="center" wrapText="1"/>
    </xf>
    <xf numFmtId="14" fontId="8" fillId="8" borderId="0" xfId="0" applyNumberFormat="1" applyFont="1" applyFill="1" applyAlignment="1">
      <alignment horizontal="right"/>
    </xf>
    <xf numFmtId="192" fontId="30" fillId="0" borderId="0" xfId="0" applyNumberFormat="1" applyFont="1" applyAlignment="1">
      <alignment horizontal="left"/>
    </xf>
    <xf numFmtId="180" fontId="25" fillId="0" borderId="0" xfId="20" applyNumberFormat="1" applyFont="1"/>
    <xf numFmtId="5" fontId="0" fillId="0" borderId="0" xfId="0" applyNumberFormat="1"/>
    <xf numFmtId="185" fontId="0" fillId="0" borderId="0" xfId="0" applyNumberFormat="1"/>
    <xf numFmtId="10" fontId="0" fillId="0" borderId="0" xfId="3" applyNumberFormat="1" applyFont="1"/>
    <xf numFmtId="10" fontId="0" fillId="0" borderId="5" xfId="3" applyNumberFormat="1" applyFont="1" applyBorder="1"/>
    <xf numFmtId="10" fontId="25" fillId="0" borderId="0" xfId="22" applyNumberFormat="1" applyFont="1" applyAlignment="1">
      <alignment horizontal="left" vertical="center"/>
    </xf>
    <xf numFmtId="10" fontId="25" fillId="0" borderId="5" xfId="22" applyNumberFormat="1" applyFont="1" applyBorder="1" applyAlignment="1">
      <alignment horizontal="left" vertical="center"/>
    </xf>
    <xf numFmtId="0" fontId="11" fillId="0" borderId="5" xfId="22" applyFont="1" applyBorder="1" applyAlignment="1">
      <alignment horizontal="left" vertical="center"/>
    </xf>
    <xf numFmtId="165" fontId="25" fillId="0" borderId="0" xfId="1" applyNumberFormat="1" applyFont="1"/>
    <xf numFmtId="167" fontId="28" fillId="0" borderId="0" xfId="25" applyNumberFormat="1" applyFont="1" applyAlignment="1">
      <alignment horizontal="left" vertical="center" indent="1"/>
    </xf>
    <xf numFmtId="165" fontId="25" fillId="0" borderId="2" xfId="3" applyNumberFormat="1" applyFont="1" applyFill="1" applyBorder="1" applyAlignment="1">
      <alignment horizontal="center"/>
    </xf>
    <xf numFmtId="0" fontId="28" fillId="8" borderId="0" xfId="0" applyFont="1" applyFill="1" applyAlignment="1">
      <alignment horizontal="left"/>
    </xf>
    <xf numFmtId="2" fontId="0" fillId="0" borderId="0" xfId="0" applyNumberFormat="1"/>
    <xf numFmtId="188" fontId="23" fillId="14" borderId="12" xfId="47" applyNumberFormat="1" applyFont="1" applyFill="1">
      <alignment vertical="center"/>
    </xf>
    <xf numFmtId="180" fontId="23" fillId="14" borderId="12" xfId="47" applyNumberFormat="1" applyFont="1" applyFill="1">
      <alignment vertical="center"/>
    </xf>
    <xf numFmtId="0" fontId="26" fillId="6" borderId="0" xfId="0" applyFont="1" applyFill="1" applyAlignment="1">
      <alignment horizontal="left"/>
    </xf>
    <xf numFmtId="10" fontId="0" fillId="0" borderId="5" xfId="0" applyNumberFormat="1" applyBorder="1"/>
    <xf numFmtId="179" fontId="23" fillId="16" borderId="0" xfId="20" applyNumberFormat="1" applyFont="1" applyFill="1"/>
    <xf numFmtId="180" fontId="23" fillId="16" borderId="0" xfId="20" applyNumberFormat="1" applyFont="1" applyFill="1"/>
    <xf numFmtId="0" fontId="23" fillId="0" borderId="0" xfId="20" applyFont="1" applyAlignment="1">
      <alignment horizontal="center"/>
    </xf>
    <xf numFmtId="193" fontId="25" fillId="0" borderId="0" xfId="0" applyNumberFormat="1" applyFont="1"/>
    <xf numFmtId="188" fontId="23" fillId="14" borderId="25" xfId="47" applyNumberFormat="1" applyFont="1" applyFill="1" applyBorder="1">
      <alignment vertical="center"/>
    </xf>
    <xf numFmtId="180" fontId="25" fillId="5" borderId="2" xfId="0" applyNumberFormat="1" applyFont="1" applyFill="1" applyBorder="1"/>
    <xf numFmtId="0" fontId="55" fillId="0" borderId="0" xfId="57">
      <alignment vertical="center"/>
    </xf>
    <xf numFmtId="0" fontId="39" fillId="0" borderId="0" xfId="57" applyFont="1" applyAlignment="1"/>
    <xf numFmtId="0" fontId="56" fillId="0" borderId="0" xfId="58" applyAlignment="1">
      <alignment horizontal="left"/>
    </xf>
    <xf numFmtId="0" fontId="57" fillId="0" borderId="0" xfId="59">
      <alignment vertical="center"/>
    </xf>
    <xf numFmtId="0" fontId="58" fillId="0" borderId="0" xfId="60" applyAlignment="1">
      <alignment vertical="center"/>
    </xf>
    <xf numFmtId="0" fontId="7" fillId="0" borderId="0" xfId="57" applyFont="1">
      <alignment vertical="center"/>
    </xf>
    <xf numFmtId="0" fontId="55" fillId="0" borderId="0" xfId="57" applyAlignment="1">
      <alignment horizontal="left" vertical="center" wrapText="1"/>
    </xf>
    <xf numFmtId="0" fontId="59" fillId="17" borderId="0" xfId="61">
      <alignment vertical="center"/>
    </xf>
    <xf numFmtId="186" fontId="55" fillId="0" borderId="0" xfId="57" applyNumberFormat="1">
      <alignment vertical="center"/>
    </xf>
    <xf numFmtId="0" fontId="44" fillId="17" borderId="0" xfId="62">
      <alignment vertical="center"/>
      <protection locked="0"/>
    </xf>
    <xf numFmtId="0" fontId="59" fillId="18" borderId="0" xfId="63">
      <alignment vertical="center"/>
    </xf>
    <xf numFmtId="0" fontId="44" fillId="18" borderId="0" xfId="64">
      <alignment vertical="center"/>
    </xf>
    <xf numFmtId="0" fontId="44" fillId="4" borderId="7" xfId="65">
      <alignment vertical="center"/>
    </xf>
    <xf numFmtId="190" fontId="44" fillId="4" borderId="7" xfId="66">
      <alignment vertical="center"/>
    </xf>
    <xf numFmtId="0" fontId="55" fillId="0" borderId="26" xfId="57" applyBorder="1">
      <alignment vertical="center"/>
    </xf>
    <xf numFmtId="0" fontId="60" fillId="0" borderId="0" xfId="67">
      <alignment vertical="center"/>
    </xf>
    <xf numFmtId="0" fontId="3" fillId="5" borderId="0" xfId="68">
      <alignment vertical="center"/>
    </xf>
    <xf numFmtId="0" fontId="59" fillId="19" borderId="0" xfId="69">
      <alignment vertical="center"/>
    </xf>
    <xf numFmtId="0" fontId="0" fillId="7" borderId="0" xfId="18" applyFont="1">
      <alignment vertical="center"/>
    </xf>
    <xf numFmtId="0" fontId="0" fillId="20" borderId="0" xfId="70" applyFont="1">
      <alignment vertical="center"/>
    </xf>
    <xf numFmtId="0" fontId="61" fillId="0" borderId="0" xfId="71">
      <alignment vertical="center"/>
    </xf>
    <xf numFmtId="0" fontId="0" fillId="0" borderId="0" xfId="72" applyFont="1">
      <alignment vertical="center"/>
    </xf>
    <xf numFmtId="0" fontId="62" fillId="15" borderId="0" xfId="73">
      <alignment vertical="center"/>
    </xf>
    <xf numFmtId="0" fontId="55" fillId="0" borderId="28" xfId="74" applyBorder="1" applyProtection="1">
      <alignment vertical="center"/>
    </xf>
    <xf numFmtId="0" fontId="55" fillId="0" borderId="29" xfId="74" applyBorder="1" applyProtection="1">
      <alignment vertical="center"/>
    </xf>
    <xf numFmtId="186" fontId="63" fillId="0" borderId="0" xfId="75" applyNumberFormat="1">
      <alignment vertical="center"/>
    </xf>
    <xf numFmtId="0" fontId="5" fillId="0" borderId="0" xfId="57" applyFont="1" applyAlignment="1">
      <alignment horizontal="left" vertical="center" wrapText="1"/>
    </xf>
    <xf numFmtId="0" fontId="56" fillId="0" borderId="0" xfId="58">
      <alignment vertical="center"/>
    </xf>
    <xf numFmtId="0" fontId="65" fillId="0" borderId="0" xfId="76">
      <alignment vertical="center"/>
    </xf>
    <xf numFmtId="0" fontId="66" fillId="0" borderId="0" xfId="77">
      <alignment vertical="center"/>
    </xf>
    <xf numFmtId="5" fontId="59" fillId="18" borderId="0" xfId="63" applyNumberFormat="1" applyAlignment="1"/>
    <xf numFmtId="164" fontId="25" fillId="0" borderId="0" xfId="0" applyNumberFormat="1" applyFont="1" applyAlignment="1">
      <alignment vertical="center"/>
    </xf>
    <xf numFmtId="0" fontId="63" fillId="0" borderId="0" xfId="75" applyAlignment="1"/>
    <xf numFmtId="10" fontId="59" fillId="18" borderId="0" xfId="63" applyNumberFormat="1" applyAlignment="1"/>
    <xf numFmtId="185" fontId="1" fillId="0" borderId="0" xfId="0" applyNumberFormat="1" applyFont="1"/>
    <xf numFmtId="10" fontId="1" fillId="0" borderId="0" xfId="0" applyNumberFormat="1" applyFont="1"/>
    <xf numFmtId="188" fontId="45" fillId="5" borderId="0" xfId="68" applyNumberFormat="1" applyFont="1" applyBorder="1">
      <alignment vertical="center"/>
    </xf>
    <xf numFmtId="3" fontId="61" fillId="0" borderId="0" xfId="71" applyNumberFormat="1" applyAlignment="1">
      <alignment horizontal="right"/>
    </xf>
    <xf numFmtId="178" fontId="61" fillId="0" borderId="0" xfId="71" applyNumberFormat="1" applyAlignment="1">
      <alignment horizontal="right"/>
    </xf>
    <xf numFmtId="179" fontId="61" fillId="0" borderId="0" xfId="71" applyNumberFormat="1" applyAlignment="1">
      <alignment horizontal="right"/>
    </xf>
    <xf numFmtId="178" fontId="61" fillId="0" borderId="0" xfId="71" applyNumberFormat="1" applyAlignment="1"/>
    <xf numFmtId="175" fontId="61" fillId="0" borderId="0" xfId="71" applyNumberFormat="1" applyAlignment="1">
      <alignment horizontal="right"/>
    </xf>
    <xf numFmtId="184" fontId="61" fillId="0" borderId="0" xfId="71" applyNumberFormat="1" applyAlignment="1">
      <alignment horizontal="right"/>
    </xf>
    <xf numFmtId="0" fontId="61" fillId="0" borderId="0" xfId="71" applyAlignment="1">
      <alignment horizontal="right"/>
    </xf>
    <xf numFmtId="180" fontId="59" fillId="18" borderId="0" xfId="63" applyNumberFormat="1" applyAlignment="1"/>
    <xf numFmtId="180" fontId="61" fillId="0" borderId="0" xfId="71" applyNumberFormat="1" applyAlignment="1">
      <alignment horizontal="right"/>
    </xf>
    <xf numFmtId="171" fontId="25" fillId="5" borderId="0" xfId="68" applyNumberFormat="1" applyFont="1" applyAlignment="1"/>
    <xf numFmtId="7" fontId="25" fillId="5" borderId="0" xfId="68" applyNumberFormat="1" applyFont="1" applyAlignment="1">
      <alignment horizontal="right"/>
    </xf>
    <xf numFmtId="181" fontId="25" fillId="5" borderId="0" xfId="68" applyNumberFormat="1" applyFont="1" applyAlignment="1"/>
    <xf numFmtId="7" fontId="25" fillId="5" borderId="0" xfId="68" applyNumberFormat="1" applyFont="1" applyBorder="1" applyAlignment="1"/>
    <xf numFmtId="0" fontId="19" fillId="0" borderId="0" xfId="9" applyFont="1">
      <alignment vertical="center"/>
    </xf>
    <xf numFmtId="169" fontId="44" fillId="18" borderId="0" xfId="64" applyNumberFormat="1">
      <alignment vertical="center"/>
    </xf>
    <xf numFmtId="194" fontId="25" fillId="0" borderId="0" xfId="0" applyNumberFormat="1" applyFont="1"/>
    <xf numFmtId="9" fontId="59" fillId="18" borderId="0" xfId="63" applyNumberFormat="1" applyAlignment="1"/>
    <xf numFmtId="165" fontId="25" fillId="5" borderId="3" xfId="3" applyNumberFormat="1" applyFont="1" applyFill="1" applyBorder="1" applyAlignment="1">
      <alignment horizontal="right"/>
    </xf>
    <xf numFmtId="165" fontId="25" fillId="5" borderId="4" xfId="3" applyNumberFormat="1" applyFont="1" applyFill="1" applyBorder="1" applyAlignment="1">
      <alignment horizontal="right"/>
    </xf>
    <xf numFmtId="2" fontId="25" fillId="0" borderId="2" xfId="0" applyNumberFormat="1" applyFont="1" applyBorder="1" applyAlignment="1">
      <alignment horizontal="center"/>
    </xf>
    <xf numFmtId="164" fontId="25" fillId="0" borderId="2" xfId="1" applyNumberFormat="1" applyFont="1" applyFill="1" applyBorder="1" applyAlignment="1">
      <alignment horizontal="center"/>
    </xf>
    <xf numFmtId="10" fontId="25" fillId="0" borderId="2" xfId="0" applyNumberFormat="1" applyFont="1" applyBorder="1" applyAlignment="1">
      <alignment horizontal="center"/>
    </xf>
    <xf numFmtId="165" fontId="25" fillId="0" borderId="2" xfId="0" applyNumberFormat="1" applyFont="1" applyBorder="1" applyAlignment="1">
      <alignment horizontal="center"/>
    </xf>
    <xf numFmtId="184" fontId="59" fillId="5" borderId="0" xfId="68" applyNumberFormat="1" applyFont="1" applyAlignment="1"/>
    <xf numFmtId="10" fontId="18" fillId="0" borderId="2" xfId="0" applyNumberFormat="1" applyFont="1" applyBorder="1"/>
    <xf numFmtId="164" fontId="23" fillId="0" borderId="2" xfId="1" applyNumberFormat="1" applyFont="1" applyFill="1" applyBorder="1" applyAlignment="1">
      <alignment vertical="center"/>
    </xf>
    <xf numFmtId="184" fontId="44" fillId="18" borderId="0" xfId="64" applyNumberFormat="1" applyAlignment="1"/>
    <xf numFmtId="164" fontId="44" fillId="18" borderId="0" xfId="64" applyNumberFormat="1" applyAlignment="1"/>
    <xf numFmtId="168" fontId="44" fillId="18" borderId="0" xfId="64" applyNumberFormat="1" applyAlignment="1">
      <alignment horizontal="right"/>
    </xf>
    <xf numFmtId="169" fontId="44" fillId="18" borderId="0" xfId="64" applyNumberFormat="1" applyAlignment="1">
      <alignment horizontal="right"/>
    </xf>
    <xf numFmtId="10" fontId="44" fillId="18" borderId="0" xfId="64" applyNumberFormat="1" applyAlignment="1"/>
    <xf numFmtId="14" fontId="25" fillId="0" borderId="0" xfId="0" applyNumberFormat="1" applyFont="1"/>
    <xf numFmtId="165" fontId="44" fillId="18" borderId="0" xfId="64" applyNumberFormat="1" applyAlignment="1"/>
    <xf numFmtId="14" fontId="44" fillId="18" borderId="0" xfId="64" applyNumberFormat="1" applyAlignment="1"/>
    <xf numFmtId="9" fontId="44" fillId="18" borderId="0" xfId="64" applyNumberFormat="1" applyAlignment="1"/>
    <xf numFmtId="43" fontId="44" fillId="18" borderId="0" xfId="64" applyNumberFormat="1" applyAlignment="1"/>
    <xf numFmtId="195" fontId="44" fillId="18" borderId="0" xfId="64" applyNumberFormat="1" applyAlignment="1"/>
    <xf numFmtId="164" fontId="59" fillId="18" borderId="0" xfId="63" applyNumberFormat="1" applyAlignment="1"/>
    <xf numFmtId="164" fontId="59" fillId="21" borderId="0" xfId="63" applyNumberFormat="1" applyFill="1" applyAlignment="1"/>
    <xf numFmtId="0" fontId="31" fillId="0" borderId="0" xfId="20" applyFont="1"/>
    <xf numFmtId="185" fontId="59" fillId="18" borderId="0" xfId="63" applyNumberFormat="1" applyAlignment="1"/>
    <xf numFmtId="167" fontId="8" fillId="8" borderId="0" xfId="25" applyNumberFormat="1" applyFont="1" applyFill="1" applyAlignment="1">
      <alignment horizontal="right" vertical="center"/>
    </xf>
    <xf numFmtId="10" fontId="2" fillId="0" borderId="0" xfId="3" applyNumberFormat="1" applyFont="1" applyFill="1" applyAlignment="1">
      <alignment horizontal="right"/>
    </xf>
    <xf numFmtId="2" fontId="55" fillId="6" borderId="0" xfId="3" applyNumberFormat="1" applyFont="1" applyFill="1" applyBorder="1" applyAlignment="1">
      <alignment vertical="center"/>
    </xf>
    <xf numFmtId="0" fontId="2" fillId="0" borderId="0" xfId="0" applyFont="1"/>
    <xf numFmtId="5" fontId="2" fillId="0" borderId="0" xfId="0" applyNumberFormat="1" applyFont="1"/>
    <xf numFmtId="164" fontId="2" fillId="0" borderId="0" xfId="0" applyNumberFormat="1" applyFont="1"/>
    <xf numFmtId="182" fontId="2" fillId="0" borderId="0" xfId="0" applyNumberFormat="1" applyFont="1"/>
    <xf numFmtId="184" fontId="59" fillId="18" borderId="0" xfId="63" applyNumberFormat="1" applyAlignment="1"/>
    <xf numFmtId="0" fontId="2" fillId="0" borderId="1" xfId="0" applyFont="1" applyBorder="1"/>
    <xf numFmtId="164" fontId="2" fillId="0" borderId="0" xfId="1" applyNumberFormat="1" applyFont="1"/>
    <xf numFmtId="0" fontId="8" fillId="8" borderId="0" xfId="20" applyFont="1" applyFill="1" applyAlignment="1">
      <alignment horizontal="center"/>
    </xf>
    <xf numFmtId="10" fontId="2" fillId="0" borderId="0" xfId="0" applyNumberFormat="1" applyFont="1"/>
    <xf numFmtId="185" fontId="2" fillId="0" borderId="0" xfId="0" applyNumberFormat="1" applyFont="1"/>
    <xf numFmtId="166" fontId="12" fillId="0" borderId="0" xfId="18" applyNumberFormat="1" applyFont="1" applyFill="1" applyBorder="1" applyAlignment="1">
      <alignment horizontal="right" vertical="center"/>
    </xf>
    <xf numFmtId="184" fontId="44" fillId="5" borderId="0" xfId="68" applyNumberFormat="1" applyFont="1" applyAlignment="1"/>
    <xf numFmtId="179" fontId="28" fillId="8" borderId="0" xfId="20" applyNumberFormat="1" applyFont="1" applyFill="1" applyAlignment="1">
      <alignment horizontal="center"/>
    </xf>
    <xf numFmtId="179" fontId="0" fillId="0" borderId="1" xfId="0" applyNumberFormat="1" applyBorder="1"/>
    <xf numFmtId="179" fontId="55" fillId="0" borderId="0" xfId="20" applyNumberFormat="1" applyFont="1"/>
    <xf numFmtId="7" fontId="25" fillId="5" borderId="0" xfId="68" applyNumberFormat="1" applyFont="1" applyAlignment="1"/>
    <xf numFmtId="165" fontId="0" fillId="5" borderId="0" xfId="3" applyNumberFormat="1" applyFont="1" applyFill="1" applyAlignment="1">
      <alignment horizontal="center"/>
    </xf>
    <xf numFmtId="165" fontId="0" fillId="0" borderId="0" xfId="3" applyNumberFormat="1" applyFont="1" applyAlignment="1">
      <alignment horizontal="center"/>
    </xf>
    <xf numFmtId="0" fontId="0" fillId="0" borderId="0" xfId="0" applyAlignment="1">
      <alignment horizontal="center"/>
    </xf>
    <xf numFmtId="0" fontId="1" fillId="0" borderId="0" xfId="0" applyFont="1" applyAlignment="1">
      <alignment horizontal="center" vertical="center" wrapText="1"/>
    </xf>
    <xf numFmtId="0" fontId="1" fillId="0" borderId="0" xfId="0" applyFont="1" applyAlignment="1">
      <alignment horizontal="center"/>
    </xf>
    <xf numFmtId="9" fontId="2" fillId="0" borderId="0" xfId="3" applyFont="1"/>
    <xf numFmtId="0" fontId="1" fillId="0" borderId="0" xfId="0" applyFont="1" applyAlignment="1">
      <alignment vertical="center"/>
    </xf>
    <xf numFmtId="0" fontId="8" fillId="8" borderId="0" xfId="0" applyFont="1" applyFill="1" applyAlignment="1">
      <alignment horizontal="right"/>
    </xf>
    <xf numFmtId="0" fontId="61" fillId="0" borderId="0" xfId="71" applyAlignment="1">
      <alignment horizontal="center" vertical="center" wrapText="1"/>
    </xf>
    <xf numFmtId="185" fontId="61" fillId="0" borderId="0" xfId="71" applyNumberFormat="1" applyAlignment="1">
      <alignment horizontal="right"/>
    </xf>
    <xf numFmtId="0" fontId="61" fillId="0" borderId="0" xfId="71" applyAlignment="1"/>
    <xf numFmtId="168" fontId="25" fillId="0" borderId="5" xfId="0" applyNumberFormat="1" applyFont="1" applyBorder="1"/>
    <xf numFmtId="168" fontId="61" fillId="0" borderId="0" xfId="71" applyNumberFormat="1" applyAlignment="1">
      <alignment horizontal="right"/>
    </xf>
    <xf numFmtId="168" fontId="0" fillId="0" borderId="0" xfId="0" applyNumberFormat="1"/>
    <xf numFmtId="2" fontId="25" fillId="0" borderId="0" xfId="0" applyNumberFormat="1" applyFont="1"/>
    <xf numFmtId="2" fontId="25" fillId="0" borderId="0" xfId="1" applyNumberFormat="1" applyFont="1"/>
    <xf numFmtId="0" fontId="4" fillId="0" borderId="0" xfId="5" applyAlignment="1"/>
    <xf numFmtId="9" fontId="0" fillId="0" borderId="0" xfId="0" applyNumberFormat="1"/>
    <xf numFmtId="0" fontId="59" fillId="17" borderId="0" xfId="61" applyAlignment="1">
      <alignment horizontal="center" vertical="center"/>
    </xf>
    <xf numFmtId="0" fontId="59" fillId="2" borderId="0" xfId="61" applyFill="1" applyAlignment="1">
      <alignment horizontal="center" vertical="center"/>
    </xf>
    <xf numFmtId="0" fontId="59" fillId="18" borderId="0" xfId="63" applyAlignment="1"/>
    <xf numFmtId="9" fontId="44" fillId="17" borderId="0" xfId="62" applyNumberFormat="1" applyAlignment="1" applyProtection="1"/>
    <xf numFmtId="0" fontId="0" fillId="5" borderId="0" xfId="68" applyFont="1" applyAlignment="1"/>
    <xf numFmtId="10" fontId="0" fillId="5" borderId="0" xfId="68" applyNumberFormat="1" applyFont="1" applyAlignment="1"/>
    <xf numFmtId="0" fontId="0" fillId="5" borderId="5" xfId="68" applyFont="1" applyBorder="1" applyAlignment="1"/>
    <xf numFmtId="43" fontId="44" fillId="17" borderId="0" xfId="1" applyFont="1" applyFill="1" applyAlignment="1" applyProtection="1"/>
    <xf numFmtId="0" fontId="29" fillId="8" borderId="0" xfId="0" applyFont="1" applyFill="1"/>
    <xf numFmtId="196" fontId="25" fillId="0" borderId="2" xfId="0" applyNumberFormat="1" applyFont="1" applyBorder="1" applyAlignment="1">
      <alignment horizontal="center"/>
    </xf>
    <xf numFmtId="43" fontId="44" fillId="18" borderId="0" xfId="64" applyNumberFormat="1" applyAlignment="1">
      <alignment horizontal="center"/>
    </xf>
    <xf numFmtId="185" fontId="2" fillId="5" borderId="0" xfId="68" applyNumberFormat="1" applyFont="1" applyAlignment="1"/>
    <xf numFmtId="7" fontId="25" fillId="2" borderId="0" xfId="0" applyNumberFormat="1" applyFont="1" applyFill="1"/>
    <xf numFmtId="168" fontId="25" fillId="2" borderId="0" xfId="0" applyNumberFormat="1" applyFont="1" applyFill="1"/>
    <xf numFmtId="14" fontId="28" fillId="8" borderId="0" xfId="0" applyNumberFormat="1" applyFont="1" applyFill="1" applyAlignment="1">
      <alignment horizontal="right" vertical="center"/>
    </xf>
    <xf numFmtId="164" fontId="25" fillId="0" borderId="5" xfId="1" applyNumberFormat="1" applyFont="1" applyBorder="1"/>
    <xf numFmtId="0" fontId="40" fillId="0" borderId="0" xfId="4" applyFont="1" applyAlignment="1">
      <alignment vertical="center"/>
    </xf>
    <xf numFmtId="0" fontId="63" fillId="0" borderId="0" xfId="75" applyAlignment="1">
      <alignment vertical="center"/>
    </xf>
    <xf numFmtId="0" fontId="44" fillId="17" borderId="0" xfId="62" applyAlignment="1" applyProtection="1">
      <alignment horizontal="center" vertical="center"/>
    </xf>
    <xf numFmtId="0" fontId="57" fillId="0" borderId="0" xfId="59" applyAlignment="1"/>
    <xf numFmtId="164" fontId="44" fillId="17" borderId="0" xfId="62" applyNumberFormat="1" applyAlignment="1" applyProtection="1">
      <alignment vertical="center"/>
    </xf>
    <xf numFmtId="169" fontId="44" fillId="17" borderId="0" xfId="62" applyNumberFormat="1" applyAlignment="1" applyProtection="1">
      <alignment vertical="center"/>
    </xf>
    <xf numFmtId="179" fontId="44" fillId="17" borderId="0" xfId="62" applyNumberFormat="1" applyAlignment="1" applyProtection="1"/>
    <xf numFmtId="180" fontId="44" fillId="17" borderId="0" xfId="62" applyNumberFormat="1" applyAlignment="1" applyProtection="1"/>
    <xf numFmtId="10" fontId="44" fillId="17" borderId="0" xfId="62" applyNumberFormat="1" applyAlignment="1" applyProtection="1">
      <alignment vertical="center"/>
    </xf>
    <xf numFmtId="164" fontId="44" fillId="17" borderId="0" xfId="62" applyNumberFormat="1" applyAlignment="1" applyProtection="1"/>
    <xf numFmtId="185" fontId="44" fillId="17" borderId="0" xfId="62" applyNumberFormat="1" applyAlignment="1" applyProtection="1"/>
    <xf numFmtId="184" fontId="0" fillId="0" borderId="0" xfId="0" applyNumberFormat="1"/>
    <xf numFmtId="179" fontId="59" fillId="18" borderId="0" xfId="63" applyNumberFormat="1" applyAlignment="1" applyProtection="1"/>
    <xf numFmtId="184" fontId="1" fillId="0" borderId="0" xfId="0" applyNumberFormat="1" applyFont="1"/>
    <xf numFmtId="187" fontId="27" fillId="0" borderId="18" xfId="41">
      <alignment vertical="center"/>
    </xf>
    <xf numFmtId="43" fontId="0" fillId="0" borderId="0" xfId="0" applyNumberFormat="1"/>
    <xf numFmtId="9" fontId="59" fillId="18" borderId="0" xfId="63" applyNumberFormat="1" applyAlignment="1">
      <alignment horizontal="right"/>
    </xf>
    <xf numFmtId="9" fontId="59" fillId="17" borderId="0" xfId="61" applyNumberFormat="1" applyAlignment="1">
      <alignment horizontal="right"/>
    </xf>
    <xf numFmtId="0" fontId="55" fillId="0" borderId="0" xfId="78">
      <alignment vertical="center"/>
    </xf>
    <xf numFmtId="0" fontId="56" fillId="0" borderId="0" xfId="79" applyAlignment="1">
      <alignment horizontal="left"/>
    </xf>
    <xf numFmtId="0" fontId="65" fillId="0" borderId="0" xfId="80" applyFill="1" applyAlignment="1">
      <alignment horizontal="left"/>
    </xf>
    <xf numFmtId="0" fontId="67" fillId="0" borderId="0" xfId="78" applyFont="1">
      <alignment vertical="center"/>
    </xf>
    <xf numFmtId="0" fontId="5" fillId="0" borderId="0" xfId="78" applyFont="1">
      <alignment vertical="center"/>
    </xf>
    <xf numFmtId="0" fontId="58" fillId="0" borderId="0" xfId="81" applyAlignment="1"/>
    <xf numFmtId="0" fontId="58" fillId="0" borderId="0" xfId="81" applyAlignment="1">
      <alignment vertical="center"/>
    </xf>
    <xf numFmtId="0" fontId="66" fillId="0" borderId="0" xfId="82" applyAlignment="1">
      <alignment vertical="center"/>
    </xf>
    <xf numFmtId="0" fontId="65" fillId="0" borderId="0" xfId="80" applyAlignment="1">
      <alignment vertical="center"/>
    </xf>
    <xf numFmtId="168" fontId="20" fillId="0" borderId="0" xfId="9" applyNumberFormat="1" applyFont="1">
      <alignment vertical="center"/>
    </xf>
    <xf numFmtId="0" fontId="55" fillId="0" borderId="0" xfId="78" applyAlignment="1">
      <alignment vertical="center" wrapText="1"/>
    </xf>
    <xf numFmtId="0" fontId="57" fillId="0" borderId="0" xfId="59" applyAlignment="1">
      <alignment horizontal="left" vertical="center"/>
    </xf>
    <xf numFmtId="0" fontId="28" fillId="8" borderId="0" xfId="0" applyFont="1" applyFill="1" applyAlignment="1">
      <alignment horizontal="center" vertical="center"/>
    </xf>
  </cellXfs>
  <cellStyles count="83">
    <cellStyle name="Blank input" xfId="42" xr:uid="{0A3E76C2-510A-46E4-BD37-4602C55453A4}"/>
    <cellStyle name="Check fail" xfId="73" xr:uid="{57F6A364-EF5B-4684-B500-29ACD8EC8461}"/>
    <cellStyle name="Check pass" xfId="71" xr:uid="{3E39B507-92C0-452F-9562-4D1CEAE5334D}"/>
    <cellStyle name="Checksum" xfId="16" xr:uid="{83242FC6-0BD6-4AD3-BC9D-DC1CF327FC2C}"/>
    <cellStyle name="Comma" xfId="1" builtinId="3"/>
    <cellStyle name="Comma 10 2 5" xfId="23" xr:uid="{7A2EC367-7A8E-454C-8189-2A440651FA5F}"/>
    <cellStyle name="Comma 10 2 5 2" xfId="54" xr:uid="{956812B1-8726-4EC3-BA6D-1A7E704FD99B}"/>
    <cellStyle name="Comma 2" xfId="17" xr:uid="{2542B072-4D0B-4BC5-9C28-BD17CA3A10DE}"/>
    <cellStyle name="Comma 2 2" xfId="53" xr:uid="{7BE5E23C-5688-48B9-88C2-9E272D0C1431}"/>
    <cellStyle name="Comma 3" xfId="51" xr:uid="{0D84D34C-4D5B-4470-B3EC-6D64AE53768F}"/>
    <cellStyle name="Comma 4" xfId="52" xr:uid="{A09FC177-95D3-4CB4-B369-09136F29A6C0}"/>
    <cellStyle name="Confidential" xfId="65" xr:uid="{E0B6EFBB-D043-437E-956C-D8460FEA3AA0}"/>
    <cellStyle name="Data label" xfId="39" xr:uid="{FCB7E03C-E817-4454-BCC6-BC16A07A574B}"/>
    <cellStyle name="External link" xfId="38" xr:uid="{9E50B21F-2AC5-433C-B342-816863E47695}"/>
    <cellStyle name="Feed external" xfId="64" xr:uid="{83966C40-AC64-4944-B76F-F0788C89BCBC}"/>
    <cellStyle name="Feed internal" xfId="63" xr:uid="{6F7BBDA9-ADAE-4CF7-9523-3B054E414F04}"/>
    <cellStyle name="H1" xfId="5" xr:uid="{EF95FB66-59AB-4A28-990E-283559175357}"/>
    <cellStyle name="H1 2" xfId="58" xr:uid="{B30F4BB1-2F54-4677-8978-E0DAFBA103C3}"/>
    <cellStyle name="H1 3" xfId="79" xr:uid="{E44D054B-7E1F-4452-8EB7-E0325732B0F1}"/>
    <cellStyle name="H2" xfId="6" xr:uid="{F8A2996E-0503-43A5-A6EE-010565AE44C7}"/>
    <cellStyle name="H2 2" xfId="76" xr:uid="{C9DD2A5C-EFEE-4E3F-828D-1D31BA15B15F}"/>
    <cellStyle name="H2 3" xfId="80" xr:uid="{969F42A7-9806-4617-9B25-66483425C7F2}"/>
    <cellStyle name="H3" xfId="7" xr:uid="{21EF7D56-C15F-4BDB-B351-2B1F1376706E}"/>
    <cellStyle name="H3 2" xfId="60" xr:uid="{840CD116-1AE8-41A9-A9D9-A7A8CCD4F5CB}"/>
    <cellStyle name="H3 3" xfId="81" xr:uid="{54E23CA1-AA2D-4518-BF77-5D06E8B15083}"/>
    <cellStyle name="H4" xfId="4" xr:uid="{F032F2AE-DFBE-41F7-B917-30E0D1A917F4}"/>
    <cellStyle name="H4 2" xfId="77" xr:uid="{AB0F1898-5A66-4F9A-B949-34FE6FFB2CED}"/>
    <cellStyle name="H4 3" xfId="82" xr:uid="{F08E623D-9C99-4F26-86A4-75BD1F010ADD}"/>
    <cellStyle name="Heading 1 2" xfId="34" xr:uid="{55BEBE9B-237D-4946-BCD7-C4C65BDA862F}"/>
    <cellStyle name="Highlight" xfId="18" xr:uid="{2C9CA402-ED7D-42F7-A4C1-DEBA56B8BA2B}"/>
    <cellStyle name="Hyperlink 2" xfId="19" xr:uid="{4CDCD291-6AF6-4BA0-A412-5BA609AFD75B}"/>
    <cellStyle name="Hyperlink 3" xfId="27" xr:uid="{94093152-2AD9-40BB-84C5-C3C51C539E9C}"/>
    <cellStyle name="Hyperlink 4" xfId="32" xr:uid="{FDEFB9FD-A70D-41D0-8ECC-9781D57331A5}"/>
    <cellStyle name="Input assumption or parameter" xfId="62" xr:uid="{1AA8BE6B-B1B2-4727-A1BF-7B8FBCB850BD}"/>
    <cellStyle name="Input data" xfId="41" xr:uid="{A9982CD8-24C6-49C5-B915-F417A578E00A}"/>
    <cellStyle name="Input data 2" xfId="61" xr:uid="{4176B3AA-F9F2-4659-B5CB-345B114A4E56}"/>
    <cellStyle name="Input label link" xfId="40" xr:uid="{B830FCC3-15AC-4213-94DD-B2557BBCFB6E}"/>
    <cellStyle name="Input parameter" xfId="10" xr:uid="{53A31C98-275E-4DD2-ACA8-7B6A28D2A2B5}"/>
    <cellStyle name="Intentionally blank" xfId="68" xr:uid="{0BA661C7-309D-4D09-9390-076BD7B32CC7}"/>
    <cellStyle name="List" xfId="48" xr:uid="{EC44E1D7-266F-437D-BBA1-64D0E74AD486}"/>
    <cellStyle name="List total" xfId="49" xr:uid="{A2B3D164-EF85-4A33-8A54-BB8A5CF5305B}"/>
    <cellStyle name="Model calc" xfId="43" xr:uid="{507CE4DB-B484-459C-92E4-F17E75AC9BA4}"/>
    <cellStyle name="Model calc total" xfId="44" xr:uid="{069D6C54-E89D-43BE-84C8-1AF7113A61A1}"/>
    <cellStyle name="Model logic" xfId="67" xr:uid="{3F72E27E-D470-421D-9DB2-8C78D6DED0D9}"/>
    <cellStyle name="Model output" xfId="47" xr:uid="{306F1E7F-0343-4D46-A270-326A025815A8}"/>
    <cellStyle name="Model variable" xfId="35" xr:uid="{87808804-F8E1-44D9-8CD6-DF7D8575FC44}"/>
    <cellStyle name="Name" xfId="11" xr:uid="{2AEB9D4A-FB55-4DE1-9F2E-D51CE9B1A29D}"/>
    <cellStyle name="Named range" xfId="74" xr:uid="{48CC4354-C487-4CCE-89BA-1006793B0618}"/>
    <cellStyle name="Normal" xfId="0" builtinId="0"/>
    <cellStyle name="Normal 2" xfId="9" xr:uid="{87523E52-0DD4-43DB-9F2E-48B72A1E7449}"/>
    <cellStyle name="Normal 2 2" xfId="22" xr:uid="{30F4CBF2-B904-4797-954B-9B727BE86D97}"/>
    <cellStyle name="Normal 2 3" xfId="33" xr:uid="{72E67BD7-974B-4A10-8ACE-5CA9D66796E5}"/>
    <cellStyle name="Normal 2 3 2" xfId="55" xr:uid="{FD70C1D6-A759-4349-B208-A2952DB5BEBE}"/>
    <cellStyle name="Normal 3" xfId="20" xr:uid="{ADA65B93-7061-4C62-9D27-1538B62AA566}"/>
    <cellStyle name="Normal 3 2" xfId="78" xr:uid="{C9D32542-A1BF-409E-9266-29F1B056D08F}"/>
    <cellStyle name="Normal 4" xfId="25" xr:uid="{3318C08C-88BC-4191-BFF5-5E1700D185D0}"/>
    <cellStyle name="Normal 5" xfId="56" xr:uid="{28D3490D-B37B-4479-8B63-561D41364174}"/>
    <cellStyle name="Normal 51" xfId="57" xr:uid="{CBD50171-3436-40BE-B8C0-B562F8FA1C94}"/>
    <cellStyle name="Normal 67" xfId="28" xr:uid="{7970C59A-000E-44DE-B96A-BD47F50C57B2}"/>
    <cellStyle name="Normal 85" xfId="31" xr:uid="{BDF475DF-A728-42F7-8EDF-C94D3800AB9F}"/>
    <cellStyle name="Normal 86" xfId="29" xr:uid="{ECEABA9E-761F-4C49-9A6E-4BD529B8EC4C}"/>
    <cellStyle name="Normal 87" xfId="30" xr:uid="{91F8DB94-B9F0-4417-9A5E-7FC8FCAF515B}"/>
    <cellStyle name="Note or source" xfId="59" xr:uid="{6E651210-9E1C-4B05-B2A1-43D32F713174}"/>
    <cellStyle name="NoteOrSource" xfId="14" xr:uid="{2E42F843-0C7F-4FF5-AFC9-2D42E856EA25}"/>
    <cellStyle name="NoteOrSource 2" xfId="26" xr:uid="{F40AD940-871B-45B7-8007-98156D210226}"/>
    <cellStyle name="Ofcom input" xfId="37" xr:uid="{639A8415-9D9C-42D9-B2DE-7C5FFE24CD02}"/>
    <cellStyle name="Ofcom input 2" xfId="36" xr:uid="{0045CAD0-D5A2-4443-A5CC-7069729E5F4C}"/>
    <cellStyle name="Ofcom Output" xfId="8" xr:uid="{97B8D58D-95E1-499E-A113-3E54CA712ECA}"/>
    <cellStyle name="OfcomConfidential" xfId="13" xr:uid="{44659A0B-682F-4637-9838-8BC2D2DC07E9}"/>
    <cellStyle name="Output oet2017" xfId="69" xr:uid="{20648524-835A-4B85-AF4D-91B6D4A38E87}"/>
    <cellStyle name="Per cent" xfId="3" builtinId="5"/>
    <cellStyle name="Percent [0%]" xfId="24" xr:uid="{9383B232-60F0-453D-A05F-41CA843AAC39}"/>
    <cellStyle name="Percent 2" xfId="15" xr:uid="{191E4311-D451-4A68-8A78-B812E1A991AC}"/>
    <cellStyle name="Percent 3" xfId="21" xr:uid="{5941099C-616B-4C23-B6D4-5F094C6B4FF5}"/>
    <cellStyle name="QA highlight" xfId="70" xr:uid="{BEF72842-29D9-42D5-A64B-6EEC49045A12}"/>
    <cellStyle name="Randomized" xfId="50" xr:uid="{759A2875-7E9C-4D35-8F24-43CF534B7C16}"/>
    <cellStyle name="Randomized 2" xfId="66" xr:uid="{C0AF674A-90DB-41E6-AD8F-1E30C248F5F0}"/>
    <cellStyle name="Range name" xfId="75" xr:uid="{37D5E64A-A9C7-4469-9247-B0F1DFFACCA5}"/>
    <cellStyle name="Source" xfId="12" xr:uid="{5D4FCDC2-237E-475F-82D0-445E8DE19201}"/>
    <cellStyle name="Summary calc" xfId="45" xr:uid="{4C5EE935-F115-4FAC-86E7-BECC0213168E}"/>
    <cellStyle name="Summary calc total" xfId="46" xr:uid="{69C5999F-E4C9-43A7-9B50-2B7554C83203}"/>
    <cellStyle name="Unhighlight" xfId="2" xr:uid="{AF1659A6-805D-40CB-BFC4-76ADD3BEF9E4}"/>
    <cellStyle name="Unhighlight 2" xfId="72" xr:uid="{D167748F-DFC3-44A2-9D9B-30F4961BDD61}"/>
  </cellStyles>
  <dxfs count="16">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
      <font>
        <b/>
        <i val="0"/>
        <color rgb="FFFFFFFF"/>
      </font>
      <fill>
        <patternFill>
          <bgColor rgb="FFFF0000"/>
        </patternFill>
      </fill>
    </dxf>
  </dxfs>
  <tableStyles count="0" defaultTableStyle="TableStyleMedium2" defaultPivotStyle="PivotStyleLight16"/>
  <colors>
    <mruColors>
      <color rgb="FFA5A5A5"/>
      <color rgb="FFFFC000"/>
      <color rgb="FF255E91"/>
      <color rgb="FF436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428624</xdr:colOff>
      <xdr:row>2</xdr:row>
      <xdr:rowOff>15741</xdr:rowOff>
    </xdr:to>
    <xdr:pic>
      <xdr:nvPicPr>
        <xdr:cNvPr id="2" name="Picture 1">
          <a:extLst>
            <a:ext uri="{FF2B5EF4-FFF2-40B4-BE49-F238E27FC236}">
              <a16:creationId xmlns:a16="http://schemas.microsoft.com/office/drawing/2014/main" id="{AE32D46F-4820-4006-8191-C9913F9BCDF3}"/>
            </a:ext>
          </a:extLst>
        </xdr:cNvPr>
        <xdr:cNvPicPr>
          <a:picLocks noChangeAspect="1"/>
        </xdr:cNvPicPr>
      </xdr:nvPicPr>
      <xdr:blipFill>
        <a:blip xmlns:r="http://schemas.openxmlformats.org/officeDocument/2006/relationships" r:embed="rId1"/>
        <a:stretch>
          <a:fillRect/>
        </a:stretch>
      </xdr:blipFill>
      <xdr:spPr>
        <a:xfrm>
          <a:off x="0" y="0"/>
          <a:ext cx="2441574" cy="99364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2174874</xdr:colOff>
      <xdr:row>2</xdr:row>
      <xdr:rowOff>18916</xdr:rowOff>
    </xdr:to>
    <xdr:pic>
      <xdr:nvPicPr>
        <xdr:cNvPr id="2" name="Picture 1">
          <a:extLst>
            <a:ext uri="{FF2B5EF4-FFF2-40B4-BE49-F238E27FC236}">
              <a16:creationId xmlns:a16="http://schemas.microsoft.com/office/drawing/2014/main" id="{5E0C6021-F823-4A2C-864F-55B21B72B4FD}"/>
            </a:ext>
          </a:extLst>
        </xdr:cNvPr>
        <xdr:cNvPicPr>
          <a:picLocks noChangeAspect="1"/>
        </xdr:cNvPicPr>
      </xdr:nvPicPr>
      <xdr:blipFill>
        <a:blip xmlns:r="http://schemas.openxmlformats.org/officeDocument/2006/relationships" r:embed="rId1"/>
        <a:stretch>
          <a:fillRect/>
        </a:stretch>
      </xdr:blipFill>
      <xdr:spPr>
        <a:xfrm>
          <a:off x="0" y="0"/>
          <a:ext cx="2346324" cy="9904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52099</xdr:colOff>
      <xdr:row>2</xdr:row>
      <xdr:rowOff>57726</xdr:rowOff>
    </xdr:from>
    <xdr:to>
      <xdr:col>17</xdr:col>
      <xdr:colOff>432955</xdr:colOff>
      <xdr:row>39</xdr:row>
      <xdr:rowOff>86690</xdr:rowOff>
    </xdr:to>
    <xdr:pic>
      <xdr:nvPicPr>
        <xdr:cNvPr id="2" name="Picture 1">
          <a:extLst>
            <a:ext uri="{FF2B5EF4-FFF2-40B4-BE49-F238E27FC236}">
              <a16:creationId xmlns:a16="http://schemas.microsoft.com/office/drawing/2014/main" id="{4359B597-4206-40D2-A06C-75B7F2D6D5D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88122" y="663862"/>
          <a:ext cx="11172248" cy="72376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4DD63-AFC4-4795-8A69-C0F8A12CC97A}">
  <sheetPr>
    <outlinePr summaryBelow="0"/>
    <pageSetUpPr autoPageBreaks="0"/>
  </sheetPr>
  <dimension ref="A1:E31"/>
  <sheetViews>
    <sheetView showGridLines="0" tabSelected="1" defaultGridColor="0" colorId="22" zoomScaleNormal="95" zoomScaleSheetLayoutView="75" workbookViewId="0">
      <pane ySplit="1" topLeftCell="A2" activePane="bottomLeft" state="frozen"/>
      <selection pane="bottomLeft"/>
    </sheetView>
  </sheetViews>
  <sheetFormatPr defaultColWidth="12.53125" defaultRowHeight="14.25" x14ac:dyDescent="0.45"/>
  <cols>
    <col min="1" max="1" width="28.796875" style="378" customWidth="1"/>
    <col min="2" max="3" width="79.19921875" style="378" customWidth="1"/>
    <col min="4" max="4" width="14.46484375" style="378" customWidth="1"/>
    <col min="5" max="5" width="15" style="378" customWidth="1"/>
    <col min="6" max="16384" width="12.53125" style="378"/>
  </cols>
  <sheetData>
    <row r="1" spans="1:4" ht="69.75" customHeight="1" x14ac:dyDescent="0.9">
      <c r="C1" s="379" t="s">
        <v>358</v>
      </c>
    </row>
    <row r="2" spans="1:4" ht="7.5" customHeight="1" x14ac:dyDescent="0.45"/>
    <row r="3" spans="1:4" ht="21" x14ac:dyDescent="0.65">
      <c r="A3" s="380" t="s">
        <v>359</v>
      </c>
      <c r="D3" s="381"/>
    </row>
    <row r="4" spans="1:4" ht="6" customHeight="1" x14ac:dyDescent="0.45"/>
    <row r="5" spans="1:4" x14ac:dyDescent="0.45">
      <c r="A5" s="378" t="s">
        <v>360</v>
      </c>
      <c r="B5" s="378" t="s">
        <v>358</v>
      </c>
    </row>
    <row r="6" spans="1:4" x14ac:dyDescent="0.45">
      <c r="A6" s="378" t="s">
        <v>361</v>
      </c>
      <c r="B6" s="378" t="s">
        <v>362</v>
      </c>
      <c r="D6" s="382"/>
    </row>
    <row r="8" spans="1:4" x14ac:dyDescent="0.45">
      <c r="A8" s="378" t="s">
        <v>363</v>
      </c>
      <c r="B8" s="378" t="s">
        <v>364</v>
      </c>
    </row>
    <row r="10" spans="1:4" ht="21" x14ac:dyDescent="0.65">
      <c r="A10" s="380" t="s">
        <v>365</v>
      </c>
    </row>
    <row r="12" spans="1:4" ht="18" x14ac:dyDescent="0.55000000000000004">
      <c r="A12" s="383" t="s">
        <v>366</v>
      </c>
      <c r="B12" s="383" t="s">
        <v>367</v>
      </c>
      <c r="C12" s="384"/>
    </row>
    <row r="13" spans="1:4" x14ac:dyDescent="0.45">
      <c r="A13" s="378" t="s">
        <v>365</v>
      </c>
      <c r="B13" s="378" t="s">
        <v>368</v>
      </c>
    </row>
    <row r="14" spans="1:4" x14ac:dyDescent="0.45">
      <c r="A14" s="378" t="s">
        <v>0</v>
      </c>
      <c r="B14" s="378" t="s">
        <v>369</v>
      </c>
    </row>
    <row r="15" spans="1:4" ht="5.25" customHeight="1" x14ac:dyDescent="0.45"/>
    <row r="16" spans="1:4" x14ac:dyDescent="0.45">
      <c r="A16" s="385" t="s">
        <v>370</v>
      </c>
      <c r="B16" s="385"/>
    </row>
    <row r="17" spans="1:5" x14ac:dyDescent="0.45">
      <c r="A17" s="378" t="s">
        <v>3</v>
      </c>
      <c r="B17" s="378" t="s">
        <v>444</v>
      </c>
    </row>
    <row r="18" spans="1:5" x14ac:dyDescent="0.45">
      <c r="A18" s="378" t="s">
        <v>106</v>
      </c>
      <c r="B18" s="378" t="s">
        <v>445</v>
      </c>
    </row>
    <row r="19" spans="1:5" x14ac:dyDescent="0.45">
      <c r="A19" s="378" t="s">
        <v>371</v>
      </c>
      <c r="B19" s="378" t="s">
        <v>372</v>
      </c>
    </row>
    <row r="20" spans="1:5" x14ac:dyDescent="0.45">
      <c r="A20" s="378" t="s">
        <v>373</v>
      </c>
      <c r="B20" s="378" t="s">
        <v>374</v>
      </c>
    </row>
    <row r="21" spans="1:5" x14ac:dyDescent="0.45">
      <c r="A21" s="378" t="s">
        <v>375</v>
      </c>
      <c r="B21" s="378" t="s">
        <v>376</v>
      </c>
    </row>
    <row r="22" spans="1:5" x14ac:dyDescent="0.45">
      <c r="A22" s="378" t="s">
        <v>377</v>
      </c>
      <c r="B22" s="378" t="s">
        <v>378</v>
      </c>
    </row>
    <row r="23" spans="1:5" x14ac:dyDescent="0.45">
      <c r="A23" s="378" t="s">
        <v>379</v>
      </c>
      <c r="B23" s="378" t="s">
        <v>380</v>
      </c>
    </row>
    <row r="24" spans="1:5" x14ac:dyDescent="0.45">
      <c r="A24" s="378" t="s">
        <v>241</v>
      </c>
      <c r="B24" s="378" t="s">
        <v>381</v>
      </c>
    </row>
    <row r="25" spans="1:5" x14ac:dyDescent="0.45">
      <c r="A25" s="378" t="s">
        <v>382</v>
      </c>
      <c r="B25" s="378" t="s">
        <v>383</v>
      </c>
    </row>
    <row r="26" spans="1:5" x14ac:dyDescent="0.45">
      <c r="A26" s="378" t="s">
        <v>384</v>
      </c>
      <c r="B26" s="378" t="s">
        <v>385</v>
      </c>
    </row>
    <row r="27" spans="1:5" x14ac:dyDescent="0.45">
      <c r="A27" s="378" t="s">
        <v>386</v>
      </c>
      <c r="B27" s="378" t="s">
        <v>387</v>
      </c>
    </row>
    <row r="28" spans="1:5" x14ac:dyDescent="0.45">
      <c r="A28" s="378" t="s">
        <v>388</v>
      </c>
      <c r="B28" s="378" t="s">
        <v>389</v>
      </c>
    </row>
    <row r="30" spans="1:5" ht="21" x14ac:dyDescent="0.45">
      <c r="A30" s="386" t="s">
        <v>390</v>
      </c>
    </row>
    <row r="31" spans="1:5" ht="236.25" customHeight="1" x14ac:dyDescent="0.45">
      <c r="A31" s="388" t="s">
        <v>391</v>
      </c>
      <c r="B31" s="388"/>
      <c r="C31" s="388"/>
      <c r="D31" s="388"/>
      <c r="E31" s="388"/>
    </row>
  </sheetData>
  <mergeCells count="1">
    <mergeCell ref="A31:E31"/>
  </mergeCells>
  <pageMargins left="0.70866141732283472" right="0.70866141732283472" top="0.51181102362204722" bottom="0.51181102362204722" header="0.51181102362204722" footer="0.35433070866141736"/>
  <pageSetup paperSize="9" orientation="landscape" horizontalDpi="4294967292" verticalDpi="4294967292" r:id="rId1"/>
  <headerFooter alignWithMargins="0">
    <oddFooter>&amp;L&amp;A :page&amp;P&amp;COfcom Confidential&amp;R&amp;D</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F09B66-A783-4305-9FD4-0FD0F9D7D8F5}">
  <sheetPr codeName="Sheet10">
    <pageSetUpPr fitToPage="1"/>
  </sheetPr>
  <dimension ref="A1:P59"/>
  <sheetViews>
    <sheetView zoomScale="89" zoomScaleNormal="89" workbookViewId="0"/>
  </sheetViews>
  <sheetFormatPr defaultColWidth="8.796875" defaultRowHeight="14.25" x14ac:dyDescent="0.45"/>
  <cols>
    <col min="1" max="1" width="17.796875" customWidth="1"/>
    <col min="3" max="3" width="10.59765625" customWidth="1"/>
    <col min="4" max="12" width="12.265625" customWidth="1"/>
    <col min="15" max="15" width="9.265625" customWidth="1"/>
    <col min="16" max="23" width="9.59765625" customWidth="1"/>
  </cols>
  <sheetData>
    <row r="1" spans="1:14" ht="21" x14ac:dyDescent="0.65">
      <c r="A1" s="83" t="s">
        <v>149</v>
      </c>
    </row>
    <row r="2" spans="1:14" ht="8.25" customHeight="1" x14ac:dyDescent="0.45"/>
    <row r="3" spans="1:14" ht="18" x14ac:dyDescent="0.55000000000000004">
      <c r="A3" s="7" t="s">
        <v>150</v>
      </c>
    </row>
    <row r="4" spans="1:14" ht="9" customHeight="1" x14ac:dyDescent="0.45"/>
    <row r="5" spans="1:14" x14ac:dyDescent="0.45">
      <c r="A5" s="79" t="s">
        <v>151</v>
      </c>
      <c r="B5" s="79" t="str">
        <f>'Input data'!C30</f>
        <v>Units</v>
      </c>
      <c r="D5" s="65" t="s">
        <v>92</v>
      </c>
      <c r="E5" s="65" t="s">
        <v>93</v>
      </c>
      <c r="F5" s="65" t="s">
        <v>51</v>
      </c>
      <c r="H5" s="28"/>
      <c r="I5" s="28"/>
    </row>
    <row r="6" spans="1:14" x14ac:dyDescent="0.45">
      <c r="A6" s="28" t="str">
        <f>'Input data'!A32</f>
        <v>Lead-ins</v>
      </c>
      <c r="B6" s="28" t="str">
        <f>'Input data'!C32</f>
        <v>kms</v>
      </c>
      <c r="D6" s="86">
        <f>'Input data'!E32</f>
        <v>108451.31080010424</v>
      </c>
      <c r="E6" s="86">
        <f>'Input data'!F32</f>
        <v>113182.21023988165</v>
      </c>
      <c r="F6" s="86">
        <f>'Input data'!G32</f>
        <v>90939.157591115814</v>
      </c>
      <c r="G6" s="28"/>
      <c r="H6" s="28"/>
      <c r="I6" s="28"/>
    </row>
    <row r="7" spans="1:14" x14ac:dyDescent="0.45">
      <c r="A7" s="28" t="str">
        <f>'Input data'!A33</f>
        <v>Spine duct – single bore</v>
      </c>
      <c r="B7" s="28" t="str">
        <f>'Input data'!C33</f>
        <v>kms</v>
      </c>
      <c r="D7" s="86">
        <f>'Input data'!E33</f>
        <v>285536.68009643612</v>
      </c>
      <c r="E7" s="86">
        <f>'Input data'!F33</f>
        <v>417195.63958633947</v>
      </c>
      <c r="F7" s="86">
        <f>'Input data'!G33</f>
        <v>430290.57063175144</v>
      </c>
      <c r="H7" s="28"/>
      <c r="I7" s="28"/>
    </row>
    <row r="8" spans="1:14" x14ac:dyDescent="0.45">
      <c r="A8" s="28" t="str">
        <f>'Input data'!A34</f>
        <v>Spine duct – 2 bores</v>
      </c>
      <c r="B8" s="28" t="str">
        <f>'Input data'!C34</f>
        <v>kms</v>
      </c>
      <c r="D8" s="86">
        <f>'Input data'!E34</f>
        <v>61989.499747717033</v>
      </c>
      <c r="E8" s="86">
        <f>'Input data'!F34</f>
        <v>53377.6102691653</v>
      </c>
      <c r="F8" s="86">
        <f>'Input data'!G34</f>
        <v>72358.418892454385</v>
      </c>
      <c r="H8" s="28"/>
      <c r="I8" s="28"/>
    </row>
    <row r="9" spans="1:14" x14ac:dyDescent="0.45">
      <c r="A9" s="28" t="str">
        <f>'Input data'!A35</f>
        <v>Spine duct – 3+ bores</v>
      </c>
      <c r="B9" s="28" t="str">
        <f>'Input data'!C35</f>
        <v>kms</v>
      </c>
      <c r="D9" s="86">
        <f>'Input data'!E35</f>
        <v>62204.433199120969</v>
      </c>
      <c r="E9" s="86">
        <f>'Input data'!F35</f>
        <v>54831.7939380143</v>
      </c>
      <c r="F9" s="86">
        <f>'Input data'!G35</f>
        <v>50666.730123942034</v>
      </c>
      <c r="H9" s="28"/>
      <c r="I9" s="28"/>
    </row>
    <row r="10" spans="1:14" x14ac:dyDescent="0.45">
      <c r="A10" s="28" t="str">
        <f>'Input data'!A36</f>
        <v>Joint boxes</v>
      </c>
      <c r="B10" s="28" t="str">
        <f>'Input data'!C36</f>
        <v>units</v>
      </c>
      <c r="D10" s="86">
        <f>'Input data'!E36</f>
        <v>7739610.3417109717</v>
      </c>
      <c r="E10" s="86">
        <f>'Input data'!F36</f>
        <v>5835754.5796198752</v>
      </c>
      <c r="F10" s="86">
        <f>'Input data'!G36</f>
        <v>8018331.1438497743</v>
      </c>
      <c r="H10" s="28"/>
      <c r="I10" s="28"/>
    </row>
    <row r="11" spans="1:14" x14ac:dyDescent="0.45">
      <c r="A11" s="28" t="str">
        <f>'Input data'!A37</f>
        <v>Manholes</v>
      </c>
      <c r="B11" s="28" t="str">
        <f>'Input data'!C37</f>
        <v>units</v>
      </c>
      <c r="D11" s="86">
        <f>'Input data'!E37</f>
        <v>196164.26722301039</v>
      </c>
      <c r="E11" s="86">
        <f>'Input data'!F37</f>
        <v>181023.11618585562</v>
      </c>
      <c r="F11" s="86">
        <f>'Input data'!G37</f>
        <v>253916.23590253637</v>
      </c>
      <c r="H11" s="28"/>
      <c r="I11" s="28"/>
    </row>
    <row r="13" spans="1:14" x14ac:dyDescent="0.45">
      <c r="A13" s="66" t="s">
        <v>152</v>
      </c>
      <c r="C13" s="28"/>
      <c r="D13" s="65" t="str">
        <f>'Parameters and Assumptions'!D61</f>
        <v>2022/23</v>
      </c>
      <c r="E13" s="65" t="str">
        <f>'Parameters and Assumptions'!E61</f>
        <v>2023/24</v>
      </c>
      <c r="F13" s="65" t="str">
        <f>'Parameters and Assumptions'!F61</f>
        <v>2024/25</v>
      </c>
      <c r="G13" s="65" t="str">
        <f>'Parameters and Assumptions'!G61</f>
        <v>2025/26</v>
      </c>
      <c r="H13" s="65" t="str">
        <f>'Parameters and Assumptions'!H61</f>
        <v>2026/27</v>
      </c>
      <c r="I13" s="65" t="str">
        <f>'Parameters and Assumptions'!I61</f>
        <v>2027/28</v>
      </c>
      <c r="J13" s="65" t="str">
        <f>'Parameters and Assumptions'!J61</f>
        <v>2028/29</v>
      </c>
      <c r="K13" s="65" t="str">
        <f>'Parameters and Assumptions'!K61</f>
        <v>2029/30</v>
      </c>
      <c r="L13" s="65" t="str">
        <f>'Parameters and Assumptions'!L61</f>
        <v>2030/31</v>
      </c>
    </row>
    <row r="14" spans="1:14" x14ac:dyDescent="0.45">
      <c r="A14" s="28" t="str">
        <f t="shared" ref="A14:A19" si="0">A6</f>
        <v>Lead-ins</v>
      </c>
      <c r="B14" s="28"/>
      <c r="C14" s="28"/>
      <c r="D14" s="262">
        <f>D15</f>
        <v>9.8546030718917876E-3</v>
      </c>
      <c r="E14" s="262">
        <f t="shared" ref="E14:L14" si="1">E15</f>
        <v>9.3923819446914969E-3</v>
      </c>
      <c r="F14" s="262">
        <f t="shared" si="1"/>
        <v>8.3982098770378766E-3</v>
      </c>
      <c r="G14" s="262">
        <f t="shared" si="1"/>
        <v>7.2079809652807469E-3</v>
      </c>
      <c r="H14" s="262">
        <f t="shared" si="1"/>
        <v>5.3811581252429797E-3</v>
      </c>
      <c r="I14" s="262">
        <f t="shared" si="1"/>
        <v>3.4183761951236402E-3</v>
      </c>
      <c r="J14" s="262">
        <f t="shared" si="1"/>
        <v>2.8031455430743701E-3</v>
      </c>
      <c r="K14" s="262">
        <f t="shared" si="1"/>
        <v>2.9766443446384017E-3</v>
      </c>
      <c r="L14" s="262">
        <f t="shared" si="1"/>
        <v>2.9678102291041952E-3</v>
      </c>
      <c r="N14" s="363" t="s">
        <v>153</v>
      </c>
    </row>
    <row r="15" spans="1:14" x14ac:dyDescent="0.45">
      <c r="A15" s="28" t="str">
        <f t="shared" si="0"/>
        <v>Spine duct – single bore</v>
      </c>
      <c r="B15" s="28"/>
      <c r="C15" s="28"/>
      <c r="D15" s="41">
        <f>INDEX('Parameters and Assumptions'!$D$62:$L$66,MATCH($A15,'Parameters and Assumptions'!$B$62:$B$66,0),MATCH(D$13,'Parameters and Assumptions'!$D$61:$L$61,0))</f>
        <v>9.8546030718917876E-3</v>
      </c>
      <c r="E15" s="41">
        <f>INDEX('Parameters and Assumptions'!$D$62:$L$66,MATCH($A15,'Parameters and Assumptions'!$B$62:$B$66,0),MATCH(E$13,'Parameters and Assumptions'!$D$61:$L$61,0))</f>
        <v>9.3923819446914969E-3</v>
      </c>
      <c r="F15" s="41">
        <f>INDEX('Parameters and Assumptions'!$D$62:$L$66,MATCH($A15,'Parameters and Assumptions'!$B$62:$B$66,0),MATCH(F$13,'Parameters and Assumptions'!$D$61:$L$61,0))</f>
        <v>8.3982098770378766E-3</v>
      </c>
      <c r="G15" s="41">
        <f>INDEX('Parameters and Assumptions'!$D$62:$L$66,MATCH($A15,'Parameters and Assumptions'!$B$62:$B$66,0),MATCH(G$13,'Parameters and Assumptions'!$D$61:$L$61,0))</f>
        <v>7.2079809652807469E-3</v>
      </c>
      <c r="H15" s="41">
        <f>INDEX('Parameters and Assumptions'!$D$62:$L$66,MATCH($A15,'Parameters and Assumptions'!$B$62:$B$66,0),MATCH(H$13,'Parameters and Assumptions'!$D$61:$L$61,0))</f>
        <v>5.3811581252429797E-3</v>
      </c>
      <c r="I15" s="41">
        <f>INDEX('Parameters and Assumptions'!$D$62:$L$66,MATCH($A15,'Parameters and Assumptions'!$B$62:$B$66,0),MATCH(I$13,'Parameters and Assumptions'!$D$61:$L$61,0))</f>
        <v>3.4183761951236402E-3</v>
      </c>
      <c r="J15" s="41">
        <f>INDEX('Parameters and Assumptions'!$D$62:$L$66,MATCH($A15,'Parameters and Assumptions'!$B$62:$B$66,0),MATCH(J$13,'Parameters and Assumptions'!$D$61:$L$61,0))</f>
        <v>2.8031455430743701E-3</v>
      </c>
      <c r="K15" s="41">
        <f>INDEX('Parameters and Assumptions'!$D$62:$L$66,MATCH($A15,'Parameters and Assumptions'!$B$62:$B$66,0),MATCH(K$13,'Parameters and Assumptions'!$D$61:$L$61,0))</f>
        <v>2.9766443446384017E-3</v>
      </c>
      <c r="L15" s="41">
        <f>INDEX('Parameters and Assumptions'!$D$62:$L$66,MATCH($A15,'Parameters and Assumptions'!$B$62:$B$66,0),MATCH(L$13,'Parameters and Assumptions'!$D$61:$L$61,0))</f>
        <v>2.9678102291041952E-3</v>
      </c>
    </row>
    <row r="16" spans="1:14" x14ac:dyDescent="0.45">
      <c r="A16" s="28" t="str">
        <f t="shared" si="0"/>
        <v>Spine duct – 2 bores</v>
      </c>
      <c r="B16" s="28"/>
      <c r="C16" s="28"/>
      <c r="D16" s="41">
        <f>INDEX('Parameters and Assumptions'!$D$62:$L$66,MATCH($A16,'Parameters and Assumptions'!$B$62:$B$66,0),MATCH(D$13,'Parameters and Assumptions'!$D$61:$L$61,0))</f>
        <v>2.7481799263040507E-4</v>
      </c>
      <c r="E16" s="41">
        <f>INDEX('Parameters and Assumptions'!$D$62:$L$66,MATCH($A16,'Parameters and Assumptions'!$B$62:$B$66,0),MATCH(E$13,'Parameters and Assumptions'!$D$61:$L$61,0))</f>
        <v>2.0322155331231606E-4</v>
      </c>
      <c r="F16" s="41">
        <f>INDEX('Parameters and Assumptions'!$D$62:$L$66,MATCH($A16,'Parameters and Assumptions'!$B$62:$B$66,0),MATCH(F$13,'Parameters and Assumptions'!$D$61:$L$61,0))</f>
        <v>9.4109814252396617E-5</v>
      </c>
      <c r="G16" s="41">
        <f>INDEX('Parameters and Assumptions'!$D$62:$L$66,MATCH($A16,'Parameters and Assumptions'!$B$62:$B$66,0),MATCH(G$13,'Parameters and Assumptions'!$D$61:$L$61,0))</f>
        <v>5.0350030374568533E-5</v>
      </c>
      <c r="H16" s="41">
        <f>INDEX('Parameters and Assumptions'!$D$62:$L$66,MATCH($A16,'Parameters and Assumptions'!$B$62:$B$66,0),MATCH(H$13,'Parameters and Assumptions'!$D$61:$L$61,0))</f>
        <v>3.7919921040296956E-5</v>
      </c>
      <c r="I16" s="41">
        <f>INDEX('Parameters and Assumptions'!$D$62:$L$66,MATCH($A16,'Parameters and Assumptions'!$B$62:$B$66,0),MATCH(I$13,'Parameters and Assumptions'!$D$61:$L$61,0))</f>
        <v>3.4186804993785458E-5</v>
      </c>
      <c r="J16" s="41">
        <f>INDEX('Parameters and Assumptions'!$D$62:$L$66,MATCH($A16,'Parameters and Assumptions'!$B$62:$B$66,0),MATCH(J$13,'Parameters and Assumptions'!$D$61:$L$61,0))</f>
        <v>3.6014776044979158E-5</v>
      </c>
      <c r="K16" s="41">
        <f>INDEX('Parameters and Assumptions'!$D$62:$L$66,MATCH($A16,'Parameters and Assumptions'!$B$62:$B$66,0),MATCH(K$13,'Parameters and Assumptions'!$D$61:$L$61,0))</f>
        <v>3.5374905089868847E-5</v>
      </c>
      <c r="L16" s="41">
        <f>INDEX('Parameters and Assumptions'!$D$62:$L$66,MATCH($A16,'Parameters and Assumptions'!$B$62:$B$66,0),MATCH(L$13,'Parameters and Assumptions'!$D$61:$L$61,0))</f>
        <v>3.537365375017032E-5</v>
      </c>
    </row>
    <row r="17" spans="1:16" x14ac:dyDescent="0.45">
      <c r="A17" s="28" t="str">
        <f t="shared" si="0"/>
        <v>Spine duct – 3+ bores</v>
      </c>
      <c r="B17" s="28"/>
      <c r="C17" s="28"/>
      <c r="D17" s="41">
        <f>INDEX('Parameters and Assumptions'!$D$62:$L$66,MATCH($A17,'Parameters and Assumptions'!$B$62:$B$66,0),MATCH(D$13,'Parameters and Assumptions'!$D$61:$L$61,0))</f>
        <v>2.3525561327897293E-5</v>
      </c>
      <c r="E17" s="41">
        <f>INDEX('Parameters and Assumptions'!$D$62:$L$66,MATCH($A17,'Parameters and Assumptions'!$B$62:$B$66,0),MATCH(E$13,'Parameters and Assumptions'!$D$61:$L$61,0))</f>
        <v>1.8579477446989401E-5</v>
      </c>
      <c r="F17" s="41">
        <f>INDEX('Parameters and Assumptions'!$D$62:$L$66,MATCH($A17,'Parameters and Assumptions'!$B$62:$B$66,0),MATCH(F$13,'Parameters and Assumptions'!$D$61:$L$61,0))</f>
        <v>9.2576537911170931E-6</v>
      </c>
      <c r="G17" s="41">
        <f>INDEX('Parameters and Assumptions'!$D$62:$L$66,MATCH($A17,'Parameters and Assumptions'!$B$62:$B$66,0),MATCH(G$13,'Parameters and Assumptions'!$D$61:$L$61,0))</f>
        <v>4.9613186836605649E-6</v>
      </c>
      <c r="H17" s="41">
        <f>INDEX('Parameters and Assumptions'!$D$62:$L$66,MATCH($A17,'Parameters and Assumptions'!$B$62:$B$66,0),MATCH(H$13,'Parameters and Assumptions'!$D$61:$L$61,0))</f>
        <v>4.9686030620943455E-6</v>
      </c>
      <c r="I17" s="41">
        <f>INDEX('Parameters and Assumptions'!$D$62:$L$66,MATCH($A17,'Parameters and Assumptions'!$B$62:$B$66,0),MATCH(I$13,'Parameters and Assumptions'!$D$61:$L$61,0))</f>
        <v>5.1253942279227971E-6</v>
      </c>
      <c r="J17" s="41">
        <f>INDEX('Parameters and Assumptions'!$D$62:$L$66,MATCH($A17,'Parameters and Assumptions'!$B$62:$B$66,0),MATCH(J$13,'Parameters and Assumptions'!$D$61:$L$61,0))</f>
        <v>5.5197535782092189E-6</v>
      </c>
      <c r="K17" s="41">
        <f>INDEX('Parameters and Assumptions'!$D$62:$L$66,MATCH($A17,'Parameters and Assumptions'!$B$62:$B$66,0),MATCH(K$13,'Parameters and Assumptions'!$D$61:$L$61,0))</f>
        <v>5.6851296008630925E-6</v>
      </c>
      <c r="L17" s="41">
        <f>INDEX('Parameters and Assumptions'!$D$62:$L$66,MATCH($A17,'Parameters and Assumptions'!$B$62:$B$66,0),MATCH(L$13,'Parameters and Assumptions'!$D$61:$L$61,0))</f>
        <v>5.6850972804944888E-6</v>
      </c>
    </row>
    <row r="18" spans="1:16" x14ac:dyDescent="0.45">
      <c r="A18" s="28" t="str">
        <f t="shared" si="0"/>
        <v>Joint boxes</v>
      </c>
      <c r="B18" s="28"/>
      <c r="C18" s="28"/>
      <c r="D18" s="41">
        <f>INDEX('Parameters and Assumptions'!$D$62:$L$66,MATCH($A18,'Parameters and Assumptions'!$B$62:$B$66,0),MATCH(D$13,'Parameters and Assumptions'!$D$61:$L$61,0))</f>
        <v>4.166142299737885E-3</v>
      </c>
      <c r="E18" s="41">
        <f>INDEX('Parameters and Assumptions'!$D$62:$L$66,MATCH($A18,'Parameters and Assumptions'!$B$62:$B$66,0),MATCH(E$13,'Parameters and Assumptions'!$D$61:$L$61,0))</f>
        <v>3.7335395695996532E-3</v>
      </c>
      <c r="F18" s="41">
        <f>INDEX('Parameters and Assumptions'!$D$62:$L$66,MATCH($A18,'Parameters and Assumptions'!$B$62:$B$66,0),MATCH(F$13,'Parameters and Assumptions'!$D$61:$L$61,0))</f>
        <v>4.773744014447745E-3</v>
      </c>
      <c r="G18" s="41">
        <f>INDEX('Parameters and Assumptions'!$D$62:$L$66,MATCH($A18,'Parameters and Assumptions'!$B$62:$B$66,0),MATCH(G$13,'Parameters and Assumptions'!$D$61:$L$61,0))</f>
        <v>5.6972193071702648E-3</v>
      </c>
      <c r="H18" s="41">
        <f>INDEX('Parameters and Assumptions'!$D$62:$L$66,MATCH($A18,'Parameters and Assumptions'!$B$62:$B$66,0),MATCH(H$13,'Parameters and Assumptions'!$D$61:$L$61,0))</f>
        <v>4.3413240501768424E-3</v>
      </c>
      <c r="I18" s="41">
        <f>INDEX('Parameters and Assumptions'!$D$62:$L$66,MATCH($A18,'Parameters and Assumptions'!$B$62:$B$66,0),MATCH(I$13,'Parameters and Assumptions'!$D$61:$L$61,0))</f>
        <v>3.1691423549138342E-3</v>
      </c>
      <c r="J18" s="41">
        <f>INDEX('Parameters and Assumptions'!$D$62:$L$66,MATCH($A18,'Parameters and Assumptions'!$B$62:$B$66,0),MATCH(J$13,'Parameters and Assumptions'!$D$61:$L$61,0))</f>
        <v>2.8176715554655285E-3</v>
      </c>
      <c r="K18" s="41">
        <f>INDEX('Parameters and Assumptions'!$D$62:$L$66,MATCH($A18,'Parameters and Assumptions'!$B$62:$B$66,0),MATCH(K$13,'Parameters and Assumptions'!$D$61:$L$61,0))</f>
        <v>2.8207376939053397E-3</v>
      </c>
      <c r="L18" s="41">
        <f>INDEX('Parameters and Assumptions'!$D$62:$L$66,MATCH($A18,'Parameters and Assumptions'!$B$62:$B$66,0),MATCH(L$13,'Parameters and Assumptions'!$D$61:$L$61,0))</f>
        <v>2.8128035130106088E-3</v>
      </c>
    </row>
    <row r="19" spans="1:16" x14ac:dyDescent="0.45">
      <c r="A19" s="28" t="str">
        <f t="shared" si="0"/>
        <v>Manholes</v>
      </c>
      <c r="B19" s="28"/>
      <c r="C19" s="28"/>
      <c r="D19" s="41">
        <f>INDEX('Parameters and Assumptions'!$D$62:$L$66,MATCH($A19,'Parameters and Assumptions'!$B$62:$B$66,0),MATCH(D$13,'Parameters and Assumptions'!$D$61:$L$61,0))</f>
        <v>0</v>
      </c>
      <c r="E19" s="41">
        <f>INDEX('Parameters and Assumptions'!$D$62:$L$66,MATCH($A19,'Parameters and Assumptions'!$B$62:$B$66,0),MATCH(E$13,'Parameters and Assumptions'!$D$61:$L$61,0))</f>
        <v>0</v>
      </c>
      <c r="F19" s="41">
        <f>INDEX('Parameters and Assumptions'!$D$62:$L$66,MATCH($A19,'Parameters and Assumptions'!$B$62:$B$66,0),MATCH(F$13,'Parameters and Assumptions'!$D$61:$L$61,0))</f>
        <v>0</v>
      </c>
      <c r="G19" s="41">
        <f>INDEX('Parameters and Assumptions'!$D$62:$L$66,MATCH($A19,'Parameters and Assumptions'!$B$62:$B$66,0),MATCH(G$13,'Parameters and Assumptions'!$D$61:$L$61,0))</f>
        <v>0</v>
      </c>
      <c r="H19" s="41">
        <f>INDEX('Parameters and Assumptions'!$D$62:$L$66,MATCH($A19,'Parameters and Assumptions'!$B$62:$B$66,0),MATCH(H$13,'Parameters and Assumptions'!$D$61:$L$61,0))</f>
        <v>0</v>
      </c>
      <c r="I19" s="41">
        <f>INDEX('Parameters and Assumptions'!$D$62:$L$66,MATCH($A19,'Parameters and Assumptions'!$B$62:$B$66,0),MATCH(I$13,'Parameters and Assumptions'!$D$61:$L$61,0))</f>
        <v>0</v>
      </c>
      <c r="J19" s="41">
        <f>INDEX('Parameters and Assumptions'!$D$62:$L$66,MATCH($A19,'Parameters and Assumptions'!$B$62:$B$66,0),MATCH(J$13,'Parameters and Assumptions'!$D$61:$L$61,0))</f>
        <v>0</v>
      </c>
      <c r="K19" s="41">
        <f>INDEX('Parameters and Assumptions'!$D$62:$L$66,MATCH($A19,'Parameters and Assumptions'!$B$62:$B$66,0),MATCH(K$13,'Parameters and Assumptions'!$D$61:$L$61,0))</f>
        <v>0</v>
      </c>
      <c r="L19" s="41">
        <f>INDEX('Parameters and Assumptions'!$D$62:$L$66,MATCH($A19,'Parameters and Assumptions'!$B$62:$B$66,0),MATCH(L$13,'Parameters and Assumptions'!$D$61:$L$61,0))</f>
        <v>0</v>
      </c>
    </row>
    <row r="20" spans="1:16" x14ac:dyDescent="0.45">
      <c r="A20" s="28"/>
      <c r="B20" s="28"/>
      <c r="C20" s="28"/>
    </row>
    <row r="21" spans="1:16" ht="18" x14ac:dyDescent="0.55000000000000004">
      <c r="A21" s="7" t="s">
        <v>154</v>
      </c>
    </row>
    <row r="22" spans="1:16" ht="9" customHeight="1" x14ac:dyDescent="0.5">
      <c r="A22" s="8"/>
      <c r="B22" s="8"/>
      <c r="F22" s="6"/>
    </row>
    <row r="23" spans="1:16" ht="15.75" x14ac:dyDescent="0.5">
      <c r="A23" s="8"/>
      <c r="B23" s="8"/>
      <c r="D23" s="65" t="str">
        <f>D$13</f>
        <v>2022/23</v>
      </c>
      <c r="E23" s="65" t="str">
        <f t="shared" ref="E23:L23" si="2">E$13</f>
        <v>2023/24</v>
      </c>
      <c r="F23" s="65" t="str">
        <f t="shared" si="2"/>
        <v>2024/25</v>
      </c>
      <c r="G23" s="65" t="str">
        <f t="shared" si="2"/>
        <v>2025/26</v>
      </c>
      <c r="H23" s="65" t="str">
        <f t="shared" si="2"/>
        <v>2026/27</v>
      </c>
      <c r="I23" s="65" t="str">
        <f t="shared" si="2"/>
        <v>2027/28</v>
      </c>
      <c r="J23" s="65" t="str">
        <f t="shared" si="2"/>
        <v>2028/29</v>
      </c>
      <c r="K23" s="65" t="str">
        <f t="shared" si="2"/>
        <v>2029/30</v>
      </c>
      <c r="L23" s="65" t="str">
        <f t="shared" si="2"/>
        <v>2030/31</v>
      </c>
    </row>
    <row r="24" spans="1:16" ht="15.75" x14ac:dyDescent="0.5">
      <c r="A24" s="28" t="s">
        <v>63</v>
      </c>
      <c r="B24" s="8"/>
      <c r="D24" s="99">
        <f t="shared" ref="D24:D29" si="3">AVERAGE(D6, D6/(1+D14))</f>
        <v>107922.15312863828</v>
      </c>
      <c r="E24" s="364">
        <f t="shared" ref="E24:F29" si="4">IF(E$23&lt;=selected_year, AVERAGE(D6:E6), D24*(1+E14))</f>
        <v>110816.76051999294</v>
      </c>
      <c r="F24" s="364">
        <f>IF(F$23&lt;=selected_year, AVERAGE(E6:F6), E24*(1+F14))</f>
        <v>102060.68391549872</v>
      </c>
      <c r="G24" s="260">
        <f>F24*(1+G14)</f>
        <v>102796.33538246517</v>
      </c>
      <c r="H24" s="260">
        <f t="shared" ref="G24:L29" si="5">G24*(1+H14)</f>
        <v>103349.49871785373</v>
      </c>
      <c r="I24" s="260">
        <f t="shared" si="5"/>
        <v>103702.7861840488</v>
      </c>
      <c r="J24" s="260">
        <f t="shared" si="5"/>
        <v>103993.48018694502</v>
      </c>
      <c r="K24" s="260">
        <f t="shared" si="5"/>
        <v>104303.03179162275</v>
      </c>
      <c r="L24" s="260">
        <f>K24*(1+L14)</f>
        <v>104612.58339630051</v>
      </c>
      <c r="O24" s="375"/>
      <c r="P24" s="375"/>
    </row>
    <row r="25" spans="1:16" ht="15.75" x14ac:dyDescent="0.5">
      <c r="A25" s="28" t="str">
        <f>A7</f>
        <v>Spine duct – single bore</v>
      </c>
      <c r="B25" s="8"/>
      <c r="D25" s="99">
        <f t="shared" si="3"/>
        <v>284143.48416691483</v>
      </c>
      <c r="E25" s="364">
        <f t="shared" si="4"/>
        <v>351366.15984138777</v>
      </c>
      <c r="F25" s="364">
        <f t="shared" si="4"/>
        <v>423743.10510904546</v>
      </c>
      <c r="G25" s="260">
        <f t="shared" si="5"/>
        <v>426797.43734484044</v>
      </c>
      <c r="H25" s="260">
        <f t="shared" si="5"/>
        <v>429094.10184264148</v>
      </c>
      <c r="I25" s="260">
        <f t="shared" si="5"/>
        <v>430560.9069058483</v>
      </c>
      <c r="J25" s="260">
        <f t="shared" si="5"/>
        <v>431767.83179306349</v>
      </c>
      <c r="K25" s="260">
        <f t="shared" si="5"/>
        <v>433053.05106776708</v>
      </c>
      <c r="L25" s="260">
        <f t="shared" si="5"/>
        <v>434338.27034247079</v>
      </c>
    </row>
    <row r="26" spans="1:16" ht="15.75" x14ac:dyDescent="0.5">
      <c r="A26" s="28" t="str">
        <f>A8</f>
        <v>Spine duct – 2 bores</v>
      </c>
      <c r="B26" s="8"/>
      <c r="D26" s="99">
        <f t="shared" si="3"/>
        <v>61980.984173007761</v>
      </c>
      <c r="E26" s="364">
        <f t="shared" si="4"/>
        <v>57683.555008441166</v>
      </c>
      <c r="F26" s="364">
        <f t="shared" si="4"/>
        <v>62868.014580809846</v>
      </c>
      <c r="G26" s="260">
        <f t="shared" si="5"/>
        <v>62871.179987253578</v>
      </c>
      <c r="H26" s="260">
        <f t="shared" si="5"/>
        <v>62873.564057434407</v>
      </c>
      <c r="I26" s="260">
        <f t="shared" si="5"/>
        <v>62875.713503708103</v>
      </c>
      <c r="J26" s="260">
        <f t="shared" si="5"/>
        <v>62877.97795844861</v>
      </c>
      <c r="K26" s="260">
        <f t="shared" si="5"/>
        <v>62880.202260951133</v>
      </c>
      <c r="L26" s="260">
        <f t="shared" si="5"/>
        <v>62882.42656345365</v>
      </c>
    </row>
    <row r="27" spans="1:16" ht="15.75" x14ac:dyDescent="0.5">
      <c r="A27" s="28" t="str">
        <f>A9</f>
        <v>Spine duct – 3+ bores</v>
      </c>
      <c r="B27" s="8"/>
      <c r="D27" s="99">
        <f t="shared" si="3"/>
        <v>62203.701519230104</v>
      </c>
      <c r="E27" s="364">
        <f t="shared" si="4"/>
        <v>58518.113568567635</v>
      </c>
      <c r="F27" s="364">
        <f t="shared" si="4"/>
        <v>52749.262030978163</v>
      </c>
      <c r="G27" s="260">
        <f t="shared" si="5"/>
        <v>52749.523736877425</v>
      </c>
      <c r="H27" s="260">
        <f t="shared" si="5"/>
        <v>52749.785828322587</v>
      </c>
      <c r="I27" s="260">
        <f t="shared" si="5"/>
        <v>52750.056191770396</v>
      </c>
      <c r="J27" s="260">
        <f t="shared" si="5"/>
        <v>52750.34735908181</v>
      </c>
      <c r="K27" s="260">
        <f t="shared" si="5"/>
        <v>52750.647251643037</v>
      </c>
      <c r="L27" s="260">
        <f t="shared" si="5"/>
        <v>52750.94714420427</v>
      </c>
    </row>
    <row r="28" spans="1:16" ht="15.75" x14ac:dyDescent="0.5">
      <c r="A28" s="28" t="str">
        <f>A10</f>
        <v>Joint boxes</v>
      </c>
      <c r="B28" s="8"/>
      <c r="D28" s="99">
        <f t="shared" si="3"/>
        <v>7723555.0712383762</v>
      </c>
      <c r="E28" s="364">
        <f t="shared" si="4"/>
        <v>6787682.4606654234</v>
      </c>
      <c r="F28" s="364">
        <f t="shared" si="4"/>
        <v>6927042.8617348243</v>
      </c>
      <c r="G28" s="260">
        <f t="shared" si="5"/>
        <v>6966507.7440682957</v>
      </c>
      <c r="H28" s="260">
        <f t="shared" si="5"/>
        <v>6996751.6116833622</v>
      </c>
      <c r="I28" s="260">
        <f t="shared" si="5"/>
        <v>7018925.3135627592</v>
      </c>
      <c r="J28" s="260">
        <f t="shared" si="5"/>
        <v>7038702.3397687217</v>
      </c>
      <c r="K28" s="260">
        <f t="shared" si="5"/>
        <v>7058556.6727746874</v>
      </c>
      <c r="L28" s="260">
        <f t="shared" si="5"/>
        <v>7078411.0057806522</v>
      </c>
    </row>
    <row r="29" spans="1:16" ht="15.75" x14ac:dyDescent="0.5">
      <c r="A29" s="28" t="str">
        <f>A11</f>
        <v>Manholes</v>
      </c>
      <c r="B29" s="8"/>
      <c r="D29" s="99">
        <f t="shared" si="3"/>
        <v>196164.26722301039</v>
      </c>
      <c r="E29" s="364">
        <f t="shared" si="4"/>
        <v>188593.691704433</v>
      </c>
      <c r="F29" s="364">
        <f t="shared" si="4"/>
        <v>217469.67604419601</v>
      </c>
      <c r="G29" s="260">
        <f t="shared" si="5"/>
        <v>217469.67604419601</v>
      </c>
      <c r="H29" s="260">
        <f t="shared" si="5"/>
        <v>217469.67604419601</v>
      </c>
      <c r="I29" s="260">
        <f t="shared" si="5"/>
        <v>217469.67604419601</v>
      </c>
      <c r="J29" s="260">
        <f t="shared" si="5"/>
        <v>217469.67604419601</v>
      </c>
      <c r="K29" s="260">
        <f t="shared" si="5"/>
        <v>217469.67604419601</v>
      </c>
      <c r="L29" s="260">
        <f t="shared" si="5"/>
        <v>217469.67604419601</v>
      </c>
    </row>
    <row r="31" spans="1:16" x14ac:dyDescent="0.45">
      <c r="A31" s="4" t="s">
        <v>155</v>
      </c>
    </row>
    <row r="33" spans="1:12" x14ac:dyDescent="0.45">
      <c r="A33" s="4" t="s">
        <v>156</v>
      </c>
      <c r="D33" s="65" t="str">
        <f>D$13</f>
        <v>2022/23</v>
      </c>
      <c r="E33" s="65" t="str">
        <f t="shared" ref="E33:L33" si="6">E$13</f>
        <v>2023/24</v>
      </c>
      <c r="F33" s="65" t="str">
        <f t="shared" si="6"/>
        <v>2024/25</v>
      </c>
      <c r="G33" s="65" t="str">
        <f t="shared" si="6"/>
        <v>2025/26</v>
      </c>
      <c r="H33" s="65" t="str">
        <f t="shared" si="6"/>
        <v>2026/27</v>
      </c>
      <c r="I33" s="65" t="str">
        <f t="shared" si="6"/>
        <v>2027/28</v>
      </c>
      <c r="J33" s="65" t="str">
        <f t="shared" si="6"/>
        <v>2028/29</v>
      </c>
      <c r="K33" s="65" t="str">
        <f t="shared" si="6"/>
        <v>2029/30</v>
      </c>
      <c r="L33" s="65" t="str">
        <f t="shared" si="6"/>
        <v>2030/31</v>
      </c>
    </row>
    <row r="34" spans="1:12" x14ac:dyDescent="0.45">
      <c r="A34" t="s">
        <v>157</v>
      </c>
      <c r="D34" s="262" cm="1">
        <f t="array" ref="D34:L34">asset_inflation</f>
        <v>0.12873938663127604</v>
      </c>
      <c r="E34" s="262">
        <v>7.4787643228200862E-2</v>
      </c>
      <c r="F34" s="262">
        <v>3.3025740878852572E-2</v>
      </c>
      <c r="G34" s="262">
        <v>4.5646370047441875E-2</v>
      </c>
      <c r="H34" s="262">
        <v>0.03</v>
      </c>
      <c r="I34" s="262">
        <v>0.03</v>
      </c>
      <c r="J34" s="262">
        <v>0.03</v>
      </c>
      <c r="K34" s="262">
        <v>0.03</v>
      </c>
      <c r="L34" s="262">
        <v>0.03</v>
      </c>
    </row>
    <row r="36" spans="1:12" x14ac:dyDescent="0.45">
      <c r="A36" t="str">
        <f t="shared" ref="A36:A41" si="7">A24</f>
        <v>Lead-in duct</v>
      </c>
      <c r="D36" s="259">
        <f>'Input data'!E114</f>
        <v>45702.015128404702</v>
      </c>
      <c r="E36" s="365">
        <f>IF(E$33&lt;=selected_year,'Input data'!F114, D36*(1+E$34))</f>
        <v>45460.778447373792</v>
      </c>
      <c r="F36" s="365">
        <f>IF(F$33&lt;=selected_year,'Input data'!G114, E36*(1+F$34))</f>
        <v>48652.921380061918</v>
      </c>
      <c r="G36" s="207">
        <f t="shared" ref="G36:L41" si="8">F36*(1+G$34)</f>
        <v>50873.750633265321</v>
      </c>
      <c r="H36" s="207">
        <f t="shared" si="8"/>
        <v>52399.963152263284</v>
      </c>
      <c r="I36" s="207">
        <f t="shared" si="8"/>
        <v>53971.962046831184</v>
      </c>
      <c r="J36" s="207">
        <f t="shared" si="8"/>
        <v>55591.120908236124</v>
      </c>
      <c r="K36" s="207">
        <f t="shared" si="8"/>
        <v>57258.854535483209</v>
      </c>
      <c r="L36" s="207">
        <f t="shared" si="8"/>
        <v>58976.620171547707</v>
      </c>
    </row>
    <row r="37" spans="1:12" x14ac:dyDescent="0.45">
      <c r="A37" t="str">
        <f t="shared" si="7"/>
        <v>Spine duct – single bore</v>
      </c>
      <c r="D37" s="259">
        <f>'Input data'!E115</f>
        <v>44551.205124676577</v>
      </c>
      <c r="E37" s="365">
        <f>IF(E$33&lt;=selected_year,'Input data'!F115, D37*(1+E$34))</f>
        <v>55886.469570782465</v>
      </c>
      <c r="F37" s="365">
        <f>IF(F$33&lt;=selected_year,'Input data'!G115, E37*(1+F$34))</f>
        <v>64300.994805950832</v>
      </c>
      <c r="G37" s="207">
        <f t="shared" si="8"/>
        <v>67236.101809281899</v>
      </c>
      <c r="H37" s="207">
        <f t="shared" si="8"/>
        <v>69253.184863560353</v>
      </c>
      <c r="I37" s="207">
        <f t="shared" si="8"/>
        <v>71330.780409467159</v>
      </c>
      <c r="J37" s="207">
        <f t="shared" si="8"/>
        <v>73470.703821751173</v>
      </c>
      <c r="K37" s="207">
        <f t="shared" si="8"/>
        <v>75674.824936403704</v>
      </c>
      <c r="L37" s="207">
        <f t="shared" si="8"/>
        <v>77945.069684495815</v>
      </c>
    </row>
    <row r="38" spans="1:12" x14ac:dyDescent="0.45">
      <c r="A38" t="str">
        <f t="shared" si="7"/>
        <v>Spine duct – 2 bores</v>
      </c>
      <c r="D38" s="259">
        <f>'Input data'!E116</f>
        <v>72330.404915419989</v>
      </c>
      <c r="E38" s="365">
        <f>IF(E$33&lt;=selected_year,'Input data'!F116, D38*(1+E$34))</f>
        <v>82694.760058296655</v>
      </c>
      <c r="F38" s="365">
        <f>IF(F$33&lt;=selected_year,'Input data'!G116, E38*(1+F$34))</f>
        <v>71621.781524083111</v>
      </c>
      <c r="G38" s="207">
        <f t="shared" si="8"/>
        <v>74891.055866988449</v>
      </c>
      <c r="H38" s="207">
        <f t="shared" si="8"/>
        <v>77137.787542998107</v>
      </c>
      <c r="I38" s="207">
        <f t="shared" si="8"/>
        <v>79451.921169288049</v>
      </c>
      <c r="J38" s="207">
        <f t="shared" si="8"/>
        <v>81835.478804366692</v>
      </c>
      <c r="K38" s="207">
        <f t="shared" si="8"/>
        <v>84290.543168497694</v>
      </c>
      <c r="L38" s="207">
        <f t="shared" si="8"/>
        <v>86819.259463552633</v>
      </c>
    </row>
    <row r="39" spans="1:12" x14ac:dyDescent="0.45">
      <c r="A39" t="str">
        <f t="shared" si="7"/>
        <v>Spine duct – 3+ bores</v>
      </c>
      <c r="D39" s="259">
        <f>'Input data'!E117</f>
        <v>70038.445431022687</v>
      </c>
      <c r="E39" s="365">
        <f>IF(E$33&lt;=selected_year,'Input data'!F117, D39*(1+E$34))</f>
        <v>95457.763614224954</v>
      </c>
      <c r="F39" s="365">
        <f>IF(F$33&lt;=selected_year,'Input data'!G117, E39*(1+F$34))</f>
        <v>53735.160929266654</v>
      </c>
      <c r="G39" s="207">
        <f t="shared" si="8"/>
        <v>56187.975969602798</v>
      </c>
      <c r="H39" s="207">
        <f t="shared" si="8"/>
        <v>57873.615248690883</v>
      </c>
      <c r="I39" s="207">
        <f t="shared" si="8"/>
        <v>59609.823706151612</v>
      </c>
      <c r="J39" s="207">
        <f t="shared" si="8"/>
        <v>61398.118417336162</v>
      </c>
      <c r="K39" s="207">
        <f t="shared" si="8"/>
        <v>63240.061969856251</v>
      </c>
      <c r="L39" s="207">
        <f t="shared" si="8"/>
        <v>65137.263828951938</v>
      </c>
    </row>
    <row r="40" spans="1:12" x14ac:dyDescent="0.45">
      <c r="A40" t="str">
        <f t="shared" si="7"/>
        <v>Joint boxes</v>
      </c>
      <c r="D40" s="259">
        <f>'Input data'!E118</f>
        <v>720.60026896509532</v>
      </c>
      <c r="E40" s="365">
        <f>IF(E$33&lt;=selected_year,'Input data'!F118, D40*(1+E$34))</f>
        <v>767.90563015124417</v>
      </c>
      <c r="F40" s="365">
        <f>IF(F$33&lt;=selected_year,'Input data'!G118, E40*(1+F$34))</f>
        <v>736.53452551766577</v>
      </c>
      <c r="G40" s="207">
        <f t="shared" si="8"/>
        <v>770.15465302216217</v>
      </c>
      <c r="H40" s="207">
        <f t="shared" si="8"/>
        <v>793.25929261282704</v>
      </c>
      <c r="I40" s="207">
        <f t="shared" si="8"/>
        <v>817.05707139121182</v>
      </c>
      <c r="J40" s="207">
        <f t="shared" si="8"/>
        <v>841.56878353294815</v>
      </c>
      <c r="K40" s="207">
        <f t="shared" si="8"/>
        <v>866.81584703893657</v>
      </c>
      <c r="L40" s="207">
        <f t="shared" si="8"/>
        <v>892.82032245010464</v>
      </c>
    </row>
    <row r="41" spans="1:12" x14ac:dyDescent="0.45">
      <c r="A41" t="str">
        <f t="shared" si="7"/>
        <v>Manholes</v>
      </c>
      <c r="D41" s="259">
        <f>'Input data'!E119</f>
        <v>24191.495989883111</v>
      </c>
      <c r="E41" s="365">
        <f>IF(E$33&lt;=selected_year,'Input data'!F119, D41*(1+E$34))</f>
        <v>23832.662273386093</v>
      </c>
      <c r="F41" s="365">
        <f>IF(F$33&lt;=selected_year,'Input data'!G119, E41*(1+F$34))</f>
        <v>26527.056235984037</v>
      </c>
      <c r="G41" s="207">
        <f t="shared" si="8"/>
        <v>27737.920061201065</v>
      </c>
      <c r="H41" s="207">
        <f t="shared" si="8"/>
        <v>28570.057663037096</v>
      </c>
      <c r="I41" s="207">
        <f t="shared" si="8"/>
        <v>29427.15939292821</v>
      </c>
      <c r="J41" s="207">
        <f t="shared" si="8"/>
        <v>30309.974174716055</v>
      </c>
      <c r="K41" s="207">
        <f t="shared" si="8"/>
        <v>31219.273399957539</v>
      </c>
      <c r="L41" s="207">
        <f t="shared" si="8"/>
        <v>32155.851601956267</v>
      </c>
    </row>
    <row r="42" spans="1:12" x14ac:dyDescent="0.45">
      <c r="D42" s="207"/>
    </row>
    <row r="43" spans="1:12" x14ac:dyDescent="0.45">
      <c r="A43" s="4" t="s">
        <v>158</v>
      </c>
      <c r="D43" s="65" t="str">
        <f>D$13</f>
        <v>2022/23</v>
      </c>
      <c r="E43" s="65" t="str">
        <f t="shared" ref="E43:L43" si="9">E$13</f>
        <v>2023/24</v>
      </c>
      <c r="F43" s="65" t="str">
        <f t="shared" si="9"/>
        <v>2024/25</v>
      </c>
      <c r="G43" s="65" t="str">
        <f t="shared" si="9"/>
        <v>2025/26</v>
      </c>
      <c r="H43" s="65" t="str">
        <f t="shared" si="9"/>
        <v>2026/27</v>
      </c>
      <c r="I43" s="65" t="str">
        <f t="shared" si="9"/>
        <v>2027/28</v>
      </c>
      <c r="J43" s="65" t="str">
        <f t="shared" si="9"/>
        <v>2028/29</v>
      </c>
      <c r="K43" s="65" t="str">
        <f t="shared" si="9"/>
        <v>2029/30</v>
      </c>
      <c r="L43" s="65" t="str">
        <f t="shared" si="9"/>
        <v>2030/31</v>
      </c>
    </row>
    <row r="44" spans="1:12" x14ac:dyDescent="0.45">
      <c r="A44" t="str">
        <f t="shared" ref="A44:A49" si="10">A36</f>
        <v>Lead-in duct</v>
      </c>
      <c r="D44" s="208">
        <f t="shared" ref="D44:D49" si="11">D36*D24/Million</f>
        <v>4932.2598749750359</v>
      </c>
      <c r="E44" s="208">
        <f t="shared" ref="E44:J49" si="12">E36*E24/Million</f>
        <v>5037.8161982550782</v>
      </c>
      <c r="F44" s="208">
        <f t="shared" si="12"/>
        <v>4965.5504305361092</v>
      </c>
      <c r="G44" s="208">
        <f t="shared" si="12"/>
        <v>5229.6351322610417</v>
      </c>
      <c r="H44" s="208">
        <f t="shared" si="12"/>
        <v>5415.5099246204163</v>
      </c>
      <c r="I44" s="208">
        <f t="shared" si="12"/>
        <v>5597.0428400761311</v>
      </c>
      <c r="J44" s="208">
        <f t="shared" si="12"/>
        <v>5781.1141307407179</v>
      </c>
      <c r="K44" s="208">
        <f t="shared" ref="K44:L44" si="13">K36*K24/Million</f>
        <v>5972.2721249664082</v>
      </c>
      <c r="L44" s="208">
        <f t="shared" si="13"/>
        <v>6169.6965961279739</v>
      </c>
    </row>
    <row r="45" spans="1:12" x14ac:dyDescent="0.45">
      <c r="A45" t="str">
        <f t="shared" si="10"/>
        <v>Spine duct – single bore</v>
      </c>
      <c r="D45" s="208">
        <f t="shared" si="11"/>
        <v>12658.934647960514</v>
      </c>
      <c r="E45" s="208">
        <f t="shared" si="12"/>
        <v>19636.614200178406</v>
      </c>
      <c r="F45" s="208">
        <f t="shared" si="12"/>
        <v>27247.10320067421</v>
      </c>
      <c r="G45" s="208">
        <f t="shared" si="12"/>
        <v>28696.195949258305</v>
      </c>
      <c r="H45" s="208">
        <f t="shared" si="12"/>
        <v>29716.133158771841</v>
      </c>
      <c r="I45" s="208">
        <f t="shared" si="12"/>
        <v>30712.245503402097</v>
      </c>
      <c r="J45" s="208">
        <f t="shared" si="12"/>
        <v>31722.28648942785</v>
      </c>
      <c r="K45" s="208">
        <f t="shared" ref="K45:L45" si="14">K37*K25/Million</f>
        <v>32771.213827728767</v>
      </c>
      <c r="L45" s="208">
        <f t="shared" si="14"/>
        <v>33854.526748487267</v>
      </c>
    </row>
    <row r="46" spans="1:12" x14ac:dyDescent="0.45">
      <c r="A46" t="str">
        <f t="shared" si="10"/>
        <v>Spine duct – 2 bores</v>
      </c>
      <c r="D46" s="208">
        <f t="shared" si="11"/>
        <v>4483.109682289889</v>
      </c>
      <c r="E46" s="208">
        <f t="shared" si="12"/>
        <v>4770.1277407325979</v>
      </c>
      <c r="F46" s="208">
        <f t="shared" si="12"/>
        <v>4502.7192051596348</v>
      </c>
      <c r="G46" s="208">
        <f t="shared" si="12"/>
        <v>4708.4890528488941</v>
      </c>
      <c r="H46" s="208">
        <f t="shared" si="12"/>
        <v>4849.9276263334568</v>
      </c>
      <c r="I46" s="208">
        <f t="shared" si="12"/>
        <v>4995.5962327593561</v>
      </c>
      <c r="J46" s="208">
        <f t="shared" si="12"/>
        <v>5145.6494324800578</v>
      </c>
      <c r="K46" s="208">
        <f t="shared" ref="K46:L46" si="15">K38*K26/Million</f>
        <v>5300.2064031205673</v>
      </c>
      <c r="L46" s="208">
        <f t="shared" si="15"/>
        <v>5459.4057075102764</v>
      </c>
    </row>
    <row r="47" spans="1:12" x14ac:dyDescent="0.45">
      <c r="A47" t="str">
        <f t="shared" si="10"/>
        <v>Spine duct – 3+ bores</v>
      </c>
      <c r="D47" s="208">
        <f t="shared" si="11"/>
        <v>4356.6505544622205</v>
      </c>
      <c r="E47" s="208">
        <f t="shared" si="12"/>
        <v>5586.0082521786999</v>
      </c>
      <c r="F47" s="208">
        <f t="shared" si="12"/>
        <v>2834.4900841346671</v>
      </c>
      <c r="G47" s="208">
        <f t="shared" si="12"/>
        <v>2963.8889721356613</v>
      </c>
      <c r="H47" s="208">
        <f t="shared" si="12"/>
        <v>3052.8208094791885</v>
      </c>
      <c r="I47" s="208">
        <f t="shared" si="12"/>
        <v>3144.4215500810246</v>
      </c>
      <c r="J47" s="208">
        <f t="shared" si="12"/>
        <v>3238.772073708521</v>
      </c>
      <c r="K47" s="208">
        <f t="shared" ref="K47:L47" si="16">K39*K27/Million</f>
        <v>3335.954201143933</v>
      </c>
      <c r="L47" s="208">
        <f t="shared" si="16"/>
        <v>3436.0523613591322</v>
      </c>
    </row>
    <row r="48" spans="1:12" x14ac:dyDescent="0.45">
      <c r="A48" t="str">
        <f t="shared" si="10"/>
        <v>Joint boxes</v>
      </c>
      <c r="D48" s="208">
        <f t="shared" si="11"/>
        <v>5565.5958617010992</v>
      </c>
      <c r="E48" s="208">
        <f t="shared" si="12"/>
        <v>5212.2995772238291</v>
      </c>
      <c r="F48" s="208">
        <f t="shared" si="12"/>
        <v>5102.006227408393</v>
      </c>
      <c r="G48" s="208">
        <f t="shared" si="12"/>
        <v>5365.2883544091246</v>
      </c>
      <c r="H48" s="208">
        <f t="shared" si="12"/>
        <v>5550.2382340716013</v>
      </c>
      <c r="I48" s="208">
        <f t="shared" si="12"/>
        <v>5734.8625610132312</v>
      </c>
      <c r="J48" s="208">
        <f t="shared" si="12"/>
        <v>5923.5521657296795</v>
      </c>
      <c r="K48" s="208">
        <f t="shared" ref="K48:L48" si="17">K40*K28/Million</f>
        <v>6118.4687811835292</v>
      </c>
      <c r="L48" s="208">
        <f t="shared" si="17"/>
        <v>6319.7491966154521</v>
      </c>
    </row>
    <row r="49" spans="1:12" x14ac:dyDescent="0.45">
      <c r="A49" s="5" t="str">
        <f t="shared" si="10"/>
        <v>Manholes</v>
      </c>
      <c r="B49" s="5"/>
      <c r="C49" s="5"/>
      <c r="D49" s="208">
        <f t="shared" si="11"/>
        <v>4745.5070838838146</v>
      </c>
      <c r="E49" s="208">
        <f t="shared" si="12"/>
        <v>4494.6897612828479</v>
      </c>
      <c r="F49" s="208">
        <f t="shared" si="12"/>
        <v>5768.8303260456178</v>
      </c>
      <c r="G49" s="208">
        <f t="shared" si="12"/>
        <v>6032.1564898492015</v>
      </c>
      <c r="H49" s="208">
        <f t="shared" si="12"/>
        <v>6213.1211845446769</v>
      </c>
      <c r="I49" s="208">
        <f t="shared" si="12"/>
        <v>6399.5148200810172</v>
      </c>
      <c r="J49" s="208">
        <f t="shared" si="12"/>
        <v>6591.5002646834482</v>
      </c>
      <c r="K49" s="208">
        <f t="shared" ref="K49:L49" si="18">K41*K29/Million</f>
        <v>6789.2452726239517</v>
      </c>
      <c r="L49" s="208">
        <f t="shared" si="18"/>
        <v>6992.92263080267</v>
      </c>
    </row>
    <row r="50" spans="1:12" x14ac:dyDescent="0.45">
      <c r="A50" s="4" t="s">
        <v>159</v>
      </c>
      <c r="B50" s="4"/>
      <c r="C50" s="4"/>
      <c r="D50" s="263">
        <f>SUM(D44:D49)</f>
        <v>36742.057705272571</v>
      </c>
      <c r="E50" s="263">
        <f t="shared" ref="E50:J50" si="19">SUM(E44:E49)</f>
        <v>44737.555729851454</v>
      </c>
      <c r="F50" s="263">
        <f t="shared" si="19"/>
        <v>50420.69947395863</v>
      </c>
      <c r="G50" s="263">
        <f t="shared" si="19"/>
        <v>52995.653950762229</v>
      </c>
      <c r="H50" s="263">
        <f t="shared" si="19"/>
        <v>54797.750937821176</v>
      </c>
      <c r="I50" s="263">
        <f t="shared" si="19"/>
        <v>56583.683507412854</v>
      </c>
      <c r="J50" s="263">
        <f t="shared" si="19"/>
        <v>58402.874556770272</v>
      </c>
      <c r="K50" s="263">
        <f t="shared" ref="K50:L50" si="20">SUM(K44:K49)</f>
        <v>60287.360610767159</v>
      </c>
      <c r="L50" s="263">
        <f t="shared" si="20"/>
        <v>62232.353240902768</v>
      </c>
    </row>
    <row r="52" spans="1:12" x14ac:dyDescent="0.45">
      <c r="A52" s="4" t="s">
        <v>160</v>
      </c>
      <c r="D52" s="65" t="str">
        <f>D$13</f>
        <v>2022/23</v>
      </c>
      <c r="E52" s="65" t="str">
        <f t="shared" ref="E52:L52" si="21">E$13</f>
        <v>2023/24</v>
      </c>
      <c r="F52" s="65" t="str">
        <f t="shared" si="21"/>
        <v>2024/25</v>
      </c>
      <c r="G52" s="65" t="str">
        <f t="shared" si="21"/>
        <v>2025/26</v>
      </c>
      <c r="H52" s="65" t="str">
        <f t="shared" si="21"/>
        <v>2026/27</v>
      </c>
      <c r="I52" s="65" t="str">
        <f t="shared" si="21"/>
        <v>2027/28</v>
      </c>
      <c r="J52" s="65" t="str">
        <f t="shared" si="21"/>
        <v>2028/29</v>
      </c>
      <c r="K52" s="65" t="str">
        <f t="shared" si="21"/>
        <v>2029/30</v>
      </c>
      <c r="L52" s="65" t="str">
        <f t="shared" si="21"/>
        <v>2030/31</v>
      </c>
    </row>
    <row r="53" spans="1:12" x14ac:dyDescent="0.45">
      <c r="A53" t="str">
        <f t="shared" ref="A53:A58" si="22">A44</f>
        <v>Lead-in duct</v>
      </c>
      <c r="D53" s="209">
        <f>D44/D$50</f>
        <v>0.13424016462385679</v>
      </c>
      <c r="E53" s="209">
        <f t="shared" ref="D53:J58" si="23">E44/E$50</f>
        <v>0.11260821285534738</v>
      </c>
      <c r="F53" s="209">
        <f t="shared" si="23"/>
        <v>9.8482378910683802E-2</v>
      </c>
      <c r="G53" s="209">
        <f t="shared" si="23"/>
        <v>9.8680452874868707E-2</v>
      </c>
      <c r="H53" s="209">
        <f t="shared" si="23"/>
        <v>9.8827229803014671E-2</v>
      </c>
      <c r="I53" s="209">
        <f t="shared" si="23"/>
        <v>9.8916197976805093E-2</v>
      </c>
      <c r="J53" s="209">
        <f t="shared" si="23"/>
        <v>9.8986808005849261E-2</v>
      </c>
      <c r="K53" s="209">
        <f t="shared" ref="K53:L53" si="24">K44/K$50</f>
        <v>9.9063420001501548E-2</v>
      </c>
      <c r="L53" s="209">
        <f t="shared" si="24"/>
        <v>9.9139696232359187E-2</v>
      </c>
    </row>
    <row r="54" spans="1:12" x14ac:dyDescent="0.45">
      <c r="A54" t="str">
        <f t="shared" si="22"/>
        <v>Spine duct – single bore</v>
      </c>
      <c r="D54" s="209">
        <f>D45/D$50</f>
        <v>0.34453526662835565</v>
      </c>
      <c r="E54" s="209">
        <f t="shared" si="23"/>
        <v>0.43892908049680807</v>
      </c>
      <c r="F54" s="209">
        <f t="shared" si="23"/>
        <v>0.5403951846155336</v>
      </c>
      <c r="G54" s="209">
        <f t="shared" si="23"/>
        <v>0.5414820614520518</v>
      </c>
      <c r="H54" s="209">
        <f t="shared" si="23"/>
        <v>0.54228745979904613</v>
      </c>
      <c r="I54" s="209">
        <f t="shared" si="23"/>
        <v>0.54277564837889314</v>
      </c>
      <c r="J54" s="209">
        <f t="shared" si="23"/>
        <v>0.54316310164823023</v>
      </c>
      <c r="K54" s="209">
        <f t="shared" ref="K54:L54" si="25">K45/K$50</f>
        <v>0.54358348907176934</v>
      </c>
      <c r="L54" s="209">
        <f t="shared" si="25"/>
        <v>0.54400203407760706</v>
      </c>
    </row>
    <row r="55" spans="1:12" x14ac:dyDescent="0.45">
      <c r="A55" t="str">
        <f t="shared" si="22"/>
        <v>Spine duct – 2 bores</v>
      </c>
      <c r="D55" s="209">
        <f>D46/D$50</f>
        <v>0.12201574877083034</v>
      </c>
      <c r="E55" s="209">
        <f t="shared" si="23"/>
        <v>0.10662468395763731</v>
      </c>
      <c r="F55" s="209">
        <f t="shared" si="23"/>
        <v>8.9302989687503387E-2</v>
      </c>
      <c r="G55" s="209">
        <f t="shared" si="23"/>
        <v>8.8846701603559938E-2</v>
      </c>
      <c r="H55" s="209">
        <f t="shared" si="23"/>
        <v>8.8505961345688319E-2</v>
      </c>
      <c r="I55" s="209">
        <f t="shared" si="23"/>
        <v>8.8286868635989363E-2</v>
      </c>
      <c r="J55" s="209">
        <f t="shared" si="23"/>
        <v>8.8106098741394148E-2</v>
      </c>
      <c r="K55" s="209">
        <f t="shared" ref="K55:L55" si="26">K46/K$50</f>
        <v>8.7915714826864805E-2</v>
      </c>
      <c r="L55" s="209">
        <f t="shared" si="26"/>
        <v>8.7726165301459838E-2</v>
      </c>
    </row>
    <row r="56" spans="1:12" x14ac:dyDescent="0.45">
      <c r="A56" t="str">
        <f t="shared" si="22"/>
        <v>Spine duct – 3+ bores</v>
      </c>
      <c r="D56" s="209">
        <f t="shared" si="23"/>
        <v>0.11857394023517172</v>
      </c>
      <c r="E56" s="209">
        <f t="shared" si="23"/>
        <v>0.12486172212692871</v>
      </c>
      <c r="F56" s="209">
        <f t="shared" si="23"/>
        <v>5.6216794168010883E-2</v>
      </c>
      <c r="G56" s="209">
        <f t="shared" si="23"/>
        <v>5.592701950407826E-2</v>
      </c>
      <c r="H56" s="209">
        <f t="shared" si="23"/>
        <v>5.5710695370385074E-2</v>
      </c>
      <c r="I56" s="209">
        <f t="shared" si="23"/>
        <v>5.557117096608042E-2</v>
      </c>
      <c r="J56" s="209">
        <f t="shared" si="23"/>
        <v>5.5455696287008714E-2</v>
      </c>
      <c r="K56" s="209">
        <f t="shared" ref="K56:L56" si="27">K47/K$50</f>
        <v>5.5334222088139332E-2</v>
      </c>
      <c r="L56" s="209">
        <f t="shared" si="27"/>
        <v>5.5213280270120915E-2</v>
      </c>
    </row>
    <row r="57" spans="1:12" x14ac:dyDescent="0.45">
      <c r="A57" t="str">
        <f t="shared" si="22"/>
        <v>Joint boxes</v>
      </c>
      <c r="D57" s="209">
        <f t="shared" si="23"/>
        <v>0.1514775221993738</v>
      </c>
      <c r="E57" s="209">
        <f t="shared" si="23"/>
        <v>0.11650836734797035</v>
      </c>
      <c r="F57" s="209">
        <f t="shared" si="23"/>
        <v>0.1011887236916157</v>
      </c>
      <c r="G57" s="209">
        <f t="shared" si="23"/>
        <v>0.10124015753053947</v>
      </c>
      <c r="H57" s="209">
        <f t="shared" si="23"/>
        <v>0.10128587650192866</v>
      </c>
      <c r="I57" s="209">
        <f t="shared" si="23"/>
        <v>0.10135187752953419</v>
      </c>
      <c r="J57" s="209">
        <f t="shared" si="23"/>
        <v>0.10142569540771003</v>
      </c>
      <c r="K57" s="209">
        <f t="shared" ref="K57:L57" si="28">K48/K$50</f>
        <v>0.10148841679578832</v>
      </c>
      <c r="L57" s="209">
        <f t="shared" si="28"/>
        <v>0.10155086329696658</v>
      </c>
    </row>
    <row r="58" spans="1:12" x14ac:dyDescent="0.45">
      <c r="A58" s="5" t="str">
        <f t="shared" si="22"/>
        <v>Manholes</v>
      </c>
      <c r="B58" s="5"/>
      <c r="C58" s="5"/>
      <c r="D58" s="210">
        <f t="shared" si="23"/>
        <v>0.12915735754241175</v>
      </c>
      <c r="E58" s="210">
        <f t="shared" si="23"/>
        <v>0.10046793321530828</v>
      </c>
      <c r="F58" s="210">
        <f t="shared" si="23"/>
        <v>0.1144139289266527</v>
      </c>
      <c r="G58" s="210">
        <f t="shared" si="23"/>
        <v>0.11382360703490181</v>
      </c>
      <c r="H58" s="210">
        <f t="shared" si="23"/>
        <v>0.11338277717993726</v>
      </c>
      <c r="I58" s="210">
        <f t="shared" si="23"/>
        <v>0.11309823651269781</v>
      </c>
      <c r="J58" s="210">
        <f t="shared" si="23"/>
        <v>0.11286259990980765</v>
      </c>
      <c r="K58" s="210">
        <f t="shared" ref="K58:L58" si="29">K49/K$50</f>
        <v>0.11261473721593662</v>
      </c>
      <c r="L58" s="210">
        <f t="shared" si="29"/>
        <v>0.11236796082148649</v>
      </c>
    </row>
    <row r="59" spans="1:12" x14ac:dyDescent="0.45">
      <c r="A59" s="4" t="s">
        <v>159</v>
      </c>
      <c r="B59" s="4"/>
      <c r="C59" s="4"/>
      <c r="D59" s="264">
        <f t="shared" ref="D59:J59" si="30">SUM(D53:D58)</f>
        <v>1</v>
      </c>
      <c r="E59" s="264">
        <f t="shared" si="30"/>
        <v>1</v>
      </c>
      <c r="F59" s="264">
        <f t="shared" si="30"/>
        <v>1</v>
      </c>
      <c r="G59" s="264">
        <f t="shared" si="30"/>
        <v>1</v>
      </c>
      <c r="H59" s="264">
        <f t="shared" si="30"/>
        <v>1</v>
      </c>
      <c r="I59" s="264">
        <f t="shared" si="30"/>
        <v>1</v>
      </c>
      <c r="J59" s="264">
        <f t="shared" si="30"/>
        <v>1.0000000000000002</v>
      </c>
      <c r="K59" s="264">
        <f t="shared" ref="K59:L59" si="31">SUM(K53:K58)</f>
        <v>1</v>
      </c>
      <c r="L59" s="264">
        <f t="shared" si="31"/>
        <v>1.0000000000000002</v>
      </c>
    </row>
  </sheetData>
  <phoneticPr fontId="50" type="noConversion"/>
  <printOptions horizontalCentered="1" verticalCentered="1"/>
  <pageMargins left="0.19685039370078741" right="0.19685039370078741" top="0.39370078740157483" bottom="0.39370078740157483" header="0.19685039370078741" footer="0.19685039370078741"/>
  <pageSetup paperSize="9" scale="62" orientation="landscape" r:id="rId1"/>
  <headerFooter>
    <oddHeader xml:space="preserve">&amp;Cpage &amp;P of &amp;N&amp;R&amp;D &amp;T&amp;L&amp;"Calibri"&amp;12&amp;K000000Classification: HIGHLY SENSITIVE&amp;1#_x000D_&amp;"Calibri"&amp;11&amp;K000000File: &amp;F Sheet: &amp;A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47E57-B425-441B-80F5-F1F1C357C462}">
  <sheetPr codeName="Sheet11"/>
  <dimension ref="A1:P129"/>
  <sheetViews>
    <sheetView zoomScaleNormal="100" workbookViewId="0"/>
  </sheetViews>
  <sheetFormatPr defaultColWidth="8.796875" defaultRowHeight="13.15" x14ac:dyDescent="0.4"/>
  <cols>
    <col min="1" max="1" width="20" style="14" customWidth="1"/>
    <col min="2" max="2" width="20" style="14" bestFit="1" customWidth="1"/>
    <col min="3" max="3" width="2" style="14" customWidth="1"/>
    <col min="4" max="4" width="10.796875" style="14" customWidth="1"/>
    <col min="5" max="5" width="8.796875" style="14"/>
    <col min="6" max="14" width="13.265625" style="14" customWidth="1"/>
    <col min="15" max="15" width="2" style="14" customWidth="1"/>
    <col min="16" max="16" width="23" style="14" bestFit="1" customWidth="1"/>
    <col min="17" max="16384" width="8.796875" style="14"/>
  </cols>
  <sheetData>
    <row r="1" spans="1:16" s="38" customFormat="1" ht="21" x14ac:dyDescent="0.65">
      <c r="A1" s="114" t="s">
        <v>161</v>
      </c>
    </row>
    <row r="2" spans="1:16" ht="6" customHeight="1" x14ac:dyDescent="0.4"/>
    <row r="3" spans="1:16" ht="15.75" x14ac:dyDescent="0.5">
      <c r="A3" s="37" t="s">
        <v>162</v>
      </c>
    </row>
    <row r="4" spans="1:16" ht="7.15" customHeight="1" x14ac:dyDescent="0.4">
      <c r="A4" s="21"/>
      <c r="B4" s="19"/>
    </row>
    <row r="5" spans="1:16" x14ac:dyDescent="0.4">
      <c r="A5" s="87" t="s">
        <v>163</v>
      </c>
      <c r="B5" s="87"/>
      <c r="C5" s="87"/>
      <c r="D5" s="31"/>
      <c r="E5" s="18"/>
      <c r="F5" s="18" t="str">
        <f>'Parameters and Assumptions'!D36</f>
        <v>2022/23</v>
      </c>
      <c r="G5" s="18" t="str">
        <f>'Parameters and Assumptions'!E36</f>
        <v>2023/24</v>
      </c>
      <c r="H5" s="18" t="str">
        <f>'Parameters and Assumptions'!F36</f>
        <v>2024/25</v>
      </c>
      <c r="I5" s="18" t="str">
        <f>'Parameters and Assumptions'!G36</f>
        <v>2025/26</v>
      </c>
      <c r="J5" s="18" t="str">
        <f>'Parameters and Assumptions'!H36</f>
        <v>2026/27</v>
      </c>
      <c r="K5" s="18" t="str">
        <f>'Parameters and Assumptions'!I36</f>
        <v>2027/28</v>
      </c>
      <c r="L5" s="18" t="str">
        <f>'Parameters and Assumptions'!J36</f>
        <v>2028/29</v>
      </c>
      <c r="M5" s="18" t="str">
        <f>'Parameters and Assumptions'!K36</f>
        <v>2029/30</v>
      </c>
      <c r="N5" s="18" t="str">
        <f>'Parameters and Assumptions'!L36</f>
        <v>2030/31</v>
      </c>
      <c r="O5" s="18"/>
    </row>
    <row r="6" spans="1:16" x14ac:dyDescent="0.4">
      <c r="A6" s="21"/>
      <c r="B6" s="19"/>
    </row>
    <row r="7" spans="1:16" x14ac:dyDescent="0.4">
      <c r="A7" s="14" t="str">
        <f>'Parameters and Assumptions'!A38</f>
        <v>PIA Asset Inflation value</v>
      </c>
      <c r="E7" s="182"/>
      <c r="F7" s="188" cm="1">
        <f t="array" ref="F7:N7">asset_inflation</f>
        <v>0.12873938663127604</v>
      </c>
      <c r="G7" s="188">
        <v>7.4787643228200862E-2</v>
      </c>
      <c r="H7" s="188">
        <v>3.3025740878852572E-2</v>
      </c>
      <c r="I7" s="188">
        <v>4.5646370047441875E-2</v>
      </c>
      <c r="J7" s="188">
        <v>0.03</v>
      </c>
      <c r="K7" s="188">
        <v>0.03</v>
      </c>
      <c r="L7" s="188">
        <v>0.03</v>
      </c>
      <c r="M7" s="188">
        <v>0.03</v>
      </c>
      <c r="N7" s="188">
        <v>0.03</v>
      </c>
    </row>
    <row r="8" spans="1:16" x14ac:dyDescent="0.4">
      <c r="B8" s="225"/>
      <c r="D8" s="36"/>
      <c r="E8" s="20"/>
      <c r="F8" s="20"/>
      <c r="G8" s="20"/>
      <c r="H8" s="20"/>
      <c r="I8" s="20"/>
      <c r="J8" s="20"/>
      <c r="K8" s="20"/>
      <c r="L8" s="20"/>
      <c r="M8" s="20"/>
      <c r="N8" s="20"/>
    </row>
    <row r="9" spans="1:16" x14ac:dyDescent="0.4">
      <c r="B9" s="14" t="s">
        <v>164</v>
      </c>
      <c r="D9" s="36"/>
      <c r="E9" s="20"/>
      <c r="F9" s="47">
        <f>'Parameters and Assumptions'!D69 + 'Network Adjs'!E5/Million</f>
        <v>26.219907678559615</v>
      </c>
      <c r="G9" s="47">
        <f>'Parameters and Assumptions'!E69 + 'Network Adjs'!F5/Million</f>
        <v>406.1260366007831</v>
      </c>
      <c r="H9" s="47">
        <f>'Parameters and Assumptions'!F69 + 'Network Adjs'!G5/Million</f>
        <v>463.64056534164058</v>
      </c>
      <c r="I9" s="47">
        <f>'Parameters and Assumptions'!G69 + 'Network Adjs'!H5/Million</f>
        <v>486.32144252110714</v>
      </c>
      <c r="J9" s="47">
        <f>'Parameters and Assumptions'!H69 + 'Network Adjs'!I5/Million</f>
        <v>363.12674076639627</v>
      </c>
      <c r="K9" s="47">
        <f>'Parameters and Assumptions'!I69 + 'Network Adjs'!J5/Million</f>
        <v>285.93383291072143</v>
      </c>
      <c r="L9" s="47">
        <f>'Parameters and Assumptions'!J69 + 'Network Adjs'!K5/Million</f>
        <v>231.55321160114713</v>
      </c>
      <c r="M9" s="47">
        <f>'Parameters and Assumptions'!K69 + 'Network Adjs'!L5/Million</f>
        <v>230.42294357923453</v>
      </c>
      <c r="N9" s="47">
        <f>'Parameters and Assumptions'!L69 + 'Network Adjs'!M5/Million</f>
        <v>249.16244437100829</v>
      </c>
    </row>
    <row r="10" spans="1:16" ht="6" customHeight="1" thickBot="1" x14ac:dyDescent="0.45">
      <c r="A10" s="22"/>
      <c r="B10" s="22"/>
      <c r="C10" s="22"/>
      <c r="D10" s="22"/>
      <c r="E10" s="23"/>
      <c r="F10" s="23"/>
      <c r="G10" s="23"/>
      <c r="H10" s="23"/>
      <c r="I10" s="23"/>
      <c r="J10" s="23"/>
      <c r="K10" s="23"/>
      <c r="L10" s="23"/>
      <c r="M10" s="23"/>
      <c r="N10" s="23"/>
      <c r="O10" s="23"/>
      <c r="P10" s="23"/>
    </row>
    <row r="11" spans="1:16" ht="6" customHeight="1" thickTop="1" x14ac:dyDescent="0.4"/>
    <row r="12" spans="1:16" ht="18" x14ac:dyDescent="0.55000000000000004">
      <c r="A12" s="32" t="s">
        <v>165</v>
      </c>
      <c r="B12" s="33"/>
      <c r="C12" s="33"/>
      <c r="D12" s="36"/>
      <c r="F12" s="33"/>
      <c r="G12" s="33"/>
      <c r="H12" s="33"/>
      <c r="I12" s="33"/>
      <c r="J12" s="33"/>
      <c r="K12" s="33"/>
      <c r="L12" s="33"/>
      <c r="M12" s="33"/>
      <c r="N12" s="33"/>
    </row>
    <row r="13" spans="1:16" x14ac:dyDescent="0.4">
      <c r="A13" s="33"/>
      <c r="B13" s="33"/>
      <c r="C13" s="33"/>
      <c r="D13" s="185"/>
      <c r="E13" s="185">
        <f>'Parameters and Assumptions'!E32</f>
        <v>0</v>
      </c>
      <c r="F13" s="18" t="s">
        <v>92</v>
      </c>
      <c r="G13" s="18" t="s">
        <v>93</v>
      </c>
      <c r="H13" s="18" t="s">
        <v>51</v>
      </c>
      <c r="I13" s="18" t="s">
        <v>138</v>
      </c>
      <c r="J13" s="18" t="s">
        <v>139</v>
      </c>
      <c r="K13" s="18" t="s">
        <v>140</v>
      </c>
      <c r="L13" s="18" t="s">
        <v>141</v>
      </c>
      <c r="M13" s="18" t="s">
        <v>142</v>
      </c>
      <c r="N13" s="18" t="s">
        <v>143</v>
      </c>
    </row>
    <row r="14" spans="1:16" ht="6" customHeight="1" x14ac:dyDescent="0.4">
      <c r="A14" s="33"/>
      <c r="B14" s="33"/>
      <c r="C14" s="33"/>
      <c r="D14" s="33"/>
      <c r="E14" s="33"/>
      <c r="F14" s="33"/>
      <c r="G14" s="33"/>
      <c r="H14" s="33"/>
      <c r="I14" s="33"/>
      <c r="J14" s="33"/>
      <c r="K14" s="33"/>
      <c r="L14" s="33"/>
      <c r="M14" s="33"/>
      <c r="N14" s="33"/>
    </row>
    <row r="15" spans="1:16" ht="14.25" x14ac:dyDescent="0.45">
      <c r="A15" s="34" t="str">
        <f>'Input data'!A71</f>
        <v>Other post 97 Assets</v>
      </c>
      <c r="B15" s="33" t="str">
        <f>'Input data'!B71</f>
        <v>Opening GRC</v>
      </c>
      <c r="C15" s="33"/>
      <c r="F15" s="366">
        <f>IF(F$13&lt;=selected_year, 'Input data'!E71, E19)</f>
        <v>6952.5110808378004</v>
      </c>
      <c r="G15" s="366">
        <f>IF(G$13&lt;=selected_year, 'Input data'!F71, F19)</f>
        <v>7823.7929857138733</v>
      </c>
      <c r="H15" s="366">
        <f>IF(H13&lt;=selected_year, 'Input data'!G71, G19)</f>
        <v>8089.7362334093086</v>
      </c>
      <c r="I15" s="46">
        <f t="shared" ref="I15:L15" si="0">H19</f>
        <v>8362.7777497699572</v>
      </c>
      <c r="J15" s="46">
        <f t="shared" si="0"/>
        <v>8744.5081975604699</v>
      </c>
      <c r="K15" s="46">
        <f t="shared" si="0"/>
        <v>9006.8434434872834</v>
      </c>
      <c r="L15" s="46">
        <f t="shared" si="0"/>
        <v>9277.0487467919011</v>
      </c>
      <c r="M15" s="46">
        <f t="shared" ref="M15" si="1">L19</f>
        <v>9555.3602091956582</v>
      </c>
      <c r="N15" s="46">
        <f t="shared" ref="N15" si="2">M19</f>
        <v>9842.0210154715278</v>
      </c>
    </row>
    <row r="16" spans="1:16" x14ac:dyDescent="0.4">
      <c r="A16" s="34" t="str">
        <f>'Input data'!A72</f>
        <v>GRC</v>
      </c>
      <c r="B16" s="33" t="str">
        <f>'Input data'!B72</f>
        <v>Net asset registrations</v>
      </c>
      <c r="C16" s="33"/>
      <c r="F16" s="265"/>
      <c r="G16" s="265"/>
      <c r="H16" s="265"/>
      <c r="I16" s="265"/>
      <c r="J16" s="265"/>
      <c r="K16" s="265"/>
      <c r="L16" s="265"/>
      <c r="M16" s="265"/>
      <c r="N16" s="265"/>
      <c r="P16" s="16" t="s">
        <v>166</v>
      </c>
    </row>
    <row r="17" spans="1:16" ht="14.25" x14ac:dyDescent="0.45">
      <c r="A17" s="33"/>
      <c r="B17" s="33" t="str">
        <f>'Input data'!B73</f>
        <v>Price movement</v>
      </c>
      <c r="C17" s="33"/>
      <c r="F17" s="366">
        <f>IF(F$13&lt;=selected_year,'Input data'!E73, F15*F$7)</f>
        <v>881.87299803359144</v>
      </c>
      <c r="G17" s="366">
        <f>IF(G$13&lt;=selected_year,'Input data'!F73, G15*G$7)</f>
        <v>265.94324769543528</v>
      </c>
      <c r="H17" s="366">
        <f>IF(H$13&lt;=selected_year,'Input data'!G73, H15*H$7)</f>
        <v>273.04151636064773</v>
      </c>
      <c r="I17" s="46">
        <f t="shared" ref="I17:L17" si="3">I15*I$7</f>
        <v>381.73044779051276</v>
      </c>
      <c r="J17" s="46">
        <f t="shared" si="3"/>
        <v>262.33524592681408</v>
      </c>
      <c r="K17" s="46">
        <f t="shared" si="3"/>
        <v>270.2053033046185</v>
      </c>
      <c r="L17" s="46">
        <f t="shared" si="3"/>
        <v>278.31146240375705</v>
      </c>
      <c r="M17" s="46">
        <f t="shared" ref="M17:N17" si="4">M15*M$7</f>
        <v>286.66080627586973</v>
      </c>
      <c r="N17" s="46">
        <f t="shared" si="4"/>
        <v>295.26063046414583</v>
      </c>
    </row>
    <row r="18" spans="1:16" ht="14.25" x14ac:dyDescent="0.45">
      <c r="A18" s="33"/>
      <c r="B18" s="33" t="str">
        <f>'Input data'!B74</f>
        <v>Write outs and Other adjs</v>
      </c>
      <c r="C18" s="33"/>
      <c r="F18" s="366">
        <f>IF(F$13&lt;=selected_year, 'Input data'!E74, 0)</f>
        <v>-10.591093157517944</v>
      </c>
      <c r="G18" s="366">
        <f>IF(G$13&lt;=selected_year, 'Input data'!F74, 0)</f>
        <v>0</v>
      </c>
      <c r="H18" s="366">
        <f>IF(H$13&lt;=selected_year, 'Input data'!G74, 0)</f>
        <v>0</v>
      </c>
      <c r="I18" s="265"/>
      <c r="J18" s="265"/>
      <c r="K18" s="265"/>
      <c r="L18" s="265"/>
      <c r="M18" s="265"/>
      <c r="N18" s="265"/>
      <c r="P18" s="16" t="s">
        <v>167</v>
      </c>
    </row>
    <row r="19" spans="1:16" ht="14.25" x14ac:dyDescent="0.45">
      <c r="A19" s="33"/>
      <c r="B19" s="33" t="str">
        <f>'Input data'!B75</f>
        <v>Closing GRC</v>
      </c>
      <c r="C19" s="33"/>
      <c r="F19" s="366">
        <f>IF(F$13&lt;=selected_year,'Input data'!E75, SUM(F15:F18))</f>
        <v>7823.7929857138733</v>
      </c>
      <c r="G19" s="366">
        <f>IF(G$13&lt;=selected_year,'Input data'!F75, SUM(G15:G18))</f>
        <v>8089.7362334093086</v>
      </c>
      <c r="H19" s="366">
        <f>IF(H$13&lt;=selected_year,'Input data'!G75, SUM(H15:H18))</f>
        <v>8362.7777497699572</v>
      </c>
      <c r="I19" s="46">
        <f t="shared" ref="I19:L19" si="5">SUM(I15:I18)</f>
        <v>8744.5081975604699</v>
      </c>
      <c r="J19" s="46">
        <f t="shared" si="5"/>
        <v>9006.8434434872834</v>
      </c>
      <c r="K19" s="46">
        <f t="shared" si="5"/>
        <v>9277.0487467919011</v>
      </c>
      <c r="L19" s="46">
        <f t="shared" si="5"/>
        <v>9555.3602091956582</v>
      </c>
      <c r="M19" s="46">
        <f t="shared" ref="M19:N19" si="6">SUM(M15:M18)</f>
        <v>9842.0210154715278</v>
      </c>
      <c r="N19" s="46">
        <f t="shared" si="6"/>
        <v>10137.281645935673</v>
      </c>
    </row>
    <row r="20" spans="1:16" ht="14.25" x14ac:dyDescent="0.45">
      <c r="A20" s="33"/>
      <c r="B20" s="35" t="s">
        <v>168</v>
      </c>
      <c r="C20" s="33"/>
      <c r="F20" s="267" t="b">
        <f>SUM(F15:F18)=F19</f>
        <v>1</v>
      </c>
      <c r="G20" s="267" t="b">
        <f t="shared" ref="G20:H20" si="7">SUM(G15:G18)=G19</f>
        <v>1</v>
      </c>
      <c r="H20" s="267" t="b">
        <f t="shared" si="7"/>
        <v>1</v>
      </c>
      <c r="I20" s="33"/>
      <c r="J20" s="33"/>
      <c r="K20" s="33"/>
      <c r="L20" s="33"/>
      <c r="M20" s="33"/>
      <c r="N20" s="33"/>
    </row>
    <row r="21" spans="1:16" x14ac:dyDescent="0.4">
      <c r="A21" s="33"/>
      <c r="B21" s="33"/>
      <c r="C21" s="33"/>
      <c r="F21" s="33"/>
      <c r="G21" s="33"/>
      <c r="H21" s="33"/>
      <c r="I21" s="33"/>
      <c r="J21" s="33"/>
      <c r="K21" s="33"/>
      <c r="L21" s="33"/>
      <c r="M21" s="33"/>
      <c r="N21" s="33"/>
    </row>
    <row r="22" spans="1:16" ht="14.25" x14ac:dyDescent="0.45">
      <c r="A22" s="34" t="str">
        <f>'Input data'!A77</f>
        <v>Other post 97 Assets</v>
      </c>
      <c r="B22" s="33" t="str">
        <f>'Input data'!B77</f>
        <v>Duct Opening NRC</v>
      </c>
      <c r="C22" s="33"/>
      <c r="F22" s="366">
        <f>IF(F$13&lt;=selected_year, 'Input data'!E77, E27)</f>
        <v>4304.7210967013953</v>
      </c>
      <c r="G22" s="366">
        <f>IF(G$13&lt;=selected_year, 'Input data'!F77, F27)</f>
        <v>4594.4401590942743</v>
      </c>
      <c r="H22" s="366">
        <f>IF(H$13&lt;=selected_year, 'Input data'!G77, G27)</f>
        <v>4666.8591326486185</v>
      </c>
      <c r="I22" s="46">
        <f t="shared" ref="I22:L22" si="8">H27</f>
        <v>4600.5194622344779</v>
      </c>
      <c r="J22" s="46">
        <f t="shared" si="8"/>
        <v>4648.0791763283733</v>
      </c>
      <c r="K22" s="46">
        <f t="shared" si="8"/>
        <v>4618.9687118929714</v>
      </c>
      <c r="L22" s="46">
        <f t="shared" si="8"/>
        <v>4583.9283483327508</v>
      </c>
      <c r="M22" s="46">
        <f t="shared" ref="M22" si="9">L27</f>
        <v>4542.6284911182129</v>
      </c>
      <c r="N22" s="46">
        <f t="shared" ref="N22" si="10">M27</f>
        <v>4494.725106957304</v>
      </c>
    </row>
    <row r="23" spans="1:16" x14ac:dyDescent="0.4">
      <c r="A23" s="34" t="str">
        <f>'Input data'!A78</f>
        <v>NRC</v>
      </c>
      <c r="B23" s="33" t="str">
        <f>'Input data'!B78</f>
        <v>Net Asset registrations</v>
      </c>
      <c r="C23" s="33"/>
      <c r="F23" s="265"/>
      <c r="G23" s="265"/>
      <c r="H23" s="265"/>
      <c r="I23" s="265"/>
      <c r="J23" s="265"/>
      <c r="K23" s="265"/>
      <c r="L23" s="265"/>
      <c r="M23" s="265"/>
      <c r="N23" s="265"/>
      <c r="P23" s="16" t="s">
        <v>166</v>
      </c>
    </row>
    <row r="24" spans="1:16" ht="14.25" x14ac:dyDescent="0.45">
      <c r="A24" s="33"/>
      <c r="B24" s="33" t="str">
        <f>'Input data'!B79</f>
        <v>OCM depreciation</v>
      </c>
      <c r="C24" s="33"/>
      <c r="F24" s="366">
        <f>IF(F$13&lt;=selected_year, 'Input data'!E79, -AVERAGE(F15,F19)/$E$30)</f>
        <v>-140.30413353436774</v>
      </c>
      <c r="G24" s="366">
        <f>IF(G$13&lt;=selected_year, 'Input data'!F79, -AVERAGE(G15,G19)/$E$30)</f>
        <v>-103.67109871337563</v>
      </c>
      <c r="H24" s="366">
        <f>IF(H$13&lt;=selected_year, 'Input data'!G79, -AVERAGE(H15,H19)/$E$30)</f>
        <v>-211.23577614484824</v>
      </c>
      <c r="I24" s="223">
        <f t="shared" ref="I24:N24" si="11">-MIN(AVERAGE(I15,I19)/$E$30,I25+I22)</f>
        <v>-162.43729968971851</v>
      </c>
      <c r="J24" s="223">
        <f t="shared" si="11"/>
        <v>-168.55283972525254</v>
      </c>
      <c r="K24" s="223">
        <f t="shared" si="11"/>
        <v>-173.6094249170101</v>
      </c>
      <c r="L24" s="223">
        <f t="shared" si="11"/>
        <v>-178.81770766452038</v>
      </c>
      <c r="M24" s="223">
        <f t="shared" si="11"/>
        <v>-184.18223889445602</v>
      </c>
      <c r="N24" s="223">
        <f t="shared" si="11"/>
        <v>-189.70770606128968</v>
      </c>
    </row>
    <row r="25" spans="1:16" ht="14.25" x14ac:dyDescent="0.45">
      <c r="A25" s="33"/>
      <c r="B25" s="33" t="str">
        <f>'Input data'!B80</f>
        <v>Price movement</v>
      </c>
      <c r="C25" s="33"/>
      <c r="F25" s="366">
        <f>IF(F$13&lt;=selected_year, 'Input data'!E80, F22*F$7)</f>
        <v>441.3576495054516</v>
      </c>
      <c r="G25" s="366">
        <f>IF(G$13&lt;=selected_year, 'Input data'!F80, G22*G$7)</f>
        <v>176.09007226771956</v>
      </c>
      <c r="H25" s="366">
        <f>IF(H$13&lt;=selected_year, 'Input data'!G80, H22*H$7)</f>
        <v>139.47166778974841</v>
      </c>
      <c r="I25" s="46">
        <f t="shared" ref="I25:L25" si="12">I22*I$7</f>
        <v>209.99701378361328</v>
      </c>
      <c r="J25" s="46">
        <f t="shared" si="12"/>
        <v>139.44237528985119</v>
      </c>
      <c r="K25" s="46">
        <f t="shared" si="12"/>
        <v>138.56906135678915</v>
      </c>
      <c r="L25" s="46">
        <f t="shared" si="12"/>
        <v>137.51785044998252</v>
      </c>
      <c r="M25" s="46">
        <f t="shared" ref="M25:N25" si="13">M22*M$7</f>
        <v>136.27885473354638</v>
      </c>
      <c r="N25" s="46">
        <f t="shared" si="13"/>
        <v>134.84175320871913</v>
      </c>
    </row>
    <row r="26" spans="1:16" ht="14.25" x14ac:dyDescent="0.45">
      <c r="A26" s="33"/>
      <c r="B26" s="33" t="str">
        <f>'Input data'!B81</f>
        <v>Write outs and Other CCA adjustments</v>
      </c>
      <c r="C26" s="33"/>
      <c r="F26" s="366">
        <f>IF(F$13&lt;=selected_year, 'Input data'!E81, 0)</f>
        <v>-11.334453578204762</v>
      </c>
      <c r="G26" s="366">
        <f>IF(G$13&lt;=selected_year, 'Input data'!F81, 0)</f>
        <v>0</v>
      </c>
      <c r="H26" s="366">
        <f>IF(H$13&lt;=selected_year, 'Input data'!G81, 0)</f>
        <v>5.4244379409591694</v>
      </c>
      <c r="I26" s="265"/>
      <c r="J26" s="265"/>
      <c r="K26" s="265"/>
      <c r="L26" s="265"/>
      <c r="M26" s="265"/>
      <c r="N26" s="265"/>
      <c r="P26" s="16" t="s">
        <v>169</v>
      </c>
    </row>
    <row r="27" spans="1:16" ht="14.25" x14ac:dyDescent="0.45">
      <c r="A27" s="33"/>
      <c r="B27" s="33" t="str">
        <f>'Input data'!B82</f>
        <v>Closing NRC</v>
      </c>
      <c r="C27" s="33"/>
      <c r="F27" s="366">
        <f>IF(F$13&lt;=selected_year,'Input data'!E82, SUM(F22:F26))</f>
        <v>4594.4401590942743</v>
      </c>
      <c r="G27" s="366">
        <f>IF(G$13&lt;=selected_year,'Input data'!F82, SUM(G22:G26))</f>
        <v>4666.8591326486185</v>
      </c>
      <c r="H27" s="366">
        <f>IF(H$13&lt;=selected_year,'Input data'!G82, SUM(H22:H26))</f>
        <v>4600.5194622344779</v>
      </c>
      <c r="I27" s="46">
        <f t="shared" ref="I27:L27" si="14">SUM(I22:I26)</f>
        <v>4648.0791763283733</v>
      </c>
      <c r="J27" s="46">
        <f t="shared" si="14"/>
        <v>4618.9687118929714</v>
      </c>
      <c r="K27" s="46">
        <f t="shared" si="14"/>
        <v>4583.9283483327508</v>
      </c>
      <c r="L27" s="46">
        <f t="shared" si="14"/>
        <v>4542.6284911182129</v>
      </c>
      <c r="M27" s="46">
        <f t="shared" ref="M27:N27" si="15">SUM(M22:M26)</f>
        <v>4494.725106957304</v>
      </c>
      <c r="N27" s="46">
        <f t="shared" si="15"/>
        <v>4439.8591541047326</v>
      </c>
    </row>
    <row r="28" spans="1:16" ht="14.25" x14ac:dyDescent="0.45">
      <c r="A28" s="33"/>
      <c r="B28" s="35" t="s">
        <v>168</v>
      </c>
      <c r="C28" s="33"/>
      <c r="F28" s="266" t="b">
        <f>SUM(F22:F26)=F27</f>
        <v>1</v>
      </c>
      <c r="G28" s="266" t="b">
        <f t="shared" ref="G28:H28" si="16">SUM(G22:G26)=G27</f>
        <v>1</v>
      </c>
      <c r="H28" s="266" t="b">
        <f t="shared" si="16"/>
        <v>1</v>
      </c>
      <c r="I28" s="33"/>
      <c r="J28" s="33"/>
      <c r="K28" s="33"/>
      <c r="L28" s="33"/>
      <c r="M28" s="33"/>
      <c r="N28" s="33"/>
    </row>
    <row r="29" spans="1:16" ht="6" customHeight="1" x14ac:dyDescent="0.4">
      <c r="B29" s="24"/>
      <c r="C29" s="25"/>
      <c r="E29" s="25"/>
      <c r="F29" s="25"/>
    </row>
    <row r="30" spans="1:16" x14ac:dyDescent="0.4">
      <c r="B30" s="17" t="s">
        <v>170</v>
      </c>
      <c r="E30" s="102">
        <f>-AVERAGE(F15,F19)/F24</f>
        <v>52.658120948846438</v>
      </c>
    </row>
    <row r="31" spans="1:16" ht="6" customHeight="1" x14ac:dyDescent="0.4">
      <c r="A31" s="115"/>
      <c r="B31" s="115"/>
      <c r="C31" s="115"/>
      <c r="D31" s="115"/>
      <c r="E31" s="116"/>
      <c r="F31" s="116"/>
      <c r="G31" s="116"/>
      <c r="H31" s="116"/>
      <c r="I31" s="116"/>
      <c r="J31" s="116"/>
      <c r="K31" s="116"/>
      <c r="L31" s="116"/>
      <c r="M31" s="116"/>
      <c r="N31" s="116"/>
      <c r="O31" s="116"/>
      <c r="P31" s="116"/>
    </row>
    <row r="32" spans="1:16" ht="6" customHeight="1" x14ac:dyDescent="0.4"/>
    <row r="33" spans="1:16" ht="14.25" x14ac:dyDescent="0.45">
      <c r="A33" s="34" t="str">
        <f>'Input data'!A84</f>
        <v>Pre 97 Access</v>
      </c>
      <c r="B33" s="33" t="str">
        <f>'Input data'!B84</f>
        <v>Opening GRC</v>
      </c>
      <c r="C33" s="33"/>
      <c r="F33" s="366">
        <f>IF(F$13&lt;=selected_year, 'Input data'!E84, E37)</f>
        <v>5263.1361359253879</v>
      </c>
      <c r="G33" s="366">
        <f>IF(G$13&lt;=selected_year, 'Input data'!F84, F37)</f>
        <v>5958.7908909207299</v>
      </c>
      <c r="H33" s="366">
        <f>IF(H$13&lt;=selected_year, 'Input data'!G84, G37)</f>
        <v>6314.1712020604327</v>
      </c>
      <c r="I33" s="46">
        <f t="shared" ref="I33:N33" si="17">IF(I40=0,0,H37)</f>
        <v>6465.0453357025326</v>
      </c>
      <c r="J33" s="46">
        <f t="shared" si="17"/>
        <v>6664.0813076953518</v>
      </c>
      <c r="K33" s="46">
        <f t="shared" si="17"/>
        <v>6765.7336378586597</v>
      </c>
      <c r="L33" s="46">
        <f t="shared" si="17"/>
        <v>6868.936548777292</v>
      </c>
      <c r="M33" s="46">
        <f t="shared" si="17"/>
        <v>6973.7136926456933</v>
      </c>
      <c r="N33" s="46">
        <f t="shared" si="17"/>
        <v>7080.0890824433245</v>
      </c>
    </row>
    <row r="34" spans="1:16" ht="14.25" x14ac:dyDescent="0.45">
      <c r="A34" s="34" t="str">
        <f>'Input data'!A85</f>
        <v>RAV- GRC</v>
      </c>
      <c r="B34" s="33" t="str">
        <f>'Input data'!B85</f>
        <v>Net asset registrations</v>
      </c>
      <c r="C34" s="33"/>
      <c r="F34" s="366">
        <f>IF(F$13&lt;=selected_year, 'Input data'!E85, 0)</f>
        <v>-7.4157857409663736E-3</v>
      </c>
      <c r="G34" s="366">
        <f>IF(G$13&lt;=selected_year, 'Input data'!F85, 0)</f>
        <v>0</v>
      </c>
      <c r="H34" s="366">
        <f>IF(H$13&lt;=selected_year, 'Input data'!G85, 0)</f>
        <v>0</v>
      </c>
      <c r="I34" s="265"/>
      <c r="J34" s="265"/>
      <c r="K34" s="265"/>
      <c r="L34" s="265"/>
      <c r="M34" s="265"/>
      <c r="N34" s="265"/>
      <c r="P34" s="16" t="s">
        <v>166</v>
      </c>
    </row>
    <row r="35" spans="1:16" ht="14.25" x14ac:dyDescent="0.45">
      <c r="A35" s="15"/>
      <c r="B35" s="33" t="str">
        <f>'Input data'!B86</f>
        <v>Price movement</v>
      </c>
      <c r="C35" s="33"/>
      <c r="F35" s="366">
        <f>IF(F$13&lt;=selected_year,'Input data'!E86, F33*F$7)</f>
        <v>695.65428508204616</v>
      </c>
      <c r="G35" s="366">
        <f>IF(G$13&lt;=selected_year,'Input data'!F86, G33*G$7)</f>
        <v>210.22261063243627</v>
      </c>
      <c r="H35" s="366">
        <f>IF(H$13&lt;=selected_year,'Input data'!G86, H33*H$7)</f>
        <v>175.17342355618518</v>
      </c>
      <c r="I35" s="46">
        <f t="shared" ref="I35:L35" si="18">I33*I$7</f>
        <v>295.10585176696588</v>
      </c>
      <c r="J35" s="46">
        <f t="shared" si="18"/>
        <v>199.92243923086053</v>
      </c>
      <c r="K35" s="46">
        <f t="shared" si="18"/>
        <v>202.97200913575978</v>
      </c>
      <c r="L35" s="46">
        <f t="shared" si="18"/>
        <v>206.06809646331877</v>
      </c>
      <c r="M35" s="46">
        <f t="shared" ref="M35:N35" si="19">M33*M$7</f>
        <v>209.21141077937079</v>
      </c>
      <c r="N35" s="46">
        <f t="shared" si="19"/>
        <v>212.40267247329973</v>
      </c>
    </row>
    <row r="36" spans="1:16" ht="14.25" x14ac:dyDescent="0.45">
      <c r="A36" s="15"/>
      <c r="B36" s="33" t="str">
        <f>'Input data'!B87</f>
        <v>Write outs and Other adjs</v>
      </c>
      <c r="C36" s="33"/>
      <c r="F36" s="366">
        <f>IF(F$13&lt;=selected_year, 'Input data'!E87, F42)</f>
        <v>7.8856990370334279E-3</v>
      </c>
      <c r="G36" s="366">
        <f>IF(G$13&lt;=selected_year, 'Input data'!F87, G42)</f>
        <v>145.15770050726709</v>
      </c>
      <c r="H36" s="366">
        <f>IF(H$13&lt;=selected_year, 'Input data'!G87, H42)</f>
        <v>-24.299289914085222</v>
      </c>
      <c r="I36" s="46">
        <f t="shared" ref="I36:L36" si="20">I42</f>
        <v>-96.069879774147196</v>
      </c>
      <c r="J36" s="46">
        <f t="shared" si="20"/>
        <v>-98.270109067552468</v>
      </c>
      <c r="K36" s="46">
        <f t="shared" si="20"/>
        <v>-99.769098217127194</v>
      </c>
      <c r="L36" s="46">
        <f t="shared" si="20"/>
        <v>-101.29095259491693</v>
      </c>
      <c r="M36" s="46">
        <f t="shared" ref="M36:N36" si="21">M42</f>
        <v>-102.83602098173938</v>
      </c>
      <c r="N36" s="46">
        <f t="shared" si="21"/>
        <v>-104.40465747863287</v>
      </c>
      <c r="P36" s="16" t="s">
        <v>171</v>
      </c>
    </row>
    <row r="37" spans="1:16" ht="14.25" x14ac:dyDescent="0.45">
      <c r="A37" s="15"/>
      <c r="B37" s="33" t="str">
        <f>'Input data'!B88</f>
        <v>Closing GRC</v>
      </c>
      <c r="C37" s="33"/>
      <c r="F37" s="366">
        <f>IF(F$13&lt;=selected_year,'Input data'!E88, SUM(F33:F36))</f>
        <v>5958.7908909207299</v>
      </c>
      <c r="G37" s="366">
        <f>IF(G$13&lt;=selected_year,'Input data'!F88, SUM(G33:G36))</f>
        <v>6314.1712020604327</v>
      </c>
      <c r="H37" s="366">
        <f>IF(H$13&lt;=selected_year,'Input data'!G88, SUM(H33:H36))</f>
        <v>6465.0453357025326</v>
      </c>
      <c r="I37" s="46">
        <f t="shared" ref="I37:L37" si="22">SUM(I33:I36)</f>
        <v>6664.0813076953518</v>
      </c>
      <c r="J37" s="46">
        <f t="shared" si="22"/>
        <v>6765.7336378586597</v>
      </c>
      <c r="K37" s="46">
        <f t="shared" si="22"/>
        <v>6868.936548777292</v>
      </c>
      <c r="L37" s="46">
        <f t="shared" si="22"/>
        <v>6973.7136926456933</v>
      </c>
      <c r="M37" s="46">
        <f t="shared" ref="M37:N37" si="23">SUM(M33:M36)</f>
        <v>7080.0890824433245</v>
      </c>
      <c r="N37" s="46">
        <f t="shared" si="23"/>
        <v>7188.0870974379914</v>
      </c>
    </row>
    <row r="38" spans="1:16" ht="14.25" x14ac:dyDescent="0.45">
      <c r="A38" s="15"/>
      <c r="B38" s="24" t="s">
        <v>168</v>
      </c>
      <c r="C38" s="33"/>
      <c r="F38" s="267" t="b">
        <f>SUM(F33:F36)=F37</f>
        <v>1</v>
      </c>
      <c r="G38" s="267" t="b">
        <f t="shared" ref="G38:H38" si="24">SUM(G33:G36)=G37</f>
        <v>1</v>
      </c>
      <c r="H38" s="267" t="b">
        <f t="shared" si="24"/>
        <v>1</v>
      </c>
      <c r="I38" s="33"/>
      <c r="J38" s="33"/>
      <c r="K38" s="33"/>
      <c r="L38" s="33"/>
      <c r="M38" s="33"/>
      <c r="N38" s="33"/>
    </row>
    <row r="39" spans="1:16" x14ac:dyDescent="0.4">
      <c r="A39" s="15"/>
      <c r="C39" s="33"/>
      <c r="F39" s="33"/>
      <c r="G39" s="33"/>
      <c r="H39" s="33"/>
      <c r="I39" s="33"/>
      <c r="J39" s="33"/>
      <c r="K39" s="33"/>
      <c r="L39" s="33"/>
      <c r="M39" s="33"/>
      <c r="N39" s="33"/>
    </row>
    <row r="40" spans="1:16" ht="14.25" x14ac:dyDescent="0.45">
      <c r="A40" s="34" t="str">
        <f>'Input data'!A90</f>
        <v>Pre 97 Access</v>
      </c>
      <c r="B40" s="33" t="str">
        <f>'Input data'!B90</f>
        <v>Duct Opening NRC</v>
      </c>
      <c r="C40" s="33"/>
      <c r="F40" s="366">
        <f>IF(F$13&lt;=selected_year, 'Input data'!E90, E45)</f>
        <v>722.2811261958152</v>
      </c>
      <c r="G40" s="366">
        <f>IF(G$13&lt;=selected_year, 'Input data'!F90, F45)</f>
        <v>734.92528521876079</v>
      </c>
      <c r="H40" s="366">
        <f>IF(H$13&lt;=selected_year, 'Input data'!G90, G45)</f>
        <v>689.44887510719104</v>
      </c>
      <c r="I40" s="46">
        <f t="shared" ref="I40:L40" si="25">H45</f>
        <v>588.13837809798702</v>
      </c>
      <c r="J40" s="46">
        <f t="shared" si="25"/>
        <v>518.91488036960288</v>
      </c>
      <c r="K40" s="46">
        <f t="shared" si="25"/>
        <v>436.2122177131385</v>
      </c>
      <c r="L40" s="46">
        <f t="shared" si="25"/>
        <v>349.52948602740548</v>
      </c>
      <c r="M40" s="46">
        <f t="shared" ref="M40" si="26">L45</f>
        <v>258.72441801331075</v>
      </c>
      <c r="N40" s="46">
        <f t="shared" ref="N40" si="27">M45</f>
        <v>163.65012957197069</v>
      </c>
    </row>
    <row r="41" spans="1:16" ht="14.25" x14ac:dyDescent="0.45">
      <c r="A41" s="34" t="str">
        <f>'Input data'!A91</f>
        <v>RAV- NRC</v>
      </c>
      <c r="B41" s="33" t="str">
        <f>'Input data'!B91</f>
        <v>Net Asset registrations</v>
      </c>
      <c r="C41" s="33"/>
      <c r="F41" s="366">
        <f>IF(F$13&lt;=selected_year, 'Input data'!E91, 0)</f>
        <v>-7.8423534005303396E-3</v>
      </c>
      <c r="G41" s="366">
        <f>IF(G$13&lt;=selected_year, 'Input data'!F91, 0)</f>
        <v>0</v>
      </c>
      <c r="H41" s="366">
        <f>IF(H$13&lt;=selected_year, 'Input data'!G91, 0)</f>
        <v>0</v>
      </c>
      <c r="I41" s="265"/>
      <c r="J41" s="265"/>
      <c r="K41" s="265"/>
      <c r="L41" s="265"/>
      <c r="M41" s="265"/>
      <c r="N41" s="265"/>
      <c r="P41" s="16" t="s">
        <v>166</v>
      </c>
    </row>
    <row r="42" spans="1:16" ht="14.25" x14ac:dyDescent="0.45">
      <c r="B42" s="33" t="str">
        <f>'Input data'!B92</f>
        <v>OCM depreciation</v>
      </c>
      <c r="C42" s="33"/>
      <c r="F42" s="366">
        <f>IF(F$13&lt;=selected_year, 'Input data'!E92, -MIN(AVERAGE(F33,F33+F35)/$E$48,F43+F40))</f>
        <v>-81.517819293983749</v>
      </c>
      <c r="G42" s="366">
        <f>IF(G$13&lt;=selected_year, 'Input data'!F92, -MIN(AVERAGE(G33,G33+G35)/$E$48,G43+G40))</f>
        <v>-140.44469331518823</v>
      </c>
      <c r="H42" s="366">
        <f>IF(H$13&lt;=selected_year, 'Input data'!G92, -MIN(AVERAGE(H33,H33+H35)/$E$48,H43+H40))</f>
        <v>-101.92761891971035</v>
      </c>
      <c r="I42" s="223">
        <f t="shared" ref="I42:N42" si="28">-MIN(AVERAGE(I33,I33+I35)/$E$48,I43+I40)</f>
        <v>-96.069879774147196</v>
      </c>
      <c r="J42" s="223">
        <f t="shared" si="28"/>
        <v>-98.270109067552468</v>
      </c>
      <c r="K42" s="223">
        <f t="shared" si="28"/>
        <v>-99.769098217127194</v>
      </c>
      <c r="L42" s="223">
        <f t="shared" si="28"/>
        <v>-101.29095259491693</v>
      </c>
      <c r="M42" s="223">
        <f t="shared" si="28"/>
        <v>-102.83602098173938</v>
      </c>
      <c r="N42" s="223">
        <f t="shared" si="28"/>
        <v>-104.40465747863287</v>
      </c>
    </row>
    <row r="43" spans="1:16" ht="14.25" x14ac:dyDescent="0.45">
      <c r="B43" s="33" t="str">
        <f>'Input data'!B93</f>
        <v>Price movement</v>
      </c>
      <c r="C43" s="33"/>
      <c r="F43" s="366">
        <f>IF(F$13&lt;=selected_year, 'Input data'!E93, F40*F$7)</f>
        <v>94.161522613911714</v>
      </c>
      <c r="G43" s="366">
        <f>IF(G$13&lt;=selected_year, 'Input data'!F93, G40*G$7)</f>
        <v>38.581142711825322</v>
      </c>
      <c r="H43" s="366">
        <f>IF(H$13&lt;=selected_year, 'Input data'!G93, H40*H$7)</f>
        <v>15.959001726456622</v>
      </c>
      <c r="I43" s="46">
        <f t="shared" ref="I43:L43" si="29">I40*I$7</f>
        <v>26.846382045763001</v>
      </c>
      <c r="J43" s="46">
        <f t="shared" si="29"/>
        <v>15.567446411088087</v>
      </c>
      <c r="K43" s="46">
        <f t="shared" si="29"/>
        <v>13.086366531394155</v>
      </c>
      <c r="L43" s="46">
        <f t="shared" si="29"/>
        <v>10.485884580822164</v>
      </c>
      <c r="M43" s="46">
        <f t="shared" ref="M43:N43" si="30">M40*M$7</f>
        <v>7.761732540399322</v>
      </c>
      <c r="N43" s="46">
        <f t="shared" si="30"/>
        <v>4.9095038871591203</v>
      </c>
    </row>
    <row r="44" spans="1:16" ht="14.25" x14ac:dyDescent="0.45">
      <c r="B44" s="33" t="str">
        <f>'Input data'!B94</f>
        <v>Write outs and Other CCA adjustments</v>
      </c>
      <c r="C44" s="33"/>
      <c r="F44" s="366">
        <f>IF(F$13&lt;=selected_year, 'Input data'!E94, 0)</f>
        <v>8.298056418134539E-3</v>
      </c>
      <c r="G44" s="366">
        <f>IF(G$13&lt;=selected_year, 'Input data'!F94, 0)</f>
        <v>56.387140491793133</v>
      </c>
      <c r="H44" s="366">
        <f>IF(H$13&lt;=selected_year, 'Input data'!G94, 0)</f>
        <v>-15.341879815950335</v>
      </c>
      <c r="I44" s="265"/>
      <c r="J44" s="265"/>
      <c r="K44" s="265"/>
      <c r="L44" s="265"/>
      <c r="M44" s="265"/>
      <c r="N44" s="265"/>
      <c r="P44" s="16" t="s">
        <v>169</v>
      </c>
    </row>
    <row r="45" spans="1:16" ht="14.25" x14ac:dyDescent="0.45">
      <c r="B45" s="33" t="str">
        <f>'Input data'!B95</f>
        <v>Closing NRC</v>
      </c>
      <c r="C45" s="33"/>
      <c r="F45" s="366">
        <f>IF(F$13&lt;=selected_year,'Input data'!E95, SUM(F40:F44))</f>
        <v>734.92528521876079</v>
      </c>
      <c r="G45" s="366">
        <f>IF(G$13&lt;=selected_year,'Input data'!F95, SUM(G40:G44))</f>
        <v>689.44887510719104</v>
      </c>
      <c r="H45" s="366">
        <f>IF(H$13&lt;=selected_year,'Input data'!G95, SUM(H40:H44))</f>
        <v>588.13837809798702</v>
      </c>
      <c r="I45" s="46">
        <f t="shared" ref="I45:L45" si="31">SUM(I40:I44)</f>
        <v>518.91488036960288</v>
      </c>
      <c r="J45" s="46">
        <f t="shared" si="31"/>
        <v>436.2122177131385</v>
      </c>
      <c r="K45" s="46">
        <f t="shared" si="31"/>
        <v>349.52948602740548</v>
      </c>
      <c r="L45" s="46">
        <f t="shared" si="31"/>
        <v>258.72441801331075</v>
      </c>
      <c r="M45" s="46">
        <f t="shared" ref="M45:N45" si="32">SUM(M40:M44)</f>
        <v>163.65012957197069</v>
      </c>
      <c r="N45" s="46">
        <f t="shared" si="32"/>
        <v>64.154975980496943</v>
      </c>
    </row>
    <row r="46" spans="1:16" ht="14.25" x14ac:dyDescent="0.45">
      <c r="B46" s="24" t="s">
        <v>168</v>
      </c>
      <c r="F46" s="266" t="b">
        <f t="shared" ref="F46:H46" si="33">IF(ABS(SUM(F40:F44)-F45)&lt;0.0001,TRUE,FALSE)</f>
        <v>1</v>
      </c>
      <c r="G46" s="266" t="b">
        <f t="shared" si="33"/>
        <v>1</v>
      </c>
      <c r="H46" s="266" t="b">
        <f t="shared" si="33"/>
        <v>1</v>
      </c>
    </row>
    <row r="47" spans="1:16" ht="6" customHeight="1" x14ac:dyDescent="0.4">
      <c r="B47" s="24"/>
      <c r="C47" s="26"/>
      <c r="E47" s="25"/>
    </row>
    <row r="48" spans="1:16" x14ac:dyDescent="0.4">
      <c r="B48" s="17" t="s">
        <v>170</v>
      </c>
      <c r="E48" s="102">
        <f>-AVERAGE(F33,F37)/F42</f>
        <v>68.831128727669054</v>
      </c>
      <c r="F48" s="102"/>
      <c r="G48" s="102"/>
      <c r="H48" s="102"/>
      <c r="I48" s="102"/>
      <c r="J48" s="102"/>
      <c r="K48" s="102"/>
      <c r="L48" s="102"/>
      <c r="M48" s="102"/>
      <c r="N48" s="102"/>
    </row>
    <row r="49" spans="1:16" ht="6" customHeight="1" x14ac:dyDescent="0.4">
      <c r="A49" s="115"/>
      <c r="B49" s="115"/>
      <c r="C49" s="115"/>
      <c r="D49" s="115"/>
      <c r="E49" s="116"/>
      <c r="F49" s="116"/>
      <c r="G49" s="116"/>
      <c r="H49" s="116"/>
      <c r="I49" s="116"/>
      <c r="J49" s="116"/>
      <c r="K49" s="116"/>
      <c r="L49" s="116"/>
      <c r="M49" s="116"/>
      <c r="N49" s="116"/>
      <c r="O49" s="116"/>
      <c r="P49" s="116"/>
    </row>
    <row r="50" spans="1:16" ht="6" customHeight="1" x14ac:dyDescent="0.4"/>
    <row r="51" spans="1:16" ht="14.25" x14ac:dyDescent="0.45">
      <c r="A51" s="15" t="str">
        <f>'Input data'!A97</f>
        <v>Pre 97 Other</v>
      </c>
      <c r="B51" s="33" t="str">
        <f>'Input data'!B97</f>
        <v>Opening GRC</v>
      </c>
      <c r="C51" s="33"/>
      <c r="F51" s="366">
        <f>IF(F$13&lt;=selected_year, 'Input data'!E97, E55)</f>
        <v>1999.460198170626</v>
      </c>
      <c r="G51" s="366">
        <f>IF(G$13&lt;=selected_year, 'Input data'!F97, F55)</f>
        <v>2275.7438397397705</v>
      </c>
      <c r="H51" s="366">
        <f>IF(H$13&lt;=selected_year, 'Input data'!G97, G55)</f>
        <v>2383.1460693196696</v>
      </c>
      <c r="I51" s="46">
        <f t="shared" ref="I51:N51" si="34">IF(I58=0,0,H55)</f>
        <v>2420.9298331470659</v>
      </c>
      <c r="J51" s="46">
        <f t="shared" si="34"/>
        <v>2487.4992062694009</v>
      </c>
      <c r="K51" s="46">
        <f t="shared" si="34"/>
        <v>2517.3240340141865</v>
      </c>
      <c r="L51" s="46">
        <f t="shared" si="34"/>
        <v>2547.506457993682</v>
      </c>
      <c r="M51" s="46">
        <f t="shared" si="34"/>
        <v>2578.0507657453772</v>
      </c>
      <c r="N51" s="46">
        <f t="shared" si="34"/>
        <v>2608.9612962138408</v>
      </c>
    </row>
    <row r="52" spans="1:16" ht="14.25" x14ac:dyDescent="0.45">
      <c r="A52" s="15" t="str">
        <f>'Input data'!A98</f>
        <v>CCA - GRC</v>
      </c>
      <c r="B52" s="33" t="str">
        <f>'Input data'!B98</f>
        <v>Net asset registrations</v>
      </c>
      <c r="C52" s="33"/>
      <c r="F52" s="366">
        <f>IF(F$13&lt;=selected_year, 'Input data'!E98, 0)</f>
        <v>-1.9666458496270037E-3</v>
      </c>
      <c r="G52" s="366">
        <f>IF(G$13&lt;=selected_year, 'Input data'!F98, 0)</f>
        <v>0</v>
      </c>
      <c r="H52" s="366">
        <f>IF(H$13&lt;=selected_year, 'Input data'!G98, 0)</f>
        <v>0</v>
      </c>
      <c r="I52" s="265"/>
      <c r="J52" s="265"/>
      <c r="K52" s="265"/>
      <c r="L52" s="265"/>
      <c r="M52" s="265"/>
      <c r="N52" s="265"/>
      <c r="P52" s="16" t="s">
        <v>166</v>
      </c>
    </row>
    <row r="53" spans="1:16" ht="14.25" x14ac:dyDescent="0.45">
      <c r="A53" s="15"/>
      <c r="B53" s="33" t="str">
        <f>'Input data'!B99</f>
        <v>Price movement</v>
      </c>
      <c r="C53" s="33"/>
      <c r="F53" s="366">
        <f>IF(F$13&lt;=selected_year,'Input data'!E99, F51*F$7)</f>
        <v>276.2856082149944</v>
      </c>
      <c r="G53" s="366">
        <f>IF(G$13&lt;=selected_year,'Input data'!F99, G51*G$7)</f>
        <v>62.204440151200153</v>
      </c>
      <c r="H53" s="366">
        <f>IF(H$13&lt;=selected_year,'Input data'!G99, H51*H$7)</f>
        <v>43.563855388463203</v>
      </c>
      <c r="I53" s="46">
        <f t="shared" ref="I53:L53" si="35">I51*I$7</f>
        <v>110.50665902272269</v>
      </c>
      <c r="J53" s="46">
        <f t="shared" si="35"/>
        <v>74.62497618808203</v>
      </c>
      <c r="K53" s="46">
        <f t="shared" si="35"/>
        <v>75.519721020425592</v>
      </c>
      <c r="L53" s="46">
        <f t="shared" si="35"/>
        <v>76.425193739810453</v>
      </c>
      <c r="M53" s="46">
        <f t="shared" ref="M53:N53" si="36">M51*M$7</f>
        <v>77.341522972361318</v>
      </c>
      <c r="N53" s="46">
        <f t="shared" si="36"/>
        <v>78.268838886415224</v>
      </c>
    </row>
    <row r="54" spans="1:16" ht="14.25" x14ac:dyDescent="0.45">
      <c r="A54" s="15"/>
      <c r="B54" s="33" t="str">
        <f>'Input data'!B100</f>
        <v>Write outs and Other adjs</v>
      </c>
      <c r="C54" s="33"/>
      <c r="F54" s="366">
        <f>IF(F$13&lt;=selected_year, 'Input data'!E100, F60)</f>
        <v>0</v>
      </c>
      <c r="G54" s="366">
        <f>IF(G$13&lt;=selected_year, 'Input data'!F100, G60)</f>
        <v>45.197789428698982</v>
      </c>
      <c r="H54" s="366">
        <f>IF(H$13&lt;=selected_year, 'Input data'!G100, H60)</f>
        <v>-5.7800915610669783</v>
      </c>
      <c r="I54" s="46">
        <f t="shared" ref="I54:L54" si="37">I60</f>
        <v>-43.937285900387664</v>
      </c>
      <c r="J54" s="46">
        <f t="shared" si="37"/>
        <v>-44.800148443296429</v>
      </c>
      <c r="K54" s="46">
        <f t="shared" si="37"/>
        <v>-45.337297040929961</v>
      </c>
      <c r="L54" s="46">
        <f t="shared" si="37"/>
        <v>-45.880885988115118</v>
      </c>
      <c r="M54" s="46">
        <f t="shared" ref="M54" si="38">M60</f>
        <v>-46.430992503898054</v>
      </c>
      <c r="N54" s="46">
        <f>N60</f>
        <v>-46.987694733172347</v>
      </c>
      <c r="P54" s="16" t="s">
        <v>171</v>
      </c>
    </row>
    <row r="55" spans="1:16" ht="14.25" x14ac:dyDescent="0.45">
      <c r="A55" s="15"/>
      <c r="B55" s="33" t="str">
        <f>'Input data'!B101</f>
        <v>Closing GRC</v>
      </c>
      <c r="C55" s="33"/>
      <c r="F55" s="366">
        <f>IF(F$13&lt;=selected_year,'Input data'!E101, SUM(F51:F54))</f>
        <v>2275.7438397397705</v>
      </c>
      <c r="G55" s="366">
        <f>IF(G$13&lt;=selected_year,'Input data'!F101, SUM(G51:G54))</f>
        <v>2383.1460693196696</v>
      </c>
      <c r="H55" s="366">
        <f>IF(H$13&lt;=selected_year,'Input data'!G101, SUM(H51:H54))</f>
        <v>2420.9298331470659</v>
      </c>
      <c r="I55" s="46">
        <f t="shared" ref="I55:L55" si="39">SUM(I51:I54)</f>
        <v>2487.4992062694009</v>
      </c>
      <c r="J55" s="46">
        <f t="shared" si="39"/>
        <v>2517.3240340141865</v>
      </c>
      <c r="K55" s="46">
        <f t="shared" si="39"/>
        <v>2547.506457993682</v>
      </c>
      <c r="L55" s="46">
        <f t="shared" si="39"/>
        <v>2578.0507657453772</v>
      </c>
      <c r="M55" s="46">
        <f t="shared" ref="M55:N55" si="40">SUM(M51:M54)</f>
        <v>2608.9612962138408</v>
      </c>
      <c r="N55" s="46">
        <f t="shared" si="40"/>
        <v>2640.2424403670839</v>
      </c>
    </row>
    <row r="56" spans="1:16" ht="14.25" x14ac:dyDescent="0.45">
      <c r="A56" s="15"/>
      <c r="B56" s="24" t="s">
        <v>168</v>
      </c>
      <c r="C56" s="33"/>
      <c r="F56" s="268" t="b">
        <f>SUM(F51:F54)=F55</f>
        <v>1</v>
      </c>
      <c r="G56" s="268" t="b">
        <f t="shared" ref="G56:H56" si="41">SUM(G51:G54)=G55</f>
        <v>1</v>
      </c>
      <c r="H56" s="268" t="b">
        <f t="shared" si="41"/>
        <v>1</v>
      </c>
      <c r="I56" s="33"/>
      <c r="J56" s="33"/>
      <c r="K56" s="33"/>
      <c r="L56" s="33"/>
      <c r="M56" s="33"/>
      <c r="N56" s="33"/>
    </row>
    <row r="57" spans="1:16" x14ac:dyDescent="0.4">
      <c r="A57" s="15"/>
      <c r="C57" s="33"/>
      <c r="F57" s="46"/>
      <c r="G57" s="33"/>
      <c r="H57" s="33"/>
      <c r="I57" s="33"/>
      <c r="J57" s="33"/>
      <c r="K57" s="33"/>
      <c r="L57" s="33"/>
      <c r="M57" s="33"/>
      <c r="N57" s="33"/>
    </row>
    <row r="58" spans="1:16" ht="14.25" x14ac:dyDescent="0.45">
      <c r="A58" s="34" t="str">
        <f>'Input data'!A103</f>
        <v>Pre 97 Other</v>
      </c>
      <c r="B58" s="33" t="str">
        <f>'Input data'!B103</f>
        <v>Duct Opening NRC</v>
      </c>
      <c r="C58" s="33"/>
      <c r="F58" s="366">
        <f>IF(F$13&lt;=selected_year, 'Input data'!E103, E63)</f>
        <v>285.5307173130949</v>
      </c>
      <c r="G58" s="366">
        <f>IF(G$13&lt;=selected_year, 'Input data'!F103, F63)</f>
        <v>291.37325395853367</v>
      </c>
      <c r="H58" s="366">
        <f>IF(H$13&lt;=selected_year, 'Input data'!G103, G63)</f>
        <v>279.49294789908134</v>
      </c>
      <c r="I58" s="46">
        <f t="shared" ref="I58:L58" si="42">H63</f>
        <v>255.42548136597105</v>
      </c>
      <c r="J58" s="46">
        <f t="shared" si="42"/>
        <v>223.14744150756047</v>
      </c>
      <c r="K58" s="46">
        <f t="shared" si="42"/>
        <v>185.04171630949085</v>
      </c>
      <c r="L58" s="46">
        <f t="shared" si="42"/>
        <v>145.25567075784562</v>
      </c>
      <c r="M58" s="46">
        <f t="shared" ref="M58" si="43">L63</f>
        <v>103.73245489246587</v>
      </c>
      <c r="N58" s="46">
        <f t="shared" ref="N58" si="44">M63</f>
        <v>60.413436035341789</v>
      </c>
    </row>
    <row r="59" spans="1:16" ht="14.25" x14ac:dyDescent="0.45">
      <c r="A59" s="34" t="str">
        <f>'Input data'!A104</f>
        <v>CCA - NRC</v>
      </c>
      <c r="B59" s="33" t="str">
        <f>'Input data'!B104</f>
        <v>Net Asset registrations</v>
      </c>
      <c r="C59" s="33"/>
      <c r="F59" s="366">
        <f>IF(F$13&lt;=selected_year, 'Input data'!E104, 0)</f>
        <v>-1.631357338695421E-3</v>
      </c>
      <c r="G59" s="366">
        <f>IF(G$13&lt;=selected_year, 'Input data'!F104, 0)</f>
        <v>0</v>
      </c>
      <c r="H59" s="366">
        <f>IF(H$13&lt;=selected_year, 'Input data'!G104, 0)</f>
        <v>0</v>
      </c>
      <c r="I59" s="265"/>
      <c r="J59" s="265"/>
      <c r="K59" s="265"/>
      <c r="L59" s="265"/>
      <c r="M59" s="265"/>
      <c r="N59" s="265"/>
      <c r="P59" s="16" t="s">
        <v>166</v>
      </c>
    </row>
    <row r="60" spans="1:16" ht="14.25" x14ac:dyDescent="0.45">
      <c r="A60" s="33">
        <f>'Input data'!A105</f>
        <v>0</v>
      </c>
      <c r="B60" s="33" t="str">
        <f>'Input data'!B105</f>
        <v>OCM depreciation</v>
      </c>
      <c r="C60" s="33"/>
      <c r="F60" s="366">
        <f>IF(F$13&lt;=selected_year, 'Input data'!E105, -MIN(AVERAGE(F51,F51+F53)/$E$66,F61+F58))</f>
        <v>-37.929516872753297</v>
      </c>
      <c r="G60" s="366">
        <f>IF(G$13&lt;=selected_year, 'Input data'!F105, -MIN(AVERAGE(G51,G51+G53)/$E$66,G61+G58))</f>
        <v>-37.976052331293559</v>
      </c>
      <c r="H60" s="366">
        <f>IF(H$13&lt;=selected_year, 'Input data'!G105, -MIN(AVERAGE(H51,H51+H53)/$E$66,H61+H58))</f>
        <v>-25.036239805486669</v>
      </c>
      <c r="I60" s="223">
        <f t="shared" ref="I60:N60" si="45">-MIN(AVERAGE(I51,I51+I53)/$E$66, I58+I61)</f>
        <v>-43.937285900387664</v>
      </c>
      <c r="J60" s="223">
        <f t="shared" si="45"/>
        <v>-44.800148443296429</v>
      </c>
      <c r="K60" s="223">
        <f t="shared" si="45"/>
        <v>-45.337297040929961</v>
      </c>
      <c r="L60" s="223">
        <f t="shared" si="45"/>
        <v>-45.880885988115118</v>
      </c>
      <c r="M60" s="223">
        <f t="shared" si="45"/>
        <v>-46.430992503898054</v>
      </c>
      <c r="N60" s="223">
        <f t="shared" si="45"/>
        <v>-46.987694733172347</v>
      </c>
    </row>
    <row r="61" spans="1:16" ht="14.25" x14ac:dyDescent="0.45">
      <c r="A61" s="33">
        <f>'Input data'!A106</f>
        <v>0</v>
      </c>
      <c r="B61" s="33" t="str">
        <f>'Input data'!B106</f>
        <v>Price movement</v>
      </c>
      <c r="C61" s="33"/>
      <c r="F61" s="366">
        <f>IF(F$13&lt;=selected_year, 'Input data'!E106, F58*F$7)</f>
        <v>43.773684875530776</v>
      </c>
      <c r="G61" s="366">
        <f>IF(G$13&lt;=selected_year, 'Input data'!F106, G58*G$7)</f>
        <v>9.4555446515621551</v>
      </c>
      <c r="H61" s="366">
        <f>IF(H$13&lt;=selected_year, 'Input data'!G106, H58*H$7)</f>
        <v>3.6730183319562029</v>
      </c>
      <c r="I61" s="46">
        <f t="shared" ref="I61:L61" si="46">I58*I$7</f>
        <v>11.659246041977084</v>
      </c>
      <c r="J61" s="46">
        <f t="shared" si="46"/>
        <v>6.6944232452268135</v>
      </c>
      <c r="K61" s="46">
        <f t="shared" si="46"/>
        <v>5.5512514892847253</v>
      </c>
      <c r="L61" s="46">
        <f t="shared" si="46"/>
        <v>4.3576701227353682</v>
      </c>
      <c r="M61" s="46">
        <f t="shared" ref="M61:N61" si="47">M58*M$7</f>
        <v>3.111973646773976</v>
      </c>
      <c r="N61" s="46">
        <f t="shared" si="47"/>
        <v>1.8124030810602536</v>
      </c>
    </row>
    <row r="62" spans="1:16" ht="14.25" x14ac:dyDescent="0.45">
      <c r="A62" s="33">
        <f>'Input data'!A107</f>
        <v>0</v>
      </c>
      <c r="B62" s="33" t="str">
        <f>'Input data'!B107</f>
        <v>Write outs and Other CCA adjustments</v>
      </c>
      <c r="C62" s="33"/>
      <c r="F62" s="366">
        <f>IF(F$13&lt;=selected_year, 'Input data'!E107, 0)</f>
        <v>0</v>
      </c>
      <c r="G62" s="366">
        <f>IF(G$13&lt;=selected_year, 'Input data'!F107, 0)</f>
        <v>16.640201620279068</v>
      </c>
      <c r="H62" s="366">
        <f>IF(H$13&lt;=selected_year, 'Input data'!G107, 0)</f>
        <v>-2.7042450595798067</v>
      </c>
      <c r="I62" s="265"/>
      <c r="J62" s="265"/>
      <c r="K62" s="265"/>
      <c r="L62" s="265"/>
      <c r="M62" s="265"/>
      <c r="N62" s="265"/>
      <c r="P62" s="16" t="s">
        <v>169</v>
      </c>
    </row>
    <row r="63" spans="1:16" ht="14.25" x14ac:dyDescent="0.45">
      <c r="B63" s="33" t="str">
        <f>'Input data'!B108</f>
        <v>Closing NRC</v>
      </c>
      <c r="C63" s="33"/>
      <c r="F63" s="366">
        <f>IF(F$13&lt;=selected_year,'Input data'!E108, SUM(F58:F62))</f>
        <v>291.37325395853367</v>
      </c>
      <c r="G63" s="366">
        <f>IF(G$13&lt;=selected_year,'Input data'!F108, SUM(G58:G62))</f>
        <v>279.49294789908134</v>
      </c>
      <c r="H63" s="366">
        <f>IF(H$13&lt;=selected_year,'Input data'!G108, SUM(H58:H62))</f>
        <v>255.42548136597105</v>
      </c>
      <c r="I63" s="46">
        <f t="shared" ref="I63:L63" si="48">SUM(I58:I62)</f>
        <v>223.14744150756047</v>
      </c>
      <c r="J63" s="46">
        <f t="shared" si="48"/>
        <v>185.04171630949085</v>
      </c>
      <c r="K63" s="46">
        <f t="shared" si="48"/>
        <v>145.25567075784562</v>
      </c>
      <c r="L63" s="46">
        <f t="shared" si="48"/>
        <v>103.73245489246587</v>
      </c>
      <c r="M63" s="46">
        <f t="shared" ref="M63:N63" si="49">SUM(M58:M62)</f>
        <v>60.413436035341789</v>
      </c>
      <c r="N63" s="46">
        <f t="shared" si="49"/>
        <v>15.238144383229695</v>
      </c>
    </row>
    <row r="64" spans="1:16" ht="14.25" x14ac:dyDescent="0.45">
      <c r="B64" s="24" t="s">
        <v>168</v>
      </c>
      <c r="F64" s="266" t="b">
        <f t="shared" ref="F64:H64" si="50">IF(ABS(SUM(F58:F62)-F63)&lt;0.0001,TRUE,FALSE)</f>
        <v>1</v>
      </c>
      <c r="G64" s="266" t="b">
        <f t="shared" si="50"/>
        <v>1</v>
      </c>
      <c r="H64" s="266" t="b">
        <f t="shared" si="50"/>
        <v>1</v>
      </c>
    </row>
    <row r="65" spans="1:16" ht="6" customHeight="1" x14ac:dyDescent="0.4">
      <c r="E65" s="25"/>
    </row>
    <row r="66" spans="1:16" x14ac:dyDescent="0.4">
      <c r="B66" s="17" t="s">
        <v>170</v>
      </c>
      <c r="E66" s="102">
        <f>-AVERAGE(F51,F55)/F60</f>
        <v>56.357217154293537</v>
      </c>
      <c r="F66" s="102"/>
      <c r="G66" s="102"/>
      <c r="H66" s="102"/>
      <c r="I66" s="102"/>
      <c r="J66" s="102"/>
      <c r="K66" s="102"/>
      <c r="L66" s="102"/>
      <c r="M66" s="102"/>
      <c r="N66" s="102"/>
    </row>
    <row r="67" spans="1:16" ht="6" customHeight="1" x14ac:dyDescent="0.4">
      <c r="A67" s="115"/>
      <c r="B67" s="115"/>
      <c r="C67" s="115"/>
      <c r="D67" s="115"/>
      <c r="E67" s="116"/>
      <c r="F67" s="116"/>
      <c r="G67" s="116"/>
      <c r="H67" s="116"/>
      <c r="I67" s="116"/>
      <c r="J67" s="116"/>
      <c r="K67" s="116"/>
      <c r="L67" s="116"/>
      <c r="M67" s="116"/>
      <c r="N67" s="116"/>
      <c r="O67" s="116"/>
      <c r="P67" s="116"/>
    </row>
    <row r="68" spans="1:16" ht="6" customHeight="1" x14ac:dyDescent="0.4"/>
    <row r="69" spans="1:16" x14ac:dyDescent="0.4">
      <c r="A69" s="15" t="s">
        <v>172</v>
      </c>
      <c r="B69" s="14" t="str">
        <f>B51</f>
        <v>Opening GRC</v>
      </c>
      <c r="C69" s="33"/>
      <c r="F69" s="46">
        <f>SUM(F51,F33,F15)</f>
        <v>14215.107414933813</v>
      </c>
      <c r="G69" s="46">
        <f>SUM(G51,G33,G15)</f>
        <v>16058.327716374373</v>
      </c>
      <c r="H69" s="46">
        <f t="shared" ref="H69:L69" si="51">SUM(H51,H33,H15)</f>
        <v>16787.053504789412</v>
      </c>
      <c r="I69" s="46">
        <f t="shared" si="51"/>
        <v>17248.752918619553</v>
      </c>
      <c r="J69" s="46">
        <f t="shared" si="51"/>
        <v>17896.088711525223</v>
      </c>
      <c r="K69" s="46">
        <f t="shared" si="51"/>
        <v>18289.901115360131</v>
      </c>
      <c r="L69" s="46">
        <f t="shared" si="51"/>
        <v>18693.491753562877</v>
      </c>
      <c r="M69" s="46">
        <f t="shared" ref="M69:N69" si="52">SUM(M51,M33,M15)</f>
        <v>19107.12466758673</v>
      </c>
      <c r="N69" s="46">
        <f t="shared" si="52"/>
        <v>19531.071394128692</v>
      </c>
    </row>
    <row r="70" spans="1:16" x14ac:dyDescent="0.4">
      <c r="A70" s="15" t="s">
        <v>173</v>
      </c>
      <c r="B70" s="14" t="str">
        <f t="shared" ref="B70:B73" si="53">B52</f>
        <v>Net asset registrations</v>
      </c>
      <c r="C70" s="33"/>
      <c r="F70" s="46">
        <f>SUM(F52,F34,F16)</f>
        <v>-9.3824315905933764E-3</v>
      </c>
      <c r="G70" s="46">
        <f t="shared" ref="G70:L70" si="54">SUM(G52,G34,G16)</f>
        <v>0</v>
      </c>
      <c r="H70" s="46">
        <f t="shared" si="54"/>
        <v>0</v>
      </c>
      <c r="I70" s="46">
        <f t="shared" si="54"/>
        <v>0</v>
      </c>
      <c r="J70" s="46">
        <f t="shared" si="54"/>
        <v>0</v>
      </c>
      <c r="K70" s="46">
        <f t="shared" si="54"/>
        <v>0</v>
      </c>
      <c r="L70" s="46">
        <f t="shared" si="54"/>
        <v>0</v>
      </c>
      <c r="M70" s="46">
        <f t="shared" ref="M70:N70" si="55">SUM(M52,M34,M16)</f>
        <v>0</v>
      </c>
      <c r="N70" s="46">
        <f t="shared" si="55"/>
        <v>0</v>
      </c>
    </row>
    <row r="71" spans="1:16" x14ac:dyDescent="0.4">
      <c r="B71" s="14" t="str">
        <f t="shared" si="53"/>
        <v>Price movement</v>
      </c>
      <c r="C71" s="33"/>
      <c r="F71" s="46">
        <f>SUM(F53,F35,F17)</f>
        <v>1853.8128913306318</v>
      </c>
      <c r="G71" s="46">
        <f t="shared" ref="G71:L71" si="56">SUM(G53,G35,G17)</f>
        <v>538.37029847907172</v>
      </c>
      <c r="H71" s="46">
        <f t="shared" si="56"/>
        <v>491.77879530529611</v>
      </c>
      <c r="I71" s="46">
        <f t="shared" si="56"/>
        <v>787.34295858020141</v>
      </c>
      <c r="J71" s="46">
        <f t="shared" si="56"/>
        <v>536.88266134575667</v>
      </c>
      <c r="K71" s="46">
        <f t="shared" si="56"/>
        <v>548.69703346080382</v>
      </c>
      <c r="L71" s="46">
        <f t="shared" si="56"/>
        <v>560.80475260688627</v>
      </c>
      <c r="M71" s="46">
        <f t="shared" ref="M71:N71" si="57">SUM(M53,M35,M17)</f>
        <v>573.21374002760183</v>
      </c>
      <c r="N71" s="46">
        <f t="shared" si="57"/>
        <v>585.93214182386077</v>
      </c>
    </row>
    <row r="72" spans="1:16" x14ac:dyDescent="0.4">
      <c r="B72" s="14" t="str">
        <f t="shared" si="53"/>
        <v>Write outs and Other adjs</v>
      </c>
      <c r="C72" s="33"/>
      <c r="F72" s="46">
        <f>SUM(F54,F36,F18)</f>
        <v>-10.583207458480912</v>
      </c>
      <c r="G72" s="46">
        <f t="shared" ref="G72:L72" si="58">SUM(G54,G36,G18)</f>
        <v>190.35548993596609</v>
      </c>
      <c r="H72" s="46">
        <f t="shared" si="58"/>
        <v>-30.0793814751522</v>
      </c>
      <c r="I72" s="46">
        <f t="shared" si="58"/>
        <v>-140.00716567453486</v>
      </c>
      <c r="J72" s="46">
        <f t="shared" si="58"/>
        <v>-143.0702575108489</v>
      </c>
      <c r="K72" s="46">
        <f t="shared" si="58"/>
        <v>-145.10639525805715</v>
      </c>
      <c r="L72" s="46">
        <f t="shared" si="58"/>
        <v>-147.17183858303204</v>
      </c>
      <c r="M72" s="46">
        <f t="shared" ref="M72:N72" si="59">SUM(M54,M36,M18)</f>
        <v>-149.26701348563745</v>
      </c>
      <c r="N72" s="46">
        <f t="shared" si="59"/>
        <v>-151.39235221180522</v>
      </c>
    </row>
    <row r="73" spans="1:16" x14ac:dyDescent="0.4">
      <c r="B73" s="14" t="str">
        <f t="shared" si="53"/>
        <v>Closing GRC</v>
      </c>
      <c r="C73" s="33"/>
      <c r="F73" s="46">
        <f>SUM(F55,F37,F19)</f>
        <v>16058.327716374373</v>
      </c>
      <c r="G73" s="46">
        <f t="shared" ref="G73:L73" si="60">SUM(G55,G37,G19)</f>
        <v>16787.053504789412</v>
      </c>
      <c r="H73" s="46">
        <f t="shared" si="60"/>
        <v>17248.752918619553</v>
      </c>
      <c r="I73" s="46">
        <f t="shared" si="60"/>
        <v>17896.088711525223</v>
      </c>
      <c r="J73" s="46">
        <f t="shared" si="60"/>
        <v>18289.901115360131</v>
      </c>
      <c r="K73" s="46">
        <f t="shared" si="60"/>
        <v>18693.491753562877</v>
      </c>
      <c r="L73" s="46">
        <f t="shared" si="60"/>
        <v>19107.12466758673</v>
      </c>
      <c r="M73" s="46">
        <f t="shared" ref="M73:N73" si="61">SUM(M55,M37,M19)</f>
        <v>19531.071394128692</v>
      </c>
      <c r="N73" s="46">
        <f t="shared" si="61"/>
        <v>19965.611183740748</v>
      </c>
    </row>
    <row r="74" spans="1:16" ht="14.25" x14ac:dyDescent="0.45">
      <c r="B74" s="24" t="s">
        <v>168</v>
      </c>
      <c r="C74" s="33"/>
      <c r="F74" s="269" t="b">
        <f>SUM(F69:F72)=F73</f>
        <v>1</v>
      </c>
      <c r="G74" s="269" t="b">
        <f>G73=SUM(G69:G72)</f>
        <v>1</v>
      </c>
      <c r="H74" s="269" t="b">
        <f t="shared" ref="H74:L74" si="62">H73=SUM(H69:H72)</f>
        <v>1</v>
      </c>
      <c r="I74" s="269" t="b">
        <f t="shared" si="62"/>
        <v>1</v>
      </c>
      <c r="J74" s="269" t="b">
        <f t="shared" si="62"/>
        <v>1</v>
      </c>
      <c r="K74" s="269" t="b">
        <f t="shared" si="62"/>
        <v>1</v>
      </c>
      <c r="L74" s="269" t="b">
        <f t="shared" si="62"/>
        <v>1</v>
      </c>
      <c r="M74" s="269" t="b">
        <f t="shared" ref="M74:N74" si="63">M73=SUM(M69:M72)</f>
        <v>1</v>
      </c>
      <c r="N74" s="269" t="b">
        <f t="shared" si="63"/>
        <v>1</v>
      </c>
    </row>
    <row r="75" spans="1:16" x14ac:dyDescent="0.4">
      <c r="C75" s="33"/>
      <c r="F75" s="33"/>
      <c r="G75" s="33"/>
      <c r="H75" s="33"/>
      <c r="I75" s="33"/>
      <c r="J75" s="33"/>
      <c r="K75" s="33"/>
      <c r="L75" s="33"/>
      <c r="M75" s="33"/>
      <c r="N75" s="33"/>
    </row>
    <row r="76" spans="1:16" x14ac:dyDescent="0.4">
      <c r="A76" s="15" t="s">
        <v>172</v>
      </c>
      <c r="B76" s="14" t="str">
        <f>B58</f>
        <v>Duct Opening NRC</v>
      </c>
      <c r="C76" s="33"/>
      <c r="F76" s="47">
        <f>SUM(F58,F40,F22)</f>
        <v>5312.5329402103052</v>
      </c>
      <c r="G76" s="46">
        <f t="shared" ref="G76:L76" si="64">SUM(G58,G40,G22)</f>
        <v>5620.7386982715689</v>
      </c>
      <c r="H76" s="46">
        <f t="shared" si="64"/>
        <v>5635.8009556548914</v>
      </c>
      <c r="I76" s="46">
        <f t="shared" si="64"/>
        <v>5444.0833216984356</v>
      </c>
      <c r="J76" s="46">
        <f t="shared" si="64"/>
        <v>5390.1414982055367</v>
      </c>
      <c r="K76" s="46">
        <f t="shared" si="64"/>
        <v>5240.2226459156009</v>
      </c>
      <c r="L76" s="46">
        <f t="shared" si="64"/>
        <v>5078.7135051180021</v>
      </c>
      <c r="M76" s="46">
        <f t="shared" ref="M76:N76" si="65">SUM(M58,M40,M22)</f>
        <v>4905.0853640239893</v>
      </c>
      <c r="N76" s="46">
        <f t="shared" si="65"/>
        <v>4718.7886725646167</v>
      </c>
    </row>
    <row r="77" spans="1:16" x14ac:dyDescent="0.4">
      <c r="A77" s="15" t="s">
        <v>174</v>
      </c>
      <c r="B77" s="14" t="str">
        <f t="shared" ref="B77:B81" si="66">B59</f>
        <v>Net Asset registrations</v>
      </c>
      <c r="C77" s="33"/>
      <c r="F77" s="46">
        <f t="shared" ref="F77:F81" si="67">SUM(F59,F41,F23)</f>
        <v>-9.4737107392257602E-3</v>
      </c>
      <c r="G77" s="46">
        <f t="shared" ref="G77:L77" si="68">SUM(G59,G41,G23)</f>
        <v>0</v>
      </c>
      <c r="H77" s="46">
        <f t="shared" si="68"/>
        <v>0</v>
      </c>
      <c r="I77" s="46">
        <f t="shared" si="68"/>
        <v>0</v>
      </c>
      <c r="J77" s="46">
        <f t="shared" si="68"/>
        <v>0</v>
      </c>
      <c r="K77" s="46">
        <f t="shared" si="68"/>
        <v>0</v>
      </c>
      <c r="L77" s="46">
        <f t="shared" si="68"/>
        <v>0</v>
      </c>
      <c r="M77" s="46">
        <f t="shared" ref="M77:N77" si="69">SUM(M59,M41,M23)</f>
        <v>0</v>
      </c>
      <c r="N77" s="46">
        <f t="shared" si="69"/>
        <v>0</v>
      </c>
    </row>
    <row r="78" spans="1:16" x14ac:dyDescent="0.4">
      <c r="B78" s="14" t="str">
        <f t="shared" si="66"/>
        <v>OCM depreciation</v>
      </c>
      <c r="C78" s="33"/>
      <c r="F78" s="46">
        <f t="shared" si="67"/>
        <v>-259.75146970110478</v>
      </c>
      <c r="G78" s="46">
        <f>SUM(G60,G42,G24)</f>
        <v>-282.09184435985742</v>
      </c>
      <c r="H78" s="46">
        <f t="shared" ref="H78:L78" si="70">SUM(H60,H42,H24)</f>
        <v>-338.19963487004526</v>
      </c>
      <c r="I78" s="46">
        <f t="shared" si="70"/>
        <v>-302.44446536425335</v>
      </c>
      <c r="J78" s="46">
        <f t="shared" si="70"/>
        <v>-311.62309723610144</v>
      </c>
      <c r="K78" s="46">
        <f t="shared" si="70"/>
        <v>-318.71582017506728</v>
      </c>
      <c r="L78" s="46">
        <f t="shared" si="70"/>
        <v>-325.98954624755243</v>
      </c>
      <c r="M78" s="46">
        <f t="shared" ref="M78:N78" si="71">SUM(M60,M42,M24)</f>
        <v>-333.44925238009347</v>
      </c>
      <c r="N78" s="46">
        <f t="shared" si="71"/>
        <v>-341.10005827309487</v>
      </c>
    </row>
    <row r="79" spans="1:16" x14ac:dyDescent="0.4">
      <c r="B79" s="14" t="str">
        <f t="shared" si="66"/>
        <v>Price movement</v>
      </c>
      <c r="C79" s="33"/>
      <c r="F79" s="46">
        <f t="shared" si="67"/>
        <v>579.29285699489412</v>
      </c>
      <c r="G79" s="46">
        <f t="shared" ref="G79:L79" si="72">SUM(G61,G43,G25)</f>
        <v>224.12675963110703</v>
      </c>
      <c r="H79" s="46">
        <f t="shared" si="72"/>
        <v>159.10368784816123</v>
      </c>
      <c r="I79" s="46">
        <f t="shared" si="72"/>
        <v>248.50264187135338</v>
      </c>
      <c r="J79" s="46">
        <f t="shared" si="72"/>
        <v>161.70424494616609</v>
      </c>
      <c r="K79" s="46">
        <f t="shared" si="72"/>
        <v>157.20667937746802</v>
      </c>
      <c r="L79" s="46">
        <f t="shared" si="72"/>
        <v>152.36140515354006</v>
      </c>
      <c r="M79" s="46">
        <f t="shared" ref="M79:N79" si="73">SUM(M61,M43,M25)</f>
        <v>147.15256092071968</v>
      </c>
      <c r="N79" s="46">
        <f t="shared" si="73"/>
        <v>141.5636601769385</v>
      </c>
    </row>
    <row r="80" spans="1:16" x14ac:dyDescent="0.4">
      <c r="B80" s="14" t="str">
        <f t="shared" si="66"/>
        <v>Write outs and Other CCA adjustments</v>
      </c>
      <c r="C80" s="33"/>
      <c r="F80" s="46">
        <f t="shared" si="67"/>
        <v>-11.326155521786628</v>
      </c>
      <c r="G80" s="46">
        <f t="shared" ref="G80:L80" si="74">SUM(G62,G44,G26)</f>
        <v>73.027342112072205</v>
      </c>
      <c r="H80" s="46">
        <f t="shared" si="74"/>
        <v>-12.621686934570974</v>
      </c>
      <c r="I80" s="46">
        <f t="shared" si="74"/>
        <v>0</v>
      </c>
      <c r="J80" s="46">
        <f t="shared" si="74"/>
        <v>0</v>
      </c>
      <c r="K80" s="46">
        <f t="shared" si="74"/>
        <v>0</v>
      </c>
      <c r="L80" s="46">
        <f t="shared" si="74"/>
        <v>0</v>
      </c>
      <c r="M80" s="46">
        <f t="shared" ref="M80:N80" si="75">SUM(M62,M44,M26)</f>
        <v>0</v>
      </c>
      <c r="N80" s="46">
        <f t="shared" si="75"/>
        <v>0</v>
      </c>
    </row>
    <row r="81" spans="1:16" x14ac:dyDescent="0.4">
      <c r="B81" s="14" t="str">
        <f t="shared" si="66"/>
        <v>Closing NRC</v>
      </c>
      <c r="C81" s="33"/>
      <c r="F81" s="47">
        <f t="shared" si="67"/>
        <v>5620.7386982715689</v>
      </c>
      <c r="G81" s="46">
        <f t="shared" ref="G81:L81" si="76">SUM(G63,G45,G27)</f>
        <v>5635.8009556548914</v>
      </c>
      <c r="H81" s="46">
        <f t="shared" si="76"/>
        <v>5444.0833216984356</v>
      </c>
      <c r="I81" s="46">
        <f t="shared" si="76"/>
        <v>5390.1414982055367</v>
      </c>
      <c r="J81" s="46">
        <f t="shared" si="76"/>
        <v>5240.2226459156009</v>
      </c>
      <c r="K81" s="46">
        <f t="shared" si="76"/>
        <v>5078.7135051180021</v>
      </c>
      <c r="L81" s="46">
        <f t="shared" si="76"/>
        <v>4905.0853640239893</v>
      </c>
      <c r="M81" s="46">
        <f t="shared" ref="M81:N81" si="77">SUM(M63,M45,M27)</f>
        <v>4718.7886725646167</v>
      </c>
      <c r="N81" s="46">
        <f t="shared" si="77"/>
        <v>4519.2522744684593</v>
      </c>
    </row>
    <row r="82" spans="1:16" ht="14.25" x14ac:dyDescent="0.45">
      <c r="B82" s="24" t="s">
        <v>168</v>
      </c>
      <c r="F82" s="270" t="b">
        <f>IF(ABS(SUM(F76:F80)-F81)&lt;0.000001,TRUE,FALSE)</f>
        <v>1</v>
      </c>
      <c r="G82" s="270" t="b">
        <f>IF(ABS(SUM(G76:G80)-G81)&lt;0.000001,TRUE,FALSE)</f>
        <v>1</v>
      </c>
      <c r="H82" s="270" t="b">
        <f t="shared" ref="H82" si="78">IF(ABS(SUM(H76:H80)-H81)&lt;0.000001,TRUE,FALSE)</f>
        <v>1</v>
      </c>
      <c r="I82" s="270" t="b">
        <f t="shared" ref="I82" si="79">IF(ABS(SUM(I76:I80)-I81)&lt;0.000001,TRUE,FALSE)</f>
        <v>1</v>
      </c>
      <c r="J82" s="270" t="b">
        <f t="shared" ref="J82" si="80">IF(ABS(SUM(J76:J80)-J81)&lt;0.000001,TRUE,FALSE)</f>
        <v>1</v>
      </c>
      <c r="K82" s="270" t="b">
        <f t="shared" ref="K82" si="81">IF(ABS(SUM(K76:K80)-K81)&lt;0.000001,TRUE,FALSE)</f>
        <v>1</v>
      </c>
      <c r="L82" s="270" t="b">
        <f t="shared" ref="L82:N82" si="82">IF(ABS(SUM(L76:L80)-L81)&lt;0.000001,TRUE,FALSE)</f>
        <v>1</v>
      </c>
      <c r="M82" s="270" t="b">
        <f t="shared" si="82"/>
        <v>1</v>
      </c>
      <c r="N82" s="270" t="b">
        <f t="shared" si="82"/>
        <v>1</v>
      </c>
    </row>
    <row r="83" spans="1:16" ht="6" customHeight="1" x14ac:dyDescent="0.4">
      <c r="A83" s="115"/>
      <c r="B83" s="115"/>
      <c r="C83" s="115"/>
      <c r="D83" s="115"/>
      <c r="E83" s="116"/>
      <c r="F83" s="116"/>
      <c r="G83" s="116"/>
      <c r="H83" s="116"/>
      <c r="I83" s="116"/>
      <c r="J83" s="116"/>
      <c r="K83" s="116"/>
      <c r="L83" s="116"/>
      <c r="M83" s="116"/>
      <c r="N83" s="116"/>
      <c r="O83" s="116"/>
      <c r="P83" s="116"/>
    </row>
    <row r="84" spans="1:16" ht="6" customHeight="1" x14ac:dyDescent="0.4"/>
    <row r="85" spans="1:16" x14ac:dyDescent="0.4">
      <c r="A85" s="15" t="s">
        <v>175</v>
      </c>
      <c r="C85" s="17"/>
      <c r="F85" s="36"/>
      <c r="G85" s="33"/>
      <c r="H85" s="33"/>
      <c r="I85" s="33"/>
      <c r="J85" s="33"/>
      <c r="K85" s="33"/>
      <c r="L85" s="33"/>
      <c r="M85" s="33"/>
      <c r="N85" s="33"/>
    </row>
    <row r="86" spans="1:16" x14ac:dyDescent="0.4">
      <c r="C86" s="17"/>
      <c r="D86" s="186"/>
      <c r="F86" s="18" t="s">
        <v>92</v>
      </c>
      <c r="G86" s="18" t="s">
        <v>93</v>
      </c>
      <c r="H86" s="18" t="s">
        <v>51</v>
      </c>
      <c r="I86" s="18" t="s">
        <v>138</v>
      </c>
      <c r="J86" s="18" t="s">
        <v>139</v>
      </c>
      <c r="K86" s="18" t="s">
        <v>140</v>
      </c>
      <c r="L86" s="18" t="s">
        <v>141</v>
      </c>
      <c r="M86" s="18" t="s">
        <v>142</v>
      </c>
      <c r="N86" s="18" t="s">
        <v>143</v>
      </c>
    </row>
    <row r="87" spans="1:16" ht="6" customHeight="1" x14ac:dyDescent="0.4">
      <c r="C87" s="17"/>
      <c r="D87" s="17"/>
      <c r="F87" s="17"/>
      <c r="G87" s="17"/>
      <c r="H87" s="17"/>
      <c r="I87" s="17"/>
      <c r="J87" s="17"/>
      <c r="K87" s="17"/>
      <c r="L87" s="17"/>
      <c r="M87" s="17"/>
      <c r="N87" s="17"/>
      <c r="O87" s="17"/>
    </row>
    <row r="88" spans="1:16" ht="14.25" x14ac:dyDescent="0.45">
      <c r="A88" s="15" t="str">
        <f>'Input data'!A58</f>
        <v>Post 2018/19 assets</v>
      </c>
      <c r="B88" s="14" t="str">
        <f>'Input data'!B58</f>
        <v>Opening GRC</v>
      </c>
      <c r="F88" s="366">
        <f>IF(F$13&lt;=selected_year, 'Input data'!E58, E92)</f>
        <v>1625.8728910900854</v>
      </c>
      <c r="G88" s="366">
        <f>IF(G$13&lt;=selected_year, 'Input data'!F58, F92)</f>
        <v>2286.3840420909446</v>
      </c>
      <c r="H88" s="366">
        <f>IF(H$13&lt;=selected_year, 'Input data'!G58, G92)</f>
        <v>2899.1995423633516</v>
      </c>
      <c r="I88" s="47">
        <f t="shared" ref="I88:L88" si="83">H92</f>
        <v>3507.3117603490105</v>
      </c>
      <c r="J88" s="47">
        <f t="shared" si="83"/>
        <v>4164.8286576184155</v>
      </c>
      <c r="K88" s="47">
        <f t="shared" si="83"/>
        <v>4658.3471592248607</v>
      </c>
      <c r="L88" s="47">
        <f t="shared" si="83"/>
        <v>5088.3204144059882</v>
      </c>
      <c r="M88" s="47">
        <f t="shared" ref="M88" si="84">L92</f>
        <v>5475.996536613332</v>
      </c>
      <c r="N88" s="47">
        <f t="shared" ref="N88" si="85">M92</f>
        <v>5874.1557204446553</v>
      </c>
    </row>
    <row r="89" spans="1:16" ht="14.25" x14ac:dyDescent="0.45">
      <c r="A89" s="15" t="str">
        <f>'Input data'!A59</f>
        <v>GRC</v>
      </c>
      <c r="B89" s="14" t="str">
        <f>'Input data'!B59</f>
        <v>Net asset registrations</v>
      </c>
      <c r="F89" s="366">
        <f>IF(F$13&lt;=selected_year, 'Input data'!E59, F9)</f>
        <v>371.16531053668234</v>
      </c>
      <c r="G89" s="366">
        <f>IF(G$13&lt;=selected_year, 'Input data'!F59, G9)</f>
        <v>489.97463999906387</v>
      </c>
      <c r="H89" s="366">
        <f>IF(H$13&lt;=selected_year, 'Input data'!G59, H9)</f>
        <v>495.70619785554618</v>
      </c>
      <c r="I89" s="206">
        <f t="shared" ref="I89:L89" si="86">I9</f>
        <v>486.32144252110714</v>
      </c>
      <c r="J89" s="206">
        <f t="shared" si="86"/>
        <v>363.12674076639627</v>
      </c>
      <c r="K89" s="206">
        <f t="shared" si="86"/>
        <v>285.93383291072143</v>
      </c>
      <c r="L89" s="206">
        <f t="shared" si="86"/>
        <v>231.55321160114713</v>
      </c>
      <c r="M89" s="206">
        <f t="shared" ref="M89:N89" si="87">M9</f>
        <v>230.42294357923453</v>
      </c>
      <c r="N89" s="206">
        <f t="shared" si="87"/>
        <v>249.16244437100829</v>
      </c>
    </row>
    <row r="90" spans="1:16" ht="14.25" x14ac:dyDescent="0.45">
      <c r="B90" s="14" t="str">
        <f>'Input data'!B60</f>
        <v>Price movement</v>
      </c>
      <c r="F90" s="366">
        <f>IF(F$13&lt;=selected_year,'Input data'!E60,(F88+0.5*F89)*F$7)</f>
        <v>289.34584046417717</v>
      </c>
      <c r="G90" s="366">
        <f>IF(G$13&lt;=selected_year,'Input data'!F60,(G88+0.5*G89)*G$7)</f>
        <v>122.84086027334286</v>
      </c>
      <c r="H90" s="366">
        <f>IF(H$13&lt;=selected_year,'Input data'!G60,(H88+0.5*H89)*H$7)</f>
        <v>112.40602013011274</v>
      </c>
      <c r="I90" s="47">
        <f t="shared" ref="I90:N90" si="88">(I88+0.5*I89)*I$7</f>
        <v>171.19545474829781</v>
      </c>
      <c r="J90" s="47">
        <f t="shared" si="88"/>
        <v>130.39176084004839</v>
      </c>
      <c r="K90" s="47">
        <f t="shared" si="88"/>
        <v>144.03942227040665</v>
      </c>
      <c r="L90" s="47">
        <f t="shared" si="88"/>
        <v>156.12291060619685</v>
      </c>
      <c r="M90" s="47">
        <f t="shared" si="88"/>
        <v>167.73624025208846</v>
      </c>
      <c r="N90" s="47">
        <f t="shared" si="88"/>
        <v>179.96210827890476</v>
      </c>
    </row>
    <row r="91" spans="1:16" ht="14.25" x14ac:dyDescent="0.45">
      <c r="B91" s="14" t="str">
        <f>'Input data'!B61</f>
        <v>Write outs and Other adjs</v>
      </c>
      <c r="F91" s="366">
        <f>IF(F$13&lt;=selected_year, 'Input data'!E61, 0)</f>
        <v>0</v>
      </c>
      <c r="G91" s="366">
        <f>IF(G$13&lt;=selected_year, 'Input data'!F61, 0)</f>
        <v>0</v>
      </c>
      <c r="H91" s="366">
        <f>IF(H$13&lt;=selected_year, 'Input data'!G61, 0)</f>
        <v>0</v>
      </c>
      <c r="I91" s="265"/>
      <c r="J91" s="265"/>
      <c r="K91" s="265"/>
      <c r="L91" s="265"/>
      <c r="M91" s="265"/>
      <c r="N91" s="265"/>
      <c r="P91" s="16" t="s">
        <v>176</v>
      </c>
    </row>
    <row r="92" spans="1:16" ht="14.25" x14ac:dyDescent="0.45">
      <c r="B92" s="14" t="str">
        <f>'Input data'!B62</f>
        <v>Closing GRC</v>
      </c>
      <c r="F92" s="366">
        <f>IF(F$13&lt;=selected_year,'Input data'!E62, SUM(F88:F91))</f>
        <v>2286.3840420909446</v>
      </c>
      <c r="G92" s="366">
        <f>IF(G$13&lt;=selected_year,'Input data'!F62, SUM(G88:G91))</f>
        <v>2899.1995423633516</v>
      </c>
      <c r="H92" s="366">
        <f>IF(H$13&lt;=selected_year,'Input data'!G62, SUM(H88:H91))</f>
        <v>3507.3117603490105</v>
      </c>
      <c r="I92" s="47">
        <f t="shared" ref="I92:L92" si="89">SUM(I88:I91)</f>
        <v>4164.8286576184155</v>
      </c>
      <c r="J92" s="47">
        <f t="shared" si="89"/>
        <v>4658.3471592248607</v>
      </c>
      <c r="K92" s="47">
        <f t="shared" si="89"/>
        <v>5088.3204144059882</v>
      </c>
      <c r="L92" s="47">
        <f t="shared" si="89"/>
        <v>5475.996536613332</v>
      </c>
      <c r="M92" s="47">
        <f t="shared" ref="M92:N92" si="90">SUM(M88:M91)</f>
        <v>5874.1557204446553</v>
      </c>
      <c r="N92" s="47">
        <f t="shared" si="90"/>
        <v>6303.2802730945677</v>
      </c>
    </row>
    <row r="93" spans="1:16" x14ac:dyDescent="0.4">
      <c r="B93" s="24" t="s">
        <v>168</v>
      </c>
    </row>
    <row r="94" spans="1:16" x14ac:dyDescent="0.4">
      <c r="C94" s="17"/>
      <c r="D94" s="17"/>
    </row>
    <row r="95" spans="1:16" ht="14.25" x14ac:dyDescent="0.45">
      <c r="A95" s="15" t="str">
        <f>'Input data'!A64</f>
        <v>Post 2018/19 assets</v>
      </c>
      <c r="B95" s="14" t="str">
        <f>'Input data'!B64</f>
        <v>Duct Opening NRC</v>
      </c>
      <c r="F95" s="366">
        <f>IF(F$13&lt;=selected_year, 'Input data'!E64, E100)</f>
        <v>1528.6273035350068</v>
      </c>
      <c r="G95" s="366">
        <f>IF(G$13&lt;=selected_year, 'Input data'!F64, F100)</f>
        <v>2086.8500432809674</v>
      </c>
      <c r="H95" s="366">
        <f>IF(H$13&lt;=selected_year, 'Input data'!G64, G100)</f>
        <v>2779.9618543774086</v>
      </c>
      <c r="I95" s="47">
        <f t="shared" ref="I95:L95" si="91">H100</f>
        <v>3180.2243098142103</v>
      </c>
      <c r="J95" s="47">
        <f t="shared" si="91"/>
        <v>3726.9090970540369</v>
      </c>
      <c r="K95" s="47">
        <f t="shared" si="91"/>
        <v>4097.0003141330089</v>
      </c>
      <c r="L95" s="47">
        <f t="shared" si="91"/>
        <v>4388.2998192909963</v>
      </c>
      <c r="M95" s="47">
        <f t="shared" ref="M95" si="92">L100</f>
        <v>4622.9213617571486</v>
      </c>
      <c r="N95" s="47">
        <f t="shared" ref="N95" si="93">M100</f>
        <v>4853.6113871295611</v>
      </c>
    </row>
    <row r="96" spans="1:16" x14ac:dyDescent="0.4">
      <c r="A96" s="15" t="str">
        <f>'Input data'!A65</f>
        <v>NRC</v>
      </c>
      <c r="B96" s="14" t="str">
        <f>'Input data'!B65</f>
        <v>Net Asset registrations</v>
      </c>
      <c r="D96" s="187"/>
      <c r="F96" s="47">
        <f>F89</f>
        <v>371.16531053668234</v>
      </c>
      <c r="G96" s="47">
        <f>G89</f>
        <v>489.97463999906387</v>
      </c>
      <c r="H96" s="47">
        <f t="shared" ref="H96:L96" si="94">H89</f>
        <v>495.70619785554618</v>
      </c>
      <c r="I96" s="47">
        <f t="shared" si="94"/>
        <v>486.32144252110714</v>
      </c>
      <c r="J96" s="47">
        <f t="shared" si="94"/>
        <v>363.12674076639627</v>
      </c>
      <c r="K96" s="47">
        <f t="shared" si="94"/>
        <v>285.93383291072143</v>
      </c>
      <c r="L96" s="47">
        <f t="shared" si="94"/>
        <v>231.55321160114713</v>
      </c>
      <c r="M96" s="47">
        <f t="shared" ref="M96:N96" si="95">M89</f>
        <v>230.42294357923453</v>
      </c>
      <c r="N96" s="47">
        <f t="shared" si="95"/>
        <v>249.16244437100829</v>
      </c>
    </row>
    <row r="97" spans="1:16" ht="14.25" x14ac:dyDescent="0.45">
      <c r="B97" s="14" t="str">
        <f>'Input data'!B66</f>
        <v>OCM depreciation</v>
      </c>
      <c r="F97" s="366">
        <f>IF(F$13&lt;=selected_year, (-F88)/duct_asset_life-0.5*F96/duct_asset_life, -AVERAGE(F88,F92)/duct_asset_life)</f>
        <v>-45.286388658960661</v>
      </c>
      <c r="G97" s="366">
        <f>IF(G$13&lt;=selected_year, (-G88)/duct_asset_life-0.5*G96/duct_asset_life, -AVERAGE(G88,G92)/duct_asset_life)</f>
        <v>-63.28428405226191</v>
      </c>
      <c r="H97" s="366">
        <f>IF(H$13&lt;=selected_year, (-H88)/duct_asset_life-0.5*H96/duct_asset_life, -AVERAGE(H88,H92)/duct_asset_life)</f>
        <v>-78.676316032278123</v>
      </c>
      <c r="I97" s="224">
        <f t="shared" ref="I97:L97" si="96">-AVERAGE(I88,I92)/duct_asset_life</f>
        <v>-95.901755224592833</v>
      </c>
      <c r="J97" s="224">
        <f t="shared" si="96"/>
        <v>-110.28969771054093</v>
      </c>
      <c r="K97" s="224">
        <f t="shared" si="96"/>
        <v>-121.83334467038563</v>
      </c>
      <c r="L97" s="224">
        <f t="shared" si="96"/>
        <v>-132.05396188774151</v>
      </c>
      <c r="M97" s="224">
        <f t="shared" ref="M97:N97" si="97">-AVERAGE(M88,M92)/duct_asset_life</f>
        <v>-141.87690321322484</v>
      </c>
      <c r="N97" s="224">
        <f t="shared" si="97"/>
        <v>-152.21794991924031</v>
      </c>
    </row>
    <row r="98" spans="1:16" ht="14.25" x14ac:dyDescent="0.45">
      <c r="B98" s="14" t="str">
        <f>'Input data'!B67</f>
        <v>Price movement</v>
      </c>
      <c r="F98" s="366">
        <f>IF(F$13&lt;=selected_year, 'Input data'!E67, (F95+0.5*F96)*F$7)</f>
        <v>194.36969934072917</v>
      </c>
      <c r="G98" s="366">
        <f>IF(G$13&lt;=selected_year, 'Input data'!F67, (G95+0.5*G96)*G$7)</f>
        <v>84.076439879692515</v>
      </c>
      <c r="H98" s="366">
        <f>IF(H$13&lt;=selected_year, 'Input data'!G67, (H95+0.5*H96)*H$7)</f>
        <v>98.900983771299707</v>
      </c>
      <c r="I98" s="47">
        <f t="shared" ref="I98:N98" si="98">(I95+0.5*I96)*I$7</f>
        <v>156.26509994331198</v>
      </c>
      <c r="J98" s="47">
        <f t="shared" si="98"/>
        <v>117.25417402311705</v>
      </c>
      <c r="K98" s="47">
        <f t="shared" si="98"/>
        <v>127.19901691765108</v>
      </c>
      <c r="L98" s="47">
        <f t="shared" si="98"/>
        <v>135.12229275274709</v>
      </c>
      <c r="M98" s="47">
        <f t="shared" si="98"/>
        <v>142.14398500640297</v>
      </c>
      <c r="N98" s="47">
        <f t="shared" si="98"/>
        <v>149.34577827945193</v>
      </c>
    </row>
    <row r="99" spans="1:16" ht="14.25" x14ac:dyDescent="0.45">
      <c r="B99" s="14" t="str">
        <f>'Input data'!B68</f>
        <v>Write outs and Other CCA adjustments</v>
      </c>
      <c r="F99" s="366">
        <f>IF(F$13&lt;=selected_year, 'Input data'!E68, 0)</f>
        <v>0</v>
      </c>
      <c r="G99" s="366">
        <f>IF(G$13&lt;=selected_year, 'Input data'!F68, 0)</f>
        <v>0</v>
      </c>
      <c r="H99" s="366">
        <f>IF(H$13&lt;=selected_year, 'Input data'!G68, 0)</f>
        <v>0</v>
      </c>
      <c r="I99" s="265"/>
      <c r="J99" s="265"/>
      <c r="K99" s="265"/>
      <c r="L99" s="265"/>
      <c r="M99" s="265"/>
      <c r="N99" s="265"/>
      <c r="P99" s="16" t="s">
        <v>169</v>
      </c>
    </row>
    <row r="100" spans="1:16" ht="14.25" x14ac:dyDescent="0.45">
      <c r="B100" s="14" t="str">
        <f>'Input data'!B69</f>
        <v>Closing NRC</v>
      </c>
      <c r="F100" s="366">
        <f>IF(F$13&lt;=selected_year,'Input data'!E69, SUM(F95:F99))</f>
        <v>2086.8500432809674</v>
      </c>
      <c r="G100" s="366">
        <f>IF(G$13&lt;=selected_year,'Input data'!F69, SUM(G95:G99))</f>
        <v>2779.9618543774086</v>
      </c>
      <c r="H100" s="366">
        <f>IF(H$13&lt;=selected_year,'Input data'!G69, SUM(H95:H99))</f>
        <v>3180.2243098142103</v>
      </c>
      <c r="I100" s="47">
        <f t="shared" ref="I100:L100" si="99">SUM(I95:I99)</f>
        <v>3726.9090970540369</v>
      </c>
      <c r="J100" s="47">
        <f t="shared" si="99"/>
        <v>4097.0003141330089</v>
      </c>
      <c r="K100" s="47">
        <f t="shared" si="99"/>
        <v>4388.2998192909963</v>
      </c>
      <c r="L100" s="47">
        <f t="shared" si="99"/>
        <v>4622.9213617571486</v>
      </c>
      <c r="M100" s="47">
        <f t="shared" ref="M100:N100" si="100">SUM(M95:M99)</f>
        <v>4853.6113871295611</v>
      </c>
      <c r="N100" s="47">
        <f t="shared" si="100"/>
        <v>5099.9016598607805</v>
      </c>
    </row>
    <row r="101" spans="1:16" x14ac:dyDescent="0.4">
      <c r="F101" s="102"/>
      <c r="G101" s="102"/>
      <c r="H101" s="102"/>
      <c r="I101" s="102"/>
      <c r="J101" s="102"/>
      <c r="K101" s="102"/>
      <c r="L101" s="102"/>
      <c r="M101" s="102"/>
      <c r="N101" s="102"/>
    </row>
    <row r="102" spans="1:16" ht="6" customHeight="1" thickBot="1" x14ac:dyDescent="0.45">
      <c r="A102" s="22"/>
      <c r="B102" s="22"/>
      <c r="C102" s="22"/>
      <c r="D102" s="22"/>
      <c r="E102" s="23"/>
      <c r="F102" s="23"/>
      <c r="G102" s="23"/>
      <c r="H102" s="23"/>
      <c r="I102" s="23"/>
      <c r="J102" s="23"/>
      <c r="K102" s="23"/>
      <c r="L102" s="23"/>
      <c r="M102" s="23"/>
      <c r="N102" s="23"/>
      <c r="O102" s="23"/>
      <c r="P102" s="23"/>
    </row>
    <row r="103" spans="1:16" ht="9" customHeight="1" thickTop="1" x14ac:dyDescent="0.4"/>
    <row r="104" spans="1:16" x14ac:dyDescent="0.4">
      <c r="A104" s="198" t="s">
        <v>177</v>
      </c>
      <c r="B104" s="199"/>
      <c r="C104" s="199"/>
      <c r="D104" s="18"/>
      <c r="E104" s="18"/>
      <c r="F104" s="18" t="s">
        <v>92</v>
      </c>
      <c r="G104" s="18" t="s">
        <v>93</v>
      </c>
      <c r="H104" s="18" t="s">
        <v>51</v>
      </c>
      <c r="I104" s="18" t="s">
        <v>138</v>
      </c>
      <c r="J104" s="18" t="s">
        <v>139</v>
      </c>
      <c r="K104" s="18" t="s">
        <v>140</v>
      </c>
      <c r="L104" s="18" t="s">
        <v>141</v>
      </c>
      <c r="M104" s="18" t="s">
        <v>142</v>
      </c>
      <c r="N104" s="18" t="s">
        <v>143</v>
      </c>
    </row>
    <row r="105" spans="1:16" x14ac:dyDescent="0.4">
      <c r="A105" s="219" t="s">
        <v>178</v>
      </c>
      <c r="B105" s="219" t="s">
        <v>97</v>
      </c>
      <c r="F105" s="220">
        <f t="shared" ref="F105:N105" si="101">(F69+F73)/2</f>
        <v>15136.717565654093</v>
      </c>
      <c r="G105" s="220">
        <f t="shared" si="101"/>
        <v>16422.690610581893</v>
      </c>
      <c r="H105" s="220">
        <f t="shared" si="101"/>
        <v>17017.903211704484</v>
      </c>
      <c r="I105" s="220">
        <f t="shared" si="101"/>
        <v>17572.420815072386</v>
      </c>
      <c r="J105" s="220">
        <f t="shared" si="101"/>
        <v>18092.994913442679</v>
      </c>
      <c r="K105" s="220">
        <f t="shared" si="101"/>
        <v>18491.696434461504</v>
      </c>
      <c r="L105" s="220">
        <f t="shared" si="101"/>
        <v>18900.308210574804</v>
      </c>
      <c r="M105" s="220">
        <f t="shared" si="101"/>
        <v>19319.098030857713</v>
      </c>
      <c r="N105" s="220">
        <f t="shared" si="101"/>
        <v>19748.34128893472</v>
      </c>
    </row>
    <row r="106" spans="1:16" x14ac:dyDescent="0.4">
      <c r="F106" s="47"/>
      <c r="G106" s="47"/>
      <c r="H106" s="47"/>
      <c r="I106" s="47"/>
      <c r="J106" s="47"/>
      <c r="K106" s="47"/>
      <c r="L106" s="47"/>
      <c r="M106" s="47"/>
      <c r="N106" s="47"/>
    </row>
    <row r="107" spans="1:16" x14ac:dyDescent="0.4">
      <c r="B107" s="219" t="s">
        <v>100</v>
      </c>
      <c r="F107" s="220">
        <f t="shared" ref="F107:N107" si="102">(F76+F81)/2</f>
        <v>5466.6358192409371</v>
      </c>
      <c r="G107" s="220">
        <f t="shared" si="102"/>
        <v>5628.2698269632301</v>
      </c>
      <c r="H107" s="220">
        <f t="shared" si="102"/>
        <v>5539.9421386766635</v>
      </c>
      <c r="I107" s="220">
        <f t="shared" si="102"/>
        <v>5417.1124099519857</v>
      </c>
      <c r="J107" s="220">
        <f t="shared" si="102"/>
        <v>5315.1820720605683</v>
      </c>
      <c r="K107" s="220">
        <f t="shared" si="102"/>
        <v>5159.468075516801</v>
      </c>
      <c r="L107" s="220">
        <f t="shared" si="102"/>
        <v>4991.8994345709962</v>
      </c>
      <c r="M107" s="220">
        <f t="shared" si="102"/>
        <v>4811.937018294303</v>
      </c>
      <c r="N107" s="220">
        <f t="shared" si="102"/>
        <v>4619.020473516538</v>
      </c>
    </row>
    <row r="108" spans="1:16" x14ac:dyDescent="0.4">
      <c r="F108" s="47"/>
      <c r="G108" s="47"/>
      <c r="H108" s="47"/>
      <c r="I108" s="47"/>
      <c r="J108" s="47"/>
      <c r="K108" s="47"/>
      <c r="L108" s="47"/>
      <c r="M108" s="47"/>
      <c r="N108" s="47"/>
    </row>
    <row r="109" spans="1:16" x14ac:dyDescent="0.4">
      <c r="B109" s="219" t="s">
        <v>78</v>
      </c>
      <c r="F109" s="220">
        <f t="shared" ref="F109:N109" si="103">F78</f>
        <v>-259.75146970110478</v>
      </c>
      <c r="G109" s="220">
        <f t="shared" si="103"/>
        <v>-282.09184435985742</v>
      </c>
      <c r="H109" s="220">
        <f t="shared" si="103"/>
        <v>-338.19963487004526</v>
      </c>
      <c r="I109" s="220">
        <f t="shared" si="103"/>
        <v>-302.44446536425335</v>
      </c>
      <c r="J109" s="220">
        <f t="shared" si="103"/>
        <v>-311.62309723610144</v>
      </c>
      <c r="K109" s="220">
        <f t="shared" si="103"/>
        <v>-318.71582017506728</v>
      </c>
      <c r="L109" s="220">
        <f t="shared" si="103"/>
        <v>-325.98954624755243</v>
      </c>
      <c r="M109" s="220">
        <f t="shared" si="103"/>
        <v>-333.44925238009347</v>
      </c>
      <c r="N109" s="220">
        <f t="shared" si="103"/>
        <v>-341.10005827309487</v>
      </c>
    </row>
    <row r="110" spans="1:16" x14ac:dyDescent="0.4">
      <c r="F110" s="47"/>
      <c r="G110" s="47"/>
      <c r="H110" s="47"/>
      <c r="I110" s="47"/>
      <c r="J110" s="47"/>
      <c r="K110" s="47"/>
      <c r="L110" s="47"/>
      <c r="M110" s="47"/>
      <c r="N110" s="47"/>
    </row>
    <row r="111" spans="1:16" x14ac:dyDescent="0.4">
      <c r="A111" s="219" t="s">
        <v>179</v>
      </c>
      <c r="B111" s="219" t="s">
        <v>97</v>
      </c>
      <c r="F111" s="220">
        <f>(F88+F92)/2</f>
        <v>1956.128466590515</v>
      </c>
      <c r="G111" s="220">
        <f t="shared" ref="G111:N111" si="104">(G88+G92)/2</f>
        <v>2592.7917922271481</v>
      </c>
      <c r="H111" s="220">
        <f t="shared" si="104"/>
        <v>3203.2556513561813</v>
      </c>
      <c r="I111" s="220">
        <f t="shared" si="104"/>
        <v>3836.0702089837132</v>
      </c>
      <c r="J111" s="220">
        <f t="shared" si="104"/>
        <v>4411.5879084216376</v>
      </c>
      <c r="K111" s="220">
        <f t="shared" si="104"/>
        <v>4873.3337868154249</v>
      </c>
      <c r="L111" s="220">
        <f t="shared" si="104"/>
        <v>5282.1584755096601</v>
      </c>
      <c r="M111" s="220">
        <f t="shared" si="104"/>
        <v>5675.0761285289936</v>
      </c>
      <c r="N111" s="220">
        <f t="shared" si="104"/>
        <v>6088.717996769612</v>
      </c>
    </row>
    <row r="112" spans="1:16" x14ac:dyDescent="0.4">
      <c r="F112" s="47"/>
      <c r="G112" s="47"/>
      <c r="H112" s="47"/>
      <c r="I112" s="47"/>
      <c r="J112" s="47"/>
      <c r="K112" s="47"/>
      <c r="L112" s="47"/>
      <c r="M112" s="47"/>
      <c r="N112" s="47"/>
    </row>
    <row r="113" spans="1:16" x14ac:dyDescent="0.4">
      <c r="B113" s="219" t="s">
        <v>100</v>
      </c>
      <c r="F113" s="220">
        <f>SUM(F95+F100)/2</f>
        <v>1807.7386734079871</v>
      </c>
      <c r="G113" s="220">
        <f t="shared" ref="G113:N113" si="105">SUM(G95+G100)/2</f>
        <v>2433.4059488291878</v>
      </c>
      <c r="H113" s="220">
        <f t="shared" si="105"/>
        <v>2980.0930820958092</v>
      </c>
      <c r="I113" s="220">
        <f t="shared" si="105"/>
        <v>3453.5667034341236</v>
      </c>
      <c r="J113" s="220">
        <f t="shared" si="105"/>
        <v>3911.9547055935227</v>
      </c>
      <c r="K113" s="220">
        <f t="shared" si="105"/>
        <v>4242.6500667120026</v>
      </c>
      <c r="L113" s="220">
        <f t="shared" si="105"/>
        <v>4505.6105905240729</v>
      </c>
      <c r="M113" s="220">
        <f t="shared" si="105"/>
        <v>4738.2663744433548</v>
      </c>
      <c r="N113" s="220">
        <f t="shared" si="105"/>
        <v>4976.7565234951708</v>
      </c>
    </row>
    <row r="114" spans="1:16" x14ac:dyDescent="0.4">
      <c r="B114" s="219" t="s">
        <v>78</v>
      </c>
      <c r="F114" s="220">
        <f>F97</f>
        <v>-45.286388658960661</v>
      </c>
      <c r="G114" s="220">
        <f t="shared" ref="G114:N114" si="106">G97</f>
        <v>-63.28428405226191</v>
      </c>
      <c r="H114" s="220">
        <f t="shared" si="106"/>
        <v>-78.676316032278123</v>
      </c>
      <c r="I114" s="220">
        <f t="shared" si="106"/>
        <v>-95.901755224592833</v>
      </c>
      <c r="J114" s="220">
        <f t="shared" si="106"/>
        <v>-110.28969771054093</v>
      </c>
      <c r="K114" s="220">
        <f t="shared" si="106"/>
        <v>-121.83334467038563</v>
      </c>
      <c r="L114" s="220">
        <f t="shared" si="106"/>
        <v>-132.05396188774151</v>
      </c>
      <c r="M114" s="220">
        <f t="shared" si="106"/>
        <v>-141.87690321322484</v>
      </c>
      <c r="N114" s="220">
        <f t="shared" si="106"/>
        <v>-152.21794991924031</v>
      </c>
    </row>
    <row r="115" spans="1:16" ht="6" customHeight="1" thickBot="1" x14ac:dyDescent="0.45">
      <c r="A115" s="22"/>
      <c r="B115" s="22"/>
      <c r="C115" s="22"/>
      <c r="D115" s="22"/>
      <c r="E115" s="22"/>
      <c r="F115" s="22"/>
      <c r="G115" s="23"/>
      <c r="H115" s="23"/>
      <c r="I115" s="23"/>
      <c r="J115" s="23"/>
      <c r="K115" s="23"/>
      <c r="L115" s="23"/>
      <c r="M115" s="23"/>
      <c r="N115" s="23"/>
      <c r="O115" s="23"/>
      <c r="P115" s="23"/>
    </row>
    <row r="116" spans="1:16" ht="7.15" customHeight="1" thickTop="1" x14ac:dyDescent="0.4"/>
    <row r="117" spans="1:16" x14ac:dyDescent="0.4">
      <c r="A117" s="15" t="s">
        <v>180</v>
      </c>
      <c r="B117" s="14" t="s">
        <v>95</v>
      </c>
      <c r="F117" s="33">
        <f>F88+F69</f>
        <v>15840.980306023899</v>
      </c>
      <c r="G117" s="33">
        <f t="shared" ref="G117:N117" si="107">G88+G69</f>
        <v>18344.711758465317</v>
      </c>
      <c r="H117" s="33">
        <f t="shared" si="107"/>
        <v>19686.253047152764</v>
      </c>
      <c r="I117" s="33">
        <f t="shared" si="107"/>
        <v>20756.064678968563</v>
      </c>
      <c r="J117" s="33">
        <f t="shared" si="107"/>
        <v>22060.917369143637</v>
      </c>
      <c r="K117" s="33">
        <f t="shared" si="107"/>
        <v>22948.248274584992</v>
      </c>
      <c r="L117" s="33">
        <f t="shared" si="107"/>
        <v>23781.812167968867</v>
      </c>
      <c r="M117" s="33">
        <f t="shared" si="107"/>
        <v>24583.121204200062</v>
      </c>
      <c r="N117" s="33">
        <f t="shared" si="107"/>
        <v>25405.227114573347</v>
      </c>
    </row>
    <row r="118" spans="1:16" x14ac:dyDescent="0.4">
      <c r="B118" s="14" t="s">
        <v>181</v>
      </c>
      <c r="F118" s="33">
        <f t="shared" ref="F118:N118" si="108">F89+F70</f>
        <v>371.15592810509173</v>
      </c>
      <c r="G118" s="33">
        <f t="shared" si="108"/>
        <v>489.97463999906387</v>
      </c>
      <c r="H118" s="33">
        <f t="shared" si="108"/>
        <v>495.70619785554618</v>
      </c>
      <c r="I118" s="33">
        <f t="shared" si="108"/>
        <v>486.32144252110714</v>
      </c>
      <c r="J118" s="33">
        <f t="shared" si="108"/>
        <v>363.12674076639627</v>
      </c>
      <c r="K118" s="33">
        <f t="shared" si="108"/>
        <v>285.93383291072143</v>
      </c>
      <c r="L118" s="33">
        <f t="shared" si="108"/>
        <v>231.55321160114713</v>
      </c>
      <c r="M118" s="33">
        <f t="shared" si="108"/>
        <v>230.42294357923453</v>
      </c>
      <c r="N118" s="33">
        <f t="shared" si="108"/>
        <v>249.16244437100829</v>
      </c>
    </row>
    <row r="119" spans="1:16" x14ac:dyDescent="0.4">
      <c r="B119" s="14" t="s">
        <v>182</v>
      </c>
      <c r="F119" s="33">
        <f t="shared" ref="F119:N119" si="109">F90+F71</f>
        <v>2143.1587317948088</v>
      </c>
      <c r="G119" s="33">
        <f t="shared" si="109"/>
        <v>661.21115875241458</v>
      </c>
      <c r="H119" s="33">
        <f t="shared" si="109"/>
        <v>604.18481543540884</v>
      </c>
      <c r="I119" s="33">
        <f t="shared" si="109"/>
        <v>958.53841332849925</v>
      </c>
      <c r="J119" s="33">
        <f t="shared" si="109"/>
        <v>667.27442218580507</v>
      </c>
      <c r="K119" s="33">
        <f t="shared" si="109"/>
        <v>692.73645573121053</v>
      </c>
      <c r="L119" s="33">
        <f t="shared" si="109"/>
        <v>716.92766321308318</v>
      </c>
      <c r="M119" s="33">
        <f t="shared" si="109"/>
        <v>740.94998027969029</v>
      </c>
      <c r="N119" s="33">
        <f t="shared" si="109"/>
        <v>765.89425010276557</v>
      </c>
    </row>
    <row r="120" spans="1:16" x14ac:dyDescent="0.4">
      <c r="B120" s="14" t="s">
        <v>183</v>
      </c>
      <c r="F120" s="33">
        <f t="shared" ref="F120:N120" si="110">F91+F72</f>
        <v>-10.583207458480912</v>
      </c>
      <c r="G120" s="33">
        <f t="shared" si="110"/>
        <v>190.35548993596609</v>
      </c>
      <c r="H120" s="33">
        <f t="shared" si="110"/>
        <v>-30.0793814751522</v>
      </c>
      <c r="I120" s="33">
        <f t="shared" si="110"/>
        <v>-140.00716567453486</v>
      </c>
      <c r="J120" s="33">
        <f t="shared" si="110"/>
        <v>-143.0702575108489</v>
      </c>
      <c r="K120" s="33">
        <f t="shared" si="110"/>
        <v>-145.10639525805715</v>
      </c>
      <c r="L120" s="33">
        <f t="shared" si="110"/>
        <v>-147.17183858303204</v>
      </c>
      <c r="M120" s="33">
        <f t="shared" si="110"/>
        <v>-149.26701348563745</v>
      </c>
      <c r="N120" s="33">
        <f t="shared" si="110"/>
        <v>-151.39235221180522</v>
      </c>
    </row>
    <row r="121" spans="1:16" x14ac:dyDescent="0.4">
      <c r="B121" s="14" t="s">
        <v>96</v>
      </c>
      <c r="F121" s="33">
        <f t="shared" ref="F121:N121" si="111">F92+F73</f>
        <v>18344.711758465317</v>
      </c>
      <c r="G121" s="33">
        <f t="shared" si="111"/>
        <v>19686.253047152764</v>
      </c>
      <c r="H121" s="33">
        <f t="shared" si="111"/>
        <v>20756.064678968563</v>
      </c>
      <c r="I121" s="33">
        <f t="shared" si="111"/>
        <v>22060.917369143637</v>
      </c>
      <c r="J121" s="33">
        <f t="shared" si="111"/>
        <v>22948.248274584992</v>
      </c>
      <c r="K121" s="33">
        <f t="shared" si="111"/>
        <v>23781.812167968867</v>
      </c>
      <c r="L121" s="33">
        <f t="shared" si="111"/>
        <v>24583.121204200062</v>
      </c>
      <c r="M121" s="33">
        <f t="shared" si="111"/>
        <v>25405.227114573347</v>
      </c>
      <c r="N121" s="33">
        <f t="shared" si="111"/>
        <v>26268.891456835314</v>
      </c>
    </row>
    <row r="124" spans="1:16" x14ac:dyDescent="0.4">
      <c r="B124" s="14" t="s">
        <v>184</v>
      </c>
      <c r="F124" s="33">
        <f>F95+F76</f>
        <v>6841.1602437453121</v>
      </c>
      <c r="G124" s="33">
        <f t="shared" ref="G124:N124" si="112">G95+G76</f>
        <v>7707.5887415525358</v>
      </c>
      <c r="H124" s="33">
        <f t="shared" si="112"/>
        <v>8415.7628100323</v>
      </c>
      <c r="I124" s="33">
        <f t="shared" si="112"/>
        <v>8624.3076315126455</v>
      </c>
      <c r="J124" s="33">
        <f t="shared" si="112"/>
        <v>9117.050595259574</v>
      </c>
      <c r="K124" s="33">
        <f t="shared" si="112"/>
        <v>9337.2229600486098</v>
      </c>
      <c r="L124" s="33">
        <f t="shared" si="112"/>
        <v>9467.0133244089993</v>
      </c>
      <c r="M124" s="33">
        <f t="shared" si="112"/>
        <v>9528.0067257811388</v>
      </c>
      <c r="N124" s="33">
        <f t="shared" si="112"/>
        <v>9572.4000596941769</v>
      </c>
    </row>
    <row r="125" spans="1:16" x14ac:dyDescent="0.4">
      <c r="B125" s="14" t="s">
        <v>185</v>
      </c>
      <c r="F125" s="33">
        <f t="shared" ref="F125:N129" si="113">F96+F77</f>
        <v>371.15583682594314</v>
      </c>
      <c r="G125" s="33">
        <f t="shared" si="113"/>
        <v>489.97463999906387</v>
      </c>
      <c r="H125" s="33">
        <f t="shared" si="113"/>
        <v>495.70619785554618</v>
      </c>
      <c r="I125" s="33">
        <f t="shared" si="113"/>
        <v>486.32144252110714</v>
      </c>
      <c r="J125" s="33">
        <f t="shared" si="113"/>
        <v>363.12674076639627</v>
      </c>
      <c r="K125" s="33">
        <f t="shared" si="113"/>
        <v>285.93383291072143</v>
      </c>
      <c r="L125" s="33">
        <f t="shared" si="113"/>
        <v>231.55321160114713</v>
      </c>
      <c r="M125" s="33">
        <f t="shared" si="113"/>
        <v>230.42294357923453</v>
      </c>
      <c r="N125" s="33">
        <f t="shared" si="113"/>
        <v>249.16244437100829</v>
      </c>
    </row>
    <row r="126" spans="1:16" x14ac:dyDescent="0.4">
      <c r="B126" s="14" t="s">
        <v>101</v>
      </c>
      <c r="F126" s="33">
        <f t="shared" si="113"/>
        <v>-305.03785836006546</v>
      </c>
      <c r="G126" s="33">
        <f t="shared" si="113"/>
        <v>-345.37612841211933</v>
      </c>
      <c r="H126" s="33">
        <f t="shared" si="113"/>
        <v>-416.87595090232338</v>
      </c>
      <c r="I126" s="33">
        <f t="shared" si="113"/>
        <v>-398.34622058884617</v>
      </c>
      <c r="J126" s="33">
        <f t="shared" si="113"/>
        <v>-421.91279494664241</v>
      </c>
      <c r="K126" s="33">
        <f t="shared" si="113"/>
        <v>-440.54916484545288</v>
      </c>
      <c r="L126" s="33">
        <f t="shared" si="113"/>
        <v>-458.04350813529391</v>
      </c>
      <c r="M126" s="33">
        <f t="shared" si="113"/>
        <v>-475.32615559331828</v>
      </c>
      <c r="N126" s="33">
        <f t="shared" si="113"/>
        <v>-493.31800819233518</v>
      </c>
    </row>
    <row r="127" spans="1:16" x14ac:dyDescent="0.4">
      <c r="B127" s="14" t="s">
        <v>182</v>
      </c>
      <c r="F127" s="33">
        <f t="shared" si="113"/>
        <v>773.66255633562332</v>
      </c>
      <c r="G127" s="33">
        <f t="shared" si="113"/>
        <v>308.20319951079955</v>
      </c>
      <c r="H127" s="33">
        <f t="shared" si="113"/>
        <v>258.00467161946096</v>
      </c>
      <c r="I127" s="33">
        <f t="shared" si="113"/>
        <v>404.76774181466533</v>
      </c>
      <c r="J127" s="33">
        <f t="shared" si="113"/>
        <v>278.95841896928312</v>
      </c>
      <c r="K127" s="33">
        <f t="shared" si="113"/>
        <v>284.40569629511913</v>
      </c>
      <c r="L127" s="33">
        <f t="shared" si="113"/>
        <v>287.48369790628715</v>
      </c>
      <c r="M127" s="33">
        <f t="shared" si="113"/>
        <v>289.29654592712268</v>
      </c>
      <c r="N127" s="33">
        <f t="shared" si="113"/>
        <v>290.90943845639043</v>
      </c>
    </row>
    <row r="128" spans="1:16" x14ac:dyDescent="0.4">
      <c r="B128" s="14" t="s">
        <v>186</v>
      </c>
      <c r="F128" s="33">
        <f t="shared" si="113"/>
        <v>-11.326155521786628</v>
      </c>
      <c r="G128" s="33">
        <f t="shared" si="113"/>
        <v>73.027342112072205</v>
      </c>
      <c r="H128" s="33">
        <f t="shared" si="113"/>
        <v>-12.621686934570974</v>
      </c>
      <c r="I128" s="33">
        <f t="shared" si="113"/>
        <v>0</v>
      </c>
      <c r="J128" s="33">
        <f t="shared" si="113"/>
        <v>0</v>
      </c>
      <c r="K128" s="33">
        <f t="shared" si="113"/>
        <v>0</v>
      </c>
      <c r="L128" s="33">
        <f t="shared" si="113"/>
        <v>0</v>
      </c>
      <c r="M128" s="33">
        <f t="shared" si="113"/>
        <v>0</v>
      </c>
      <c r="N128" s="33">
        <f t="shared" si="113"/>
        <v>0</v>
      </c>
    </row>
    <row r="129" spans="2:14" x14ac:dyDescent="0.4">
      <c r="B129" s="14" t="s">
        <v>99</v>
      </c>
      <c r="F129" s="33">
        <f t="shared" si="113"/>
        <v>7707.5887415525358</v>
      </c>
      <c r="G129" s="33">
        <f t="shared" si="113"/>
        <v>8415.7628100323</v>
      </c>
      <c r="H129" s="33">
        <f t="shared" si="113"/>
        <v>8624.3076315126455</v>
      </c>
      <c r="I129" s="33">
        <f t="shared" si="113"/>
        <v>9117.050595259574</v>
      </c>
      <c r="J129" s="33">
        <f t="shared" si="113"/>
        <v>9337.2229600486098</v>
      </c>
      <c r="K129" s="33">
        <f t="shared" si="113"/>
        <v>9467.0133244089993</v>
      </c>
      <c r="L129" s="33">
        <f t="shared" si="113"/>
        <v>9528.0067257811388</v>
      </c>
      <c r="M129" s="33">
        <f t="shared" si="113"/>
        <v>9572.4000596941769</v>
      </c>
      <c r="N129" s="33">
        <f t="shared" si="113"/>
        <v>9619.1539343292388</v>
      </c>
    </row>
  </sheetData>
  <phoneticPr fontId="50" type="noConversion"/>
  <conditionalFormatting sqref="F20:H20 F38:H38 F46:H46 F56:H56 F64:H64 F74:N74 F82:N82">
    <cfRule type="cellIs" dxfId="15" priority="2" stopIfTrue="1" operator="notEqual">
      <formula>TRUE</formula>
    </cfRule>
  </conditionalFormatting>
  <conditionalFormatting sqref="F28:H28">
    <cfRule type="cellIs" dxfId="14" priority="1" stopIfTrue="1" operator="notEqual">
      <formula>TRUE</formula>
    </cfRule>
  </conditionalFormatting>
  <printOptions horizontalCentered="1" verticalCentered="1"/>
  <pageMargins left="0.19685039370078741" right="0.19685039370078741" top="0.39370078740157483" bottom="0.39370078740157483" header="0.19685039370078741" footer="0.19685039370078741"/>
  <pageSetup paperSize="9" scale="75" orientation="landscape" r:id="rId1"/>
  <headerFooter>
    <oddHeader>&amp;Cpage &amp;P of &amp;N&amp;R&amp;D &amp;T&amp;L&amp;"Calibri"&amp;12&amp;K000000Classification: HIGHLY SENSITIVE&amp;1#_x000D_&amp;"Calibri"&amp;11&amp;K000000File: &amp;F Sheet: &amp;A</oddHeader>
  </headerFooter>
  <rowBreaks count="1" manualBreakCount="1">
    <brk id="83"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EC8D7-0E82-4EC2-A4FC-ABDF1CAEC5C7}">
  <sheetPr codeName="Sheet12"/>
  <dimension ref="A1:N173"/>
  <sheetViews>
    <sheetView zoomScaleNormal="100" workbookViewId="0"/>
  </sheetViews>
  <sheetFormatPr defaultRowHeight="14.25" x14ac:dyDescent="0.45"/>
  <cols>
    <col min="1" max="1" width="15.796875" customWidth="1"/>
    <col min="2" max="2" width="19" customWidth="1"/>
    <col min="3" max="3" width="20.265625" customWidth="1"/>
    <col min="4" max="12" width="13.796875" customWidth="1"/>
    <col min="13" max="13" width="2" customWidth="1"/>
    <col min="14" max="14" width="28" customWidth="1"/>
  </cols>
  <sheetData>
    <row r="1" spans="1:14" ht="21" x14ac:dyDescent="0.65">
      <c r="A1" s="83" t="s">
        <v>187</v>
      </c>
      <c r="B1" s="7"/>
      <c r="C1" s="7"/>
    </row>
    <row r="2" spans="1:14" ht="9" customHeight="1" x14ac:dyDescent="0.45"/>
    <row r="3" spans="1:14" ht="15.75" x14ac:dyDescent="0.5">
      <c r="A3" s="8" t="s">
        <v>188</v>
      </c>
      <c r="B3" s="8"/>
      <c r="C3" s="8"/>
      <c r="D3" s="28"/>
      <c r="E3" s="28"/>
      <c r="F3" s="28"/>
      <c r="G3" s="28"/>
      <c r="H3" s="28"/>
      <c r="I3" s="28"/>
      <c r="J3" s="28"/>
      <c r="K3" s="28"/>
      <c r="L3" s="28"/>
      <c r="M3" s="28"/>
      <c r="N3" s="28"/>
    </row>
    <row r="4" spans="1:14" ht="9" customHeight="1" x14ac:dyDescent="0.45">
      <c r="A4" s="28"/>
      <c r="B4" s="28"/>
      <c r="C4" s="28"/>
      <c r="D4" s="28"/>
      <c r="E4" s="28"/>
      <c r="F4" s="28"/>
      <c r="G4" s="28"/>
      <c r="H4" s="28"/>
      <c r="I4" s="28"/>
      <c r="J4" s="28"/>
      <c r="K4" s="28"/>
      <c r="L4" s="28"/>
      <c r="M4" s="28"/>
      <c r="N4" s="28"/>
    </row>
    <row r="5" spans="1:14" x14ac:dyDescent="0.45">
      <c r="A5" s="28" t="s">
        <v>57</v>
      </c>
      <c r="B5" s="42"/>
      <c r="D5" s="65" t="s">
        <v>92</v>
      </c>
      <c r="E5" s="65" t="s">
        <v>93</v>
      </c>
      <c r="F5" s="65" t="s">
        <v>51</v>
      </c>
      <c r="G5" s="28"/>
      <c r="H5" s="28"/>
      <c r="I5" s="28"/>
      <c r="J5" s="28"/>
      <c r="K5" s="68"/>
      <c r="L5" s="68"/>
      <c r="M5" s="28"/>
      <c r="N5" s="53"/>
    </row>
    <row r="6" spans="1:14" x14ac:dyDescent="0.45">
      <c r="A6" s="28" t="s">
        <v>189</v>
      </c>
      <c r="B6" s="44" t="str">
        <f>'Input data'!A42</f>
        <v>Pay &amp; non-pay costs</v>
      </c>
      <c r="C6" s="28"/>
      <c r="D6" s="371">
        <f>'Input data'!E42 + (SUM('Input data'!E195:E196) * 'Input data'!E42/SUM('Input data'!E42,'Input data'!E160))</f>
        <v>23.885895394175378</v>
      </c>
      <c r="E6" s="371">
        <f>'Input data'!F42 + (SUM('Input data'!F195:F196) * 'Input data'!F42/SUM('Input data'!F42,'Input data'!F160))</f>
        <v>134.52831231923489</v>
      </c>
      <c r="F6" s="371">
        <f>'Input data'!G42 + (SUM('Input data'!G195:G196) * 'Input data'!G42/SUM('Input data'!G42,'Input data'!G160))</f>
        <v>124.88261839928836</v>
      </c>
      <c r="G6" s="28"/>
      <c r="H6" s="28"/>
      <c r="I6" s="28"/>
      <c r="J6" s="28"/>
      <c r="K6" s="28"/>
      <c r="L6" s="28"/>
      <c r="M6" s="28"/>
    </row>
    <row r="7" spans="1:14" x14ac:dyDescent="0.45">
      <c r="B7" s="44" t="str">
        <f>'Input data'!A43</f>
        <v>OCM Dep</v>
      </c>
      <c r="C7" s="28"/>
      <c r="D7" s="372">
        <f>'Input data'!E43</f>
        <v>298.72853960187535</v>
      </c>
      <c r="E7" s="372">
        <f>'Input data'!F43</f>
        <v>358.75660365545167</v>
      </c>
      <c r="F7" s="372">
        <f>'Input data'!G43</f>
        <v>331.01110707154567</v>
      </c>
      <c r="G7" s="28"/>
      <c r="H7" s="28"/>
      <c r="I7" s="28"/>
      <c r="J7" s="28"/>
      <c r="K7" s="55"/>
      <c r="L7" s="55"/>
      <c r="M7" s="28"/>
      <c r="N7" s="45"/>
    </row>
    <row r="8" spans="1:14" x14ac:dyDescent="0.45">
      <c r="B8" s="44" t="str">
        <f>'Input data'!A44</f>
        <v>HG/L</v>
      </c>
      <c r="C8" s="28"/>
      <c r="D8" s="372">
        <f>'Input data'!E44</f>
        <v>-895.55332201265287</v>
      </c>
      <c r="E8" s="372">
        <f>'Input data'!F44</f>
        <v>-354.44972963335204</v>
      </c>
      <c r="F8" s="372">
        <f>'Input data'!G44</f>
        <v>-271.46931461289068</v>
      </c>
      <c r="G8" s="28"/>
      <c r="H8" s="28"/>
      <c r="I8" s="28"/>
      <c r="J8" s="28"/>
      <c r="K8" s="43"/>
      <c r="L8" s="43"/>
      <c r="M8" s="28"/>
      <c r="N8" s="45"/>
    </row>
    <row r="9" spans="1:14" x14ac:dyDescent="0.45">
      <c r="B9" s="44" t="str">
        <f>'Input data'!A45</f>
        <v>Other CCA</v>
      </c>
      <c r="C9" s="28"/>
      <c r="D9" s="372">
        <f>'Input data'!E45</f>
        <v>23.158180633459544</v>
      </c>
      <c r="E9" s="372">
        <f>'Input data'!F45</f>
        <v>-35.106718346747925</v>
      </c>
      <c r="F9" s="372">
        <f>'Input data'!G45</f>
        <v>-27.939991837378937</v>
      </c>
      <c r="G9" s="28"/>
      <c r="H9" s="28"/>
      <c r="I9" s="28"/>
      <c r="J9" s="28"/>
      <c r="K9" s="43"/>
      <c r="L9" s="43"/>
      <c r="M9" s="28"/>
      <c r="N9" s="45"/>
    </row>
    <row r="10" spans="1:14" x14ac:dyDescent="0.45">
      <c r="B10" s="91" t="str">
        <f>'Input data'!A46</f>
        <v>Other Dep</v>
      </c>
      <c r="C10" s="60"/>
      <c r="D10" s="372">
        <f>'Input data'!E46</f>
        <v>0</v>
      </c>
      <c r="E10" s="372">
        <f>'Input data'!F46</f>
        <v>0</v>
      </c>
      <c r="F10" s="372">
        <f>'Input data'!G46</f>
        <v>0</v>
      </c>
      <c r="G10" s="28"/>
      <c r="H10" s="28"/>
      <c r="I10" s="28"/>
      <c r="J10" s="28"/>
      <c r="K10" s="43"/>
      <c r="L10" s="43"/>
      <c r="M10" s="28"/>
      <c r="N10" s="45"/>
    </row>
    <row r="11" spans="1:14" x14ac:dyDescent="0.45">
      <c r="B11" s="44" t="str">
        <f>'Input data'!A47</f>
        <v>Total CCA Costs</v>
      </c>
      <c r="C11" s="28"/>
      <c r="D11" s="373">
        <f>SUM(D6:D10)</f>
        <v>-549.78070638314261</v>
      </c>
      <c r="E11" s="373">
        <f t="shared" ref="E11:F11" si="0">SUM(E6:E10)</f>
        <v>103.72846799458659</v>
      </c>
      <c r="F11" s="373">
        <f t="shared" si="0"/>
        <v>156.48441902056445</v>
      </c>
      <c r="G11" s="43"/>
      <c r="H11" s="43"/>
      <c r="I11" s="43"/>
      <c r="J11" s="43"/>
      <c r="K11" s="43"/>
      <c r="L11" s="43"/>
      <c r="M11" s="28"/>
      <c r="N11" s="45"/>
    </row>
    <row r="12" spans="1:14" x14ac:dyDescent="0.45">
      <c r="B12" s="89"/>
      <c r="C12" s="28"/>
      <c r="D12" s="334" t="b">
        <f>D11+'Poles costs forecasts'!D10=SUM('Input data'!E195:E196,'Input data'!E165,'Input data'!E47)</f>
        <v>1</v>
      </c>
      <c r="E12" s="334" t="b">
        <f>E11+'Poles costs forecasts'!E10=SUM('Input data'!F195:F196,'Input data'!F165,'Input data'!F47)</f>
        <v>1</v>
      </c>
      <c r="F12" s="334" t="b">
        <f>F11+'Poles costs forecasts'!F10=SUM('Input data'!G195:G196,'Input data'!G165,'Input data'!G47)</f>
        <v>1</v>
      </c>
      <c r="G12" s="43"/>
      <c r="H12" s="43"/>
      <c r="I12" s="43"/>
      <c r="J12" s="43"/>
      <c r="K12" s="43"/>
      <c r="L12" s="43"/>
      <c r="M12" s="28"/>
      <c r="N12" s="45"/>
    </row>
    <row r="13" spans="1:14" ht="9" customHeight="1" x14ac:dyDescent="0.45">
      <c r="B13" s="90"/>
      <c r="C13" s="28"/>
      <c r="D13" s="95"/>
      <c r="E13" s="95"/>
      <c r="F13" s="95"/>
      <c r="G13" s="43"/>
      <c r="H13" s="43"/>
      <c r="I13" s="43"/>
      <c r="J13" s="43"/>
      <c r="K13" s="43"/>
      <c r="L13" s="43"/>
      <c r="M13" s="28"/>
      <c r="N13" s="45"/>
    </row>
    <row r="14" spans="1:14" x14ac:dyDescent="0.45">
      <c r="A14" s="28" t="s">
        <v>83</v>
      </c>
      <c r="B14" s="44" t="str">
        <f>'Input data'!A50</f>
        <v>NRC (main COW)</v>
      </c>
      <c r="D14" s="372">
        <f>'Input data'!E50</f>
        <v>6509.9016684970757</v>
      </c>
      <c r="E14" s="372">
        <f>'Input data'!F50</f>
        <v>6201.9176034768743</v>
      </c>
      <c r="F14" s="372">
        <f>'Input data'!G50</f>
        <v>6191.6896614985208</v>
      </c>
      <c r="G14" s="43"/>
      <c r="H14" s="43"/>
      <c r="I14" s="43"/>
      <c r="J14" s="43"/>
      <c r="K14" s="55"/>
      <c r="L14" s="55"/>
      <c r="M14" s="28"/>
      <c r="N14" s="221"/>
    </row>
    <row r="15" spans="1:14" x14ac:dyDescent="0.45">
      <c r="B15" s="44" t="str">
        <f>'Input data'!A51</f>
        <v>Other COWs</v>
      </c>
      <c r="D15" s="372">
        <f>'Input data'!E51</f>
        <v>-159.84581232914391</v>
      </c>
      <c r="E15" s="372">
        <f>'Input data'!F51</f>
        <v>-99.026488978889091</v>
      </c>
      <c r="F15" s="372">
        <f>'Input data'!G51</f>
        <v>-149.67242129305393</v>
      </c>
      <c r="G15" s="43"/>
      <c r="H15" s="43"/>
      <c r="I15" s="43"/>
      <c r="J15" s="43"/>
      <c r="K15" s="43"/>
      <c r="L15" s="43"/>
      <c r="M15" s="28"/>
      <c r="N15" s="45"/>
    </row>
    <row r="16" spans="1:14" x14ac:dyDescent="0.45">
      <c r="B16" s="44" t="str">
        <f>'Input data'!A52</f>
        <v>Other non COW</v>
      </c>
      <c r="D16" s="372">
        <f>'Input data'!E52</f>
        <v>0</v>
      </c>
      <c r="E16" s="372">
        <f>'Input data'!F52</f>
        <v>0</v>
      </c>
      <c r="F16" s="372">
        <f>'Input data'!G52</f>
        <v>0</v>
      </c>
      <c r="G16" s="43"/>
      <c r="H16" s="43"/>
      <c r="I16" s="43"/>
      <c r="J16" s="43"/>
      <c r="K16" s="43"/>
      <c r="L16" s="43"/>
      <c r="M16" s="28"/>
      <c r="N16" s="45"/>
    </row>
    <row r="17" spans="1:14" x14ac:dyDescent="0.45">
      <c r="B17" s="91" t="str">
        <f>'Input data'!A53</f>
        <v>NCA</v>
      </c>
      <c r="C17" s="5"/>
      <c r="D17" s="372">
        <f>'Input data'!E53</f>
        <v>59.214092914511546</v>
      </c>
      <c r="E17" s="372">
        <f>'Input data'!F53</f>
        <v>22.2490641433299</v>
      </c>
      <c r="F17" s="372">
        <f>'Input data'!G53</f>
        <v>18.666154212311849</v>
      </c>
      <c r="G17" s="43"/>
      <c r="H17" s="43"/>
      <c r="I17" s="43"/>
      <c r="J17" s="43"/>
      <c r="K17" s="43"/>
      <c r="L17" s="43"/>
      <c r="M17" s="28"/>
      <c r="N17" s="45"/>
    </row>
    <row r="18" spans="1:14" x14ac:dyDescent="0.45">
      <c r="B18" s="44" t="str">
        <f>'Input data'!A54</f>
        <v>Total MCE</v>
      </c>
      <c r="D18" s="372">
        <f>'Input data'!E54</f>
        <v>6409.2699490824434</v>
      </c>
      <c r="E18" s="372">
        <f>'Input data'!F54</f>
        <v>6125.1401786413153</v>
      </c>
      <c r="F18" s="372">
        <f>'Input data'!G54</f>
        <v>6060.6833944177788</v>
      </c>
      <c r="G18" s="28"/>
      <c r="H18" s="28"/>
      <c r="I18" s="28"/>
      <c r="J18" s="28"/>
      <c r="K18" s="28"/>
      <c r="L18" s="28"/>
      <c r="M18" s="28"/>
    </row>
    <row r="19" spans="1:14" x14ac:dyDescent="0.45">
      <c r="B19" s="44"/>
      <c r="D19" s="271" t="b">
        <f>D18=SUM(D14:D17)</f>
        <v>1</v>
      </c>
      <c r="E19" s="271" t="b">
        <f t="shared" ref="E19:F19" si="1">E18=SUM(E14:E17)</f>
        <v>1</v>
      </c>
      <c r="F19" s="271" t="b">
        <f t="shared" si="1"/>
        <v>1</v>
      </c>
      <c r="G19" s="28"/>
      <c r="H19" s="28"/>
      <c r="I19" s="28"/>
      <c r="J19" s="28"/>
      <c r="K19" s="28"/>
      <c r="L19" s="28"/>
      <c r="M19" s="28"/>
    </row>
    <row r="20" spans="1:14" ht="9" customHeight="1" x14ac:dyDescent="0.45">
      <c r="A20" s="5"/>
      <c r="B20" s="5"/>
      <c r="C20" s="5"/>
      <c r="D20" s="5"/>
      <c r="E20" s="117"/>
      <c r="F20" s="5"/>
      <c r="G20" s="5"/>
      <c r="H20" s="5"/>
      <c r="I20" s="5"/>
      <c r="J20" s="5"/>
      <c r="K20" s="5"/>
      <c r="L20" s="5"/>
      <c r="M20" s="5"/>
      <c r="N20" s="118"/>
    </row>
    <row r="21" spans="1:14" ht="9" customHeight="1" x14ac:dyDescent="0.45"/>
    <row r="22" spans="1:14" ht="15.75" x14ac:dyDescent="0.5">
      <c r="A22" s="8" t="s">
        <v>190</v>
      </c>
      <c r="B22" s="8"/>
      <c r="C22" s="8"/>
    </row>
    <row r="23" spans="1:14" ht="9" customHeight="1" x14ac:dyDescent="0.45"/>
    <row r="24" spans="1:14" s="14" customFormat="1" x14ac:dyDescent="0.45">
      <c r="A24" s="119" t="s">
        <v>191</v>
      </c>
      <c r="B24" s="113"/>
      <c r="C24" s="113"/>
      <c r="D24" s="18" t="s">
        <v>92</v>
      </c>
      <c r="E24" s="18" t="s">
        <v>93</v>
      </c>
      <c r="F24" s="18" t="s">
        <v>51</v>
      </c>
      <c r="G24" s="18" t="s">
        <v>138</v>
      </c>
      <c r="H24" s="18" t="s">
        <v>139</v>
      </c>
      <c r="I24" s="18" t="s">
        <v>140</v>
      </c>
      <c r="J24" s="18" t="s">
        <v>141</v>
      </c>
      <c r="K24" s="18" t="s">
        <v>142</v>
      </c>
      <c r="L24" s="18" t="s">
        <v>143</v>
      </c>
      <c r="M24"/>
    </row>
    <row r="25" spans="1:14" s="14" customFormat="1" x14ac:dyDescent="0.45">
      <c r="A25" s="21" t="str">
        <f>'Parameters and Assumptions'!A38</f>
        <v>PIA Asset Inflation value</v>
      </c>
      <c r="B25" s="21"/>
      <c r="C25" s="21"/>
      <c r="D25" s="183" cm="1">
        <f t="array" ref="D25:L25">asset_inflation</f>
        <v>0.12873938663127604</v>
      </c>
      <c r="E25" s="183">
        <v>7.4787643228200862E-2</v>
      </c>
      <c r="F25" s="183">
        <v>3.3025740878852572E-2</v>
      </c>
      <c r="G25" s="183">
        <v>4.5646370047441875E-2</v>
      </c>
      <c r="H25" s="183">
        <v>0.03</v>
      </c>
      <c r="I25" s="183">
        <v>0.03</v>
      </c>
      <c r="J25" s="183">
        <v>0.03</v>
      </c>
      <c r="K25" s="183">
        <v>0.03</v>
      </c>
      <c r="L25" s="183">
        <v>0.03</v>
      </c>
      <c r="M25"/>
      <c r="N25" s="16"/>
    </row>
    <row r="26" spans="1:14" s="14" customFormat="1" x14ac:dyDescent="0.45">
      <c r="A26" s="21" t="str">
        <f>'Parameters and Assumptions'!A40</f>
        <v>Opex Inflation value</v>
      </c>
      <c r="B26" s="21"/>
      <c r="C26" s="21"/>
      <c r="D26" s="183" cm="1">
        <f t="array" ref="D26:L26">opex_inflation</f>
        <v>0.10036409874522789</v>
      </c>
      <c r="E26" s="183">
        <v>5.6703919580784135E-2</v>
      </c>
      <c r="F26" s="183">
        <v>2.3545128743536425E-2</v>
      </c>
      <c r="G26" s="183">
        <v>3.5422237353326391E-2</v>
      </c>
      <c r="H26" s="183">
        <v>2.1823266989722256E-2</v>
      </c>
      <c r="I26" s="183">
        <v>1.9935780988294516E-2</v>
      </c>
      <c r="J26" s="183">
        <v>2.0957399820160205E-2</v>
      </c>
      <c r="K26" s="183">
        <v>2.0094840093029198E-2</v>
      </c>
      <c r="L26" s="183">
        <v>1.9998866368604373E-2</v>
      </c>
      <c r="M26"/>
    </row>
    <row r="27" spans="1:14" s="28" customFormat="1" ht="9" customHeight="1" x14ac:dyDescent="0.4"/>
    <row r="28" spans="1:14" s="28" customFormat="1" x14ac:dyDescent="0.4">
      <c r="A28" s="201" t="s">
        <v>192</v>
      </c>
      <c r="B28" s="20"/>
      <c r="C28" s="94" t="str">
        <f>'Input data'!C113</f>
        <v>Assets pre 31/3/2018</v>
      </c>
      <c r="E28" s="20"/>
    </row>
    <row r="29" spans="1:14" s="28" customFormat="1" ht="13.15" x14ac:dyDescent="0.4">
      <c r="B29" s="20" t="str">
        <f>'Input data'!A114</f>
        <v>Lead-in duct</v>
      </c>
      <c r="D29" s="108">
        <f>'Input data'!C114</f>
        <v>9.3522440828465225E-2</v>
      </c>
      <c r="E29" s="109"/>
    </row>
    <row r="30" spans="1:14" s="28" customFormat="1" ht="13.15" x14ac:dyDescent="0.4">
      <c r="A30" s="20"/>
      <c r="B30" s="20" t="str">
        <f>'Input data'!A115</f>
        <v>Spine duct – single bore</v>
      </c>
      <c r="C30" s="14"/>
      <c r="D30" s="108">
        <f>'Input data'!C115</f>
        <v>0.36632568438600105</v>
      </c>
      <c r="E30" s="109"/>
    </row>
    <row r="31" spans="1:14" s="28" customFormat="1" ht="13.15" x14ac:dyDescent="0.4">
      <c r="A31" s="20"/>
      <c r="B31" s="20" t="str">
        <f>'Input data'!A116</f>
        <v>Spine duct – 2 bores</v>
      </c>
      <c r="C31" s="14"/>
      <c r="D31" s="108">
        <f>'Input data'!C116</f>
        <v>9.6567223901176141E-2</v>
      </c>
      <c r="E31" s="109"/>
    </row>
    <row r="32" spans="1:14" s="28" customFormat="1" ht="13.15" x14ac:dyDescent="0.4">
      <c r="A32" s="20"/>
      <c r="B32" s="20" t="str">
        <f>'Input data'!A117</f>
        <v>Spine duct – 3+ bores</v>
      </c>
      <c r="C32" s="14"/>
      <c r="D32" s="108">
        <f>'Input data'!C117</f>
        <v>0.15289390493367422</v>
      </c>
      <c r="E32" s="109"/>
    </row>
    <row r="33" spans="1:14" s="28" customFormat="1" ht="13.15" x14ac:dyDescent="0.4">
      <c r="A33" s="14"/>
      <c r="B33" s="20" t="str">
        <f>'Input data'!A118</f>
        <v>Joint boxes</v>
      </c>
      <c r="C33" s="14"/>
      <c r="D33" s="108">
        <f>'Input data'!C118</f>
        <v>0.17397355666977582</v>
      </c>
      <c r="E33" s="109"/>
    </row>
    <row r="34" spans="1:14" s="28" customFormat="1" ht="13.15" x14ac:dyDescent="0.4">
      <c r="A34" s="14"/>
      <c r="B34" s="116" t="str">
        <f>'Input data'!A119</f>
        <v>Manholes</v>
      </c>
      <c r="C34" s="115"/>
      <c r="D34" s="110">
        <f>'Input data'!C119</f>
        <v>0.11671718928090756</v>
      </c>
      <c r="E34" s="214"/>
    </row>
    <row r="35" spans="1:14" s="28" customFormat="1" ht="13.15" x14ac:dyDescent="0.4">
      <c r="A35" s="14"/>
      <c r="B35" s="20" t="s">
        <v>146</v>
      </c>
      <c r="C35" s="14"/>
      <c r="D35" s="108">
        <f>SUM(D29:D34)</f>
        <v>1</v>
      </c>
      <c r="E35" s="109"/>
    </row>
    <row r="36" spans="1:14" s="14" customFormat="1" ht="13.15" x14ac:dyDescent="0.4">
      <c r="B36" s="113"/>
      <c r="C36" s="203" t="s">
        <v>179</v>
      </c>
      <c r="M36" s="20"/>
    </row>
    <row r="37" spans="1:14" s="14" customFormat="1" ht="13.15" x14ac:dyDescent="0.4">
      <c r="B37" s="211" t="str">
        <f t="shared" ref="B37:B42" si="2">B29</f>
        <v>Lead-in duct</v>
      </c>
      <c r="D37" s="108">
        <f>'D&amp;C Vols'!D53</f>
        <v>0.13424016462385679</v>
      </c>
      <c r="E37" s="108">
        <f>'D&amp;C Vols'!E53</f>
        <v>0.11260821285534738</v>
      </c>
      <c r="F37" s="108">
        <f>'D&amp;C Vols'!F53</f>
        <v>9.8482378910683802E-2</v>
      </c>
      <c r="G37" s="108">
        <f>'D&amp;C Vols'!G53</f>
        <v>9.8680452874868707E-2</v>
      </c>
      <c r="H37" s="108">
        <f>'D&amp;C Vols'!H53</f>
        <v>9.8827229803014671E-2</v>
      </c>
      <c r="I37" s="108">
        <f>'D&amp;C Vols'!I53</f>
        <v>9.8916197976805093E-2</v>
      </c>
      <c r="J37" s="108">
        <f>'D&amp;C Vols'!J53</f>
        <v>9.8986808005849261E-2</v>
      </c>
      <c r="K37" s="108">
        <f>'D&amp;C Vols'!K53</f>
        <v>9.9063420001501548E-2</v>
      </c>
      <c r="L37" s="108">
        <f>'D&amp;C Vols'!L53</f>
        <v>9.9139696232359187E-2</v>
      </c>
      <c r="M37" s="20"/>
    </row>
    <row r="38" spans="1:14" s="14" customFormat="1" ht="13.15" x14ac:dyDescent="0.4">
      <c r="B38" s="211" t="str">
        <f t="shared" si="2"/>
        <v>Spine duct – single bore</v>
      </c>
      <c r="C38" s="113"/>
      <c r="D38" s="108">
        <f>'D&amp;C Vols'!D54</f>
        <v>0.34453526662835565</v>
      </c>
      <c r="E38" s="108">
        <f>'D&amp;C Vols'!E54</f>
        <v>0.43892908049680807</v>
      </c>
      <c r="F38" s="108">
        <f>'D&amp;C Vols'!F54</f>
        <v>0.5403951846155336</v>
      </c>
      <c r="G38" s="108">
        <f>'D&amp;C Vols'!G54</f>
        <v>0.5414820614520518</v>
      </c>
      <c r="H38" s="108">
        <f>'D&amp;C Vols'!H54</f>
        <v>0.54228745979904613</v>
      </c>
      <c r="I38" s="108">
        <f>'D&amp;C Vols'!I54</f>
        <v>0.54277564837889314</v>
      </c>
      <c r="J38" s="108">
        <f>'D&amp;C Vols'!J54</f>
        <v>0.54316310164823023</v>
      </c>
      <c r="K38" s="108">
        <f>'D&amp;C Vols'!K54</f>
        <v>0.54358348907176934</v>
      </c>
      <c r="L38" s="108">
        <f>'D&amp;C Vols'!L54</f>
        <v>0.54400203407760706</v>
      </c>
      <c r="M38" s="20"/>
    </row>
    <row r="39" spans="1:14" s="14" customFormat="1" ht="13.15" x14ac:dyDescent="0.4">
      <c r="B39" s="211" t="str">
        <f t="shared" si="2"/>
        <v>Spine duct – 2 bores</v>
      </c>
      <c r="C39" s="113"/>
      <c r="D39" s="108">
        <f>'D&amp;C Vols'!D55</f>
        <v>0.12201574877083034</v>
      </c>
      <c r="E39" s="108">
        <f>'D&amp;C Vols'!E55</f>
        <v>0.10662468395763731</v>
      </c>
      <c r="F39" s="108">
        <f>'D&amp;C Vols'!F55</f>
        <v>8.9302989687503387E-2</v>
      </c>
      <c r="G39" s="108">
        <f>'D&amp;C Vols'!G55</f>
        <v>8.8846701603559938E-2</v>
      </c>
      <c r="H39" s="108">
        <f>'D&amp;C Vols'!H55</f>
        <v>8.8505961345688319E-2</v>
      </c>
      <c r="I39" s="108">
        <f>'D&amp;C Vols'!I55</f>
        <v>8.8286868635989363E-2</v>
      </c>
      <c r="J39" s="108">
        <f>'D&amp;C Vols'!J55</f>
        <v>8.8106098741394148E-2</v>
      </c>
      <c r="K39" s="108">
        <f>'D&amp;C Vols'!K55</f>
        <v>8.7915714826864805E-2</v>
      </c>
      <c r="L39" s="108">
        <f>'D&amp;C Vols'!L55</f>
        <v>8.7726165301459838E-2</v>
      </c>
      <c r="M39" s="20"/>
    </row>
    <row r="40" spans="1:14" s="14" customFormat="1" ht="13.15" x14ac:dyDescent="0.4">
      <c r="B40" s="211" t="str">
        <f t="shared" si="2"/>
        <v>Spine duct – 3+ bores</v>
      </c>
      <c r="C40" s="113"/>
      <c r="D40" s="108">
        <f>'D&amp;C Vols'!D56</f>
        <v>0.11857394023517172</v>
      </c>
      <c r="E40" s="108">
        <f>'D&amp;C Vols'!E56</f>
        <v>0.12486172212692871</v>
      </c>
      <c r="F40" s="108">
        <f>'D&amp;C Vols'!F56</f>
        <v>5.6216794168010883E-2</v>
      </c>
      <c r="G40" s="108">
        <f>'D&amp;C Vols'!G56</f>
        <v>5.592701950407826E-2</v>
      </c>
      <c r="H40" s="108">
        <f>'D&amp;C Vols'!H56</f>
        <v>5.5710695370385074E-2</v>
      </c>
      <c r="I40" s="108">
        <f>'D&amp;C Vols'!I56</f>
        <v>5.557117096608042E-2</v>
      </c>
      <c r="J40" s="108">
        <f>'D&amp;C Vols'!J56</f>
        <v>5.5455696287008714E-2</v>
      </c>
      <c r="K40" s="108">
        <f>'D&amp;C Vols'!K56</f>
        <v>5.5334222088139332E-2</v>
      </c>
      <c r="L40" s="108">
        <f>'D&amp;C Vols'!L56</f>
        <v>5.5213280270120915E-2</v>
      </c>
      <c r="M40" s="20"/>
    </row>
    <row r="41" spans="1:14" s="14" customFormat="1" ht="13.15" x14ac:dyDescent="0.4">
      <c r="B41" s="211" t="str">
        <f t="shared" si="2"/>
        <v>Joint boxes</v>
      </c>
      <c r="C41" s="113"/>
      <c r="D41" s="108">
        <f>'D&amp;C Vols'!D57</f>
        <v>0.1514775221993738</v>
      </c>
      <c r="E41" s="108">
        <f>'D&amp;C Vols'!E57</f>
        <v>0.11650836734797035</v>
      </c>
      <c r="F41" s="108">
        <f>'D&amp;C Vols'!F57</f>
        <v>0.1011887236916157</v>
      </c>
      <c r="G41" s="108">
        <f>'D&amp;C Vols'!G57</f>
        <v>0.10124015753053947</v>
      </c>
      <c r="H41" s="108">
        <f>'D&amp;C Vols'!H57</f>
        <v>0.10128587650192866</v>
      </c>
      <c r="I41" s="108">
        <f>'D&amp;C Vols'!I57</f>
        <v>0.10135187752953419</v>
      </c>
      <c r="J41" s="108">
        <f>'D&amp;C Vols'!J57</f>
        <v>0.10142569540771003</v>
      </c>
      <c r="K41" s="108">
        <f>'D&amp;C Vols'!K57</f>
        <v>0.10148841679578832</v>
      </c>
      <c r="L41" s="108">
        <f>'D&amp;C Vols'!L57</f>
        <v>0.10155086329696658</v>
      </c>
      <c r="M41" s="20"/>
    </row>
    <row r="42" spans="1:14" s="14" customFormat="1" ht="13.15" x14ac:dyDescent="0.4">
      <c r="B42" s="212" t="str">
        <f t="shared" si="2"/>
        <v>Manholes</v>
      </c>
      <c r="C42" s="213"/>
      <c r="D42" s="110">
        <f>'D&amp;C Vols'!D58</f>
        <v>0.12915735754241175</v>
      </c>
      <c r="E42" s="110">
        <f>'D&amp;C Vols'!E58</f>
        <v>0.10046793321530828</v>
      </c>
      <c r="F42" s="110">
        <f>'D&amp;C Vols'!F58</f>
        <v>0.1144139289266527</v>
      </c>
      <c r="G42" s="110">
        <f>'D&amp;C Vols'!G58</f>
        <v>0.11382360703490181</v>
      </c>
      <c r="H42" s="110">
        <f>'D&amp;C Vols'!H58</f>
        <v>0.11338277717993726</v>
      </c>
      <c r="I42" s="110">
        <f>'D&amp;C Vols'!I58</f>
        <v>0.11309823651269781</v>
      </c>
      <c r="J42" s="110">
        <f>'D&amp;C Vols'!J58</f>
        <v>0.11286259990980765</v>
      </c>
      <c r="K42" s="110">
        <f>'D&amp;C Vols'!K58</f>
        <v>0.11261473721593662</v>
      </c>
      <c r="L42" s="110">
        <f>'D&amp;C Vols'!L58</f>
        <v>0.11236796082148649</v>
      </c>
      <c r="M42" s="20"/>
    </row>
    <row r="43" spans="1:14" s="14" customFormat="1" ht="13.15" x14ac:dyDescent="0.4">
      <c r="B43" s="20" t="s">
        <v>146</v>
      </c>
      <c r="C43" s="113"/>
      <c r="D43" s="108">
        <f>SUM(D37:D42)</f>
        <v>1</v>
      </c>
      <c r="E43" s="108">
        <f t="shared" ref="E43:J43" si="3">SUM(E37:E42)</f>
        <v>1</v>
      </c>
      <c r="F43" s="108">
        <f t="shared" si="3"/>
        <v>1</v>
      </c>
      <c r="G43" s="108">
        <f t="shared" si="3"/>
        <v>1</v>
      </c>
      <c r="H43" s="108">
        <f t="shared" si="3"/>
        <v>1</v>
      </c>
      <c r="I43" s="108">
        <f t="shared" si="3"/>
        <v>1</v>
      </c>
      <c r="J43" s="108">
        <f t="shared" si="3"/>
        <v>1.0000000000000002</v>
      </c>
      <c r="K43" s="108">
        <f t="shared" ref="K43:L43" si="4">SUM(K37:K42)</f>
        <v>1</v>
      </c>
      <c r="L43" s="108">
        <f t="shared" si="4"/>
        <v>1.0000000000000002</v>
      </c>
      <c r="M43" s="20"/>
    </row>
    <row r="44" spans="1:14" s="14" customFormat="1" ht="13.15" x14ac:dyDescent="0.4">
      <c r="B44" s="113"/>
      <c r="C44" s="113"/>
      <c r="M44" s="20"/>
    </row>
    <row r="45" spans="1:14" s="14" customFormat="1" ht="13.15" x14ac:dyDescent="0.4">
      <c r="A45" s="113"/>
      <c r="B45" s="113"/>
      <c r="C45" s="113"/>
      <c r="D45" s="20"/>
      <c r="E45" s="20"/>
      <c r="F45" s="20"/>
      <c r="G45" s="20"/>
      <c r="H45" s="20"/>
      <c r="I45" s="20"/>
      <c r="J45" s="20"/>
      <c r="K45" s="20"/>
      <c r="L45" s="20"/>
      <c r="M45" s="20"/>
    </row>
    <row r="46" spans="1:14" s="14" customFormat="1" x14ac:dyDescent="0.4">
      <c r="A46" s="119" t="s">
        <v>193</v>
      </c>
      <c r="B46" s="113"/>
      <c r="C46" s="113"/>
      <c r="D46" s="18" t="s">
        <v>92</v>
      </c>
      <c r="E46" s="18" t="s">
        <v>93</v>
      </c>
      <c r="F46" s="18" t="s">
        <v>51</v>
      </c>
      <c r="G46" s="18" t="s">
        <v>138</v>
      </c>
      <c r="H46" s="18" t="s">
        <v>139</v>
      </c>
      <c r="I46" s="18" t="s">
        <v>140</v>
      </c>
      <c r="J46" s="18" t="s">
        <v>141</v>
      </c>
      <c r="K46" s="18" t="s">
        <v>142</v>
      </c>
      <c r="L46" s="18" t="s">
        <v>143</v>
      </c>
      <c r="M46" s="20"/>
    </row>
    <row r="47" spans="1:14" s="14" customFormat="1" ht="13.15" x14ac:dyDescent="0.4">
      <c r="A47" s="21" t="str">
        <f>'D&amp;C Vols'!A14</f>
        <v>Lead-ins</v>
      </c>
      <c r="B47" s="21"/>
      <c r="C47" s="21"/>
      <c r="D47" s="200">
        <f>'D&amp;C Vols'!D15</f>
        <v>9.8546030718917876E-3</v>
      </c>
      <c r="E47" s="200">
        <f>'D&amp;C Vols'!E15</f>
        <v>9.3923819446914969E-3</v>
      </c>
      <c r="F47" s="200">
        <f>'D&amp;C Vols'!F15</f>
        <v>8.3982098770378766E-3</v>
      </c>
      <c r="G47" s="200">
        <f>'D&amp;C Vols'!G15</f>
        <v>7.2079809652807469E-3</v>
      </c>
      <c r="H47" s="200">
        <f>'D&amp;C Vols'!H15</f>
        <v>5.3811581252429797E-3</v>
      </c>
      <c r="I47" s="200">
        <f>'D&amp;C Vols'!I15</f>
        <v>3.4183761951236402E-3</v>
      </c>
      <c r="J47" s="200">
        <f>'D&amp;C Vols'!J15</f>
        <v>2.8031455430743701E-3</v>
      </c>
      <c r="K47" s="200">
        <f>'D&amp;C Vols'!K15</f>
        <v>2.9766443446384017E-3</v>
      </c>
      <c r="L47" s="200">
        <f>'D&amp;C Vols'!L15</f>
        <v>2.9678102291041952E-3</v>
      </c>
      <c r="M47" s="20"/>
      <c r="N47" s="14" t="s">
        <v>194</v>
      </c>
    </row>
    <row r="48" spans="1:14" s="14" customFormat="1" ht="13.15" x14ac:dyDescent="0.4">
      <c r="A48" s="21" t="str">
        <f>'D&amp;C Vols'!A15</f>
        <v>Spine duct – single bore</v>
      </c>
      <c r="B48" s="21"/>
      <c r="C48" s="21"/>
      <c r="D48" s="200">
        <f>'D&amp;C Vols'!D15</f>
        <v>9.8546030718917876E-3</v>
      </c>
      <c r="E48" s="200">
        <f>'D&amp;C Vols'!E15</f>
        <v>9.3923819446914969E-3</v>
      </c>
      <c r="F48" s="200">
        <f>'D&amp;C Vols'!F15</f>
        <v>8.3982098770378766E-3</v>
      </c>
      <c r="G48" s="200">
        <f>'D&amp;C Vols'!G15</f>
        <v>7.2079809652807469E-3</v>
      </c>
      <c r="H48" s="200">
        <f>'D&amp;C Vols'!H15</f>
        <v>5.3811581252429797E-3</v>
      </c>
      <c r="I48" s="200">
        <f>'D&amp;C Vols'!I15</f>
        <v>3.4183761951236402E-3</v>
      </c>
      <c r="J48" s="200">
        <f>'D&amp;C Vols'!J15</f>
        <v>2.8031455430743701E-3</v>
      </c>
      <c r="K48" s="200">
        <f>'D&amp;C Vols'!K15</f>
        <v>2.9766443446384017E-3</v>
      </c>
      <c r="L48" s="200">
        <f>'D&amp;C Vols'!L15</f>
        <v>2.9678102291041952E-3</v>
      </c>
      <c r="M48" s="20"/>
    </row>
    <row r="49" spans="1:14" s="14" customFormat="1" ht="13.15" x14ac:dyDescent="0.4">
      <c r="A49" s="21" t="str">
        <f>'D&amp;C Vols'!A16</f>
        <v>Spine duct – 2 bores</v>
      </c>
      <c r="B49" s="21"/>
      <c r="C49" s="21"/>
      <c r="D49" s="200">
        <f>'D&amp;C Vols'!D16</f>
        <v>2.7481799263040507E-4</v>
      </c>
      <c r="E49" s="200">
        <f>'D&amp;C Vols'!E16</f>
        <v>2.0322155331231606E-4</v>
      </c>
      <c r="F49" s="200">
        <f>'D&amp;C Vols'!F16</f>
        <v>9.4109814252396617E-5</v>
      </c>
      <c r="G49" s="200">
        <f>'D&amp;C Vols'!G16</f>
        <v>5.0350030374568533E-5</v>
      </c>
      <c r="H49" s="200">
        <f>'D&amp;C Vols'!H16</f>
        <v>3.7919921040296956E-5</v>
      </c>
      <c r="I49" s="200">
        <f>'D&amp;C Vols'!I16</f>
        <v>3.4186804993785458E-5</v>
      </c>
      <c r="J49" s="200">
        <f>'D&amp;C Vols'!J16</f>
        <v>3.6014776044979158E-5</v>
      </c>
      <c r="K49" s="200">
        <f>'D&amp;C Vols'!K16</f>
        <v>3.5374905089868847E-5</v>
      </c>
      <c r="L49" s="200">
        <f>'D&amp;C Vols'!L16</f>
        <v>3.537365375017032E-5</v>
      </c>
      <c r="M49" s="20"/>
    </row>
    <row r="50" spans="1:14" s="14" customFormat="1" ht="13.15" x14ac:dyDescent="0.4">
      <c r="A50" s="21" t="str">
        <f>'D&amp;C Vols'!A17</f>
        <v>Spine duct – 3+ bores</v>
      </c>
      <c r="B50" s="21"/>
      <c r="C50" s="21"/>
      <c r="D50" s="200">
        <f>'D&amp;C Vols'!D17</f>
        <v>2.3525561327897293E-5</v>
      </c>
      <c r="E50" s="200">
        <f>'D&amp;C Vols'!E17</f>
        <v>1.8579477446989401E-5</v>
      </c>
      <c r="F50" s="200">
        <f>'D&amp;C Vols'!F17</f>
        <v>9.2576537911170931E-6</v>
      </c>
      <c r="G50" s="200">
        <f>'D&amp;C Vols'!G17</f>
        <v>4.9613186836605649E-6</v>
      </c>
      <c r="H50" s="200">
        <f>'D&amp;C Vols'!H17</f>
        <v>4.9686030620943455E-6</v>
      </c>
      <c r="I50" s="200">
        <f>'D&amp;C Vols'!I17</f>
        <v>5.1253942279227971E-6</v>
      </c>
      <c r="J50" s="200">
        <f>'D&amp;C Vols'!J17</f>
        <v>5.5197535782092189E-6</v>
      </c>
      <c r="K50" s="200">
        <f>'D&amp;C Vols'!K17</f>
        <v>5.6851296008630925E-6</v>
      </c>
      <c r="L50" s="200">
        <f>'D&amp;C Vols'!L17</f>
        <v>5.6850972804944888E-6</v>
      </c>
      <c r="M50" s="20"/>
    </row>
    <row r="51" spans="1:14" s="14" customFormat="1" ht="13.15" x14ac:dyDescent="0.4">
      <c r="A51" s="21" t="str">
        <f>'D&amp;C Vols'!A18</f>
        <v>Joint boxes</v>
      </c>
      <c r="B51" s="21"/>
      <c r="C51" s="21"/>
      <c r="D51" s="200">
        <f>'D&amp;C Vols'!D18</f>
        <v>4.166142299737885E-3</v>
      </c>
      <c r="E51" s="200">
        <f>'D&amp;C Vols'!E18</f>
        <v>3.7335395695996532E-3</v>
      </c>
      <c r="F51" s="200">
        <f>'D&amp;C Vols'!F18</f>
        <v>4.773744014447745E-3</v>
      </c>
      <c r="G51" s="200">
        <f>'D&amp;C Vols'!G18</f>
        <v>5.6972193071702648E-3</v>
      </c>
      <c r="H51" s="200">
        <f>'D&amp;C Vols'!H18</f>
        <v>4.3413240501768424E-3</v>
      </c>
      <c r="I51" s="200">
        <f>'D&amp;C Vols'!I18</f>
        <v>3.1691423549138342E-3</v>
      </c>
      <c r="J51" s="200">
        <f>'D&amp;C Vols'!J18</f>
        <v>2.8176715554655285E-3</v>
      </c>
      <c r="K51" s="200">
        <f>'D&amp;C Vols'!K18</f>
        <v>2.8207376939053397E-3</v>
      </c>
      <c r="L51" s="200">
        <f>'D&amp;C Vols'!L18</f>
        <v>2.8128035130106088E-3</v>
      </c>
      <c r="M51" s="20"/>
    </row>
    <row r="52" spans="1:14" s="14" customFormat="1" ht="13.15" x14ac:dyDescent="0.4">
      <c r="A52" s="21" t="str">
        <f>'D&amp;C Vols'!A19</f>
        <v>Manholes</v>
      </c>
      <c r="B52" s="21"/>
      <c r="C52" s="21"/>
      <c r="D52" s="200">
        <f>'D&amp;C Vols'!D19</f>
        <v>0</v>
      </c>
      <c r="E52" s="200">
        <f>'D&amp;C Vols'!E19</f>
        <v>0</v>
      </c>
      <c r="F52" s="200">
        <f>'D&amp;C Vols'!F19</f>
        <v>0</v>
      </c>
      <c r="G52" s="200">
        <f>'D&amp;C Vols'!G19</f>
        <v>0</v>
      </c>
      <c r="H52" s="200">
        <f>'D&amp;C Vols'!H19</f>
        <v>0</v>
      </c>
      <c r="I52" s="200">
        <f>'D&amp;C Vols'!I19</f>
        <v>0</v>
      </c>
      <c r="J52" s="200">
        <f>'D&amp;C Vols'!J19</f>
        <v>0</v>
      </c>
      <c r="K52" s="200">
        <f>'D&amp;C Vols'!K19</f>
        <v>0</v>
      </c>
      <c r="L52" s="200">
        <f>'D&amp;C Vols'!L19</f>
        <v>0</v>
      </c>
      <c r="M52" s="20"/>
    </row>
    <row r="53" spans="1:14" s="14" customFormat="1" x14ac:dyDescent="0.4">
      <c r="A53" s="119"/>
      <c r="B53" s="119"/>
      <c r="C53" s="119"/>
      <c r="D53" s="119"/>
      <c r="E53" s="119"/>
      <c r="F53" s="119"/>
      <c r="G53" s="20"/>
      <c r="H53" s="20"/>
      <c r="I53" s="20"/>
      <c r="J53" s="20"/>
      <c r="K53" s="20"/>
      <c r="L53" s="20"/>
      <c r="M53" s="20"/>
    </row>
    <row r="54" spans="1:14" s="14" customFormat="1" x14ac:dyDescent="0.4">
      <c r="A54" s="21" t="s">
        <v>195</v>
      </c>
      <c r="B54" s="119"/>
      <c r="C54" s="119"/>
      <c r="D54" s="20">
        <f t="shared" ref="D54:J54" si="5">SUMPRODUCT(D37:D42,D47:D52)</f>
        <v>5.3855403899080523E-3</v>
      </c>
      <c r="E54" s="20">
        <f t="shared" si="5"/>
        <v>5.6392258150334568E-3</v>
      </c>
      <c r="F54" s="20">
        <f t="shared" si="5"/>
        <v>5.8574016516655582E-3</v>
      </c>
      <c r="G54" s="20">
        <f t="shared" si="5"/>
        <v>5.1958175039898613E-3</v>
      </c>
      <c r="H54" s="20">
        <f t="shared" si="5"/>
        <v>3.8932872761632572E-3</v>
      </c>
      <c r="I54" s="20">
        <f t="shared" si="5"/>
        <v>2.5180457301366209E-3</v>
      </c>
      <c r="J54" s="20">
        <f t="shared" si="5"/>
        <v>2.0893031773684379E-3</v>
      </c>
      <c r="K54" s="20">
        <f t="shared" ref="K54:L54" si="6">SUMPRODUCT(K37:K42,K47:K52)</f>
        <v>2.2026280825347992E-3</v>
      </c>
      <c r="L54" s="20">
        <f t="shared" si="6"/>
        <v>2.1977823188743719E-3</v>
      </c>
      <c r="M54" s="20"/>
    </row>
    <row r="55" spans="1:14" ht="9" customHeight="1" x14ac:dyDescent="0.45">
      <c r="A55" s="5"/>
      <c r="B55" s="5"/>
      <c r="C55" s="5"/>
      <c r="D55" s="5"/>
      <c r="E55" s="117"/>
      <c r="F55" s="5"/>
      <c r="G55" s="5"/>
      <c r="H55" s="5"/>
      <c r="I55" s="5"/>
      <c r="J55" s="5"/>
      <c r="K55" s="5"/>
      <c r="L55" s="5"/>
      <c r="M55" s="5"/>
      <c r="N55" s="118"/>
    </row>
    <row r="56" spans="1:14" ht="9" customHeight="1" x14ac:dyDescent="0.45"/>
    <row r="57" spans="1:14" ht="15.75" x14ac:dyDescent="0.5">
      <c r="A57" s="8" t="s">
        <v>196</v>
      </c>
    </row>
    <row r="58" spans="1:14" ht="9" customHeight="1" x14ac:dyDescent="0.45"/>
    <row r="59" spans="1:14" ht="15.75" x14ac:dyDescent="0.5">
      <c r="A59" s="8" t="s">
        <v>197</v>
      </c>
      <c r="D59" s="18" t="s">
        <v>92</v>
      </c>
      <c r="E59" s="18" t="s">
        <v>93</v>
      </c>
      <c r="F59" s="18" t="s">
        <v>51</v>
      </c>
      <c r="G59" s="18" t="s">
        <v>138</v>
      </c>
      <c r="H59" s="18" t="s">
        <v>139</v>
      </c>
      <c r="I59" s="18" t="s">
        <v>140</v>
      </c>
      <c r="J59" s="18" t="s">
        <v>141</v>
      </c>
      <c r="K59" s="18" t="s">
        <v>142</v>
      </c>
      <c r="L59" s="18" t="s">
        <v>143</v>
      </c>
    </row>
    <row r="60" spans="1:14" s="28" customFormat="1" ht="13.15" x14ac:dyDescent="0.4">
      <c r="D60" s="51"/>
      <c r="E60" s="51"/>
      <c r="F60" s="51"/>
      <c r="G60" s="51"/>
      <c r="H60" s="51"/>
      <c r="I60" s="51"/>
      <c r="J60" s="51"/>
      <c r="K60" s="51"/>
      <c r="L60" s="51"/>
    </row>
    <row r="61" spans="1:14" s="28" customFormat="1" x14ac:dyDescent="0.45">
      <c r="A61" s="28" t="str">
        <f>B7</f>
        <v>OCM Dep</v>
      </c>
      <c r="B61" s="28" t="str">
        <f>'LDD forecasts'!$A$105</f>
        <v>Assets pre 31/3/2018</v>
      </c>
      <c r="D61" s="273">
        <f>-'LDD forecasts'!F109</f>
        <v>259.75146970110478</v>
      </c>
      <c r="E61" s="273">
        <f>-'LDD forecasts'!G109</f>
        <v>282.09184435985742</v>
      </c>
      <c r="F61" s="273">
        <f>-'LDD forecasts'!H109</f>
        <v>338.19963487004526</v>
      </c>
      <c r="G61" s="273">
        <f>-'LDD forecasts'!I109</f>
        <v>302.44446536425335</v>
      </c>
      <c r="H61" s="273">
        <f>-'LDD forecasts'!J109</f>
        <v>311.62309723610144</v>
      </c>
      <c r="I61" s="273">
        <f>-'LDD forecasts'!K109</f>
        <v>318.71582017506728</v>
      </c>
      <c r="J61" s="273">
        <f>-'LDD forecasts'!L109</f>
        <v>325.98954624755243</v>
      </c>
      <c r="K61" s="273">
        <f>-'LDD forecasts'!M109</f>
        <v>333.44925238009347</v>
      </c>
      <c r="L61" s="273">
        <f>-'LDD forecasts'!N109</f>
        <v>341.10005827309487</v>
      </c>
    </row>
    <row r="62" spans="1:14" s="28" customFormat="1" x14ac:dyDescent="0.45">
      <c r="B62" s="28" t="str">
        <f>'LDD forecasts'!$A$111</f>
        <v>Assets post 31/3/2018</v>
      </c>
      <c r="D62" s="273">
        <f>-'LDD forecasts'!F114</f>
        <v>45.286388658960661</v>
      </c>
      <c r="E62" s="273">
        <f>-'LDD forecasts'!G114</f>
        <v>63.28428405226191</v>
      </c>
      <c r="F62" s="273">
        <f>-'LDD forecasts'!H114</f>
        <v>78.676316032278123</v>
      </c>
      <c r="G62" s="273">
        <f>-'LDD forecasts'!I114</f>
        <v>95.901755224592833</v>
      </c>
      <c r="H62" s="273">
        <f>-'LDD forecasts'!J114</f>
        <v>110.28969771054093</v>
      </c>
      <c r="I62" s="273">
        <f>-'LDD forecasts'!K114</f>
        <v>121.83334467038563</v>
      </c>
      <c r="J62" s="273">
        <f>-'LDD forecasts'!L114</f>
        <v>132.05396188774151</v>
      </c>
      <c r="K62" s="273">
        <f>-'LDD forecasts'!M114</f>
        <v>141.87690321322484</v>
      </c>
      <c r="L62" s="273">
        <f>-'LDD forecasts'!N114</f>
        <v>152.21794991924031</v>
      </c>
    </row>
    <row r="63" spans="1:14" ht="15.75" x14ac:dyDescent="0.5">
      <c r="A63" s="8"/>
    </row>
    <row r="64" spans="1:14" s="28" customFormat="1" x14ac:dyDescent="0.45">
      <c r="A64" s="28" t="str">
        <f>B6</f>
        <v>Pay &amp; non-pay costs</v>
      </c>
      <c r="B64" s="28" t="s">
        <v>146</v>
      </c>
      <c r="D64" s="367">
        <f>IF(D$59&lt;=selected_year, D6, C64*(1+D26)*(1-Opex_eff)*(1+Opex_CVE*D54))</f>
        <v>23.885895394175378</v>
      </c>
      <c r="E64" s="367">
        <f>IF(E$59&lt;=selected_year, E6, D64*(1+E26)*(1-Opex_eff)*(1+Opex_CVE*E54))</f>
        <v>134.52831231923489</v>
      </c>
      <c r="F64" s="367">
        <f>IF(F$59&lt;=selected_year, F6, E64*(1+F26)*(1-Opex_eff)*(1+Opex_CVE*F54))</f>
        <v>124.88261839928836</v>
      </c>
      <c r="G64" s="49">
        <f t="shared" ref="G64:L64" si="7">F64*(1+G26)*(1-Opex_eff)*(1+Opex_CVE*G54)</f>
        <v>124.61772371423123</v>
      </c>
      <c r="H64" s="49">
        <f t="shared" si="7"/>
        <v>122.60074565514986</v>
      </c>
      <c r="I64" s="49">
        <f t="shared" si="7"/>
        <v>120.26979727476565</v>
      </c>
      <c r="J64" s="49">
        <f t="shared" si="7"/>
        <v>118.06343921990124</v>
      </c>
      <c r="K64" s="49">
        <f t="shared" si="7"/>
        <v>115.80946731070364</v>
      </c>
      <c r="L64" s="49">
        <f t="shared" si="7"/>
        <v>113.58742657437298</v>
      </c>
    </row>
    <row r="65" spans="1:14" s="28" customFormat="1" ht="13.15" x14ac:dyDescent="0.4">
      <c r="B65" s="28" t="str">
        <f>'LDD forecasts'!$A$105</f>
        <v>Assets pre 31/3/2018</v>
      </c>
      <c r="D65" s="49">
        <f>D64*D61/(D61+D62)</f>
        <v>20.339758701165085</v>
      </c>
      <c r="E65" s="49">
        <f t="shared" ref="E65:J65" si="8">E64*E61/(E61+E62)</f>
        <v>109.87829389143225</v>
      </c>
      <c r="F65" s="49">
        <f t="shared" si="8"/>
        <v>101.31372618841834</v>
      </c>
      <c r="G65" s="49">
        <f t="shared" si="8"/>
        <v>94.616037194846754</v>
      </c>
      <c r="H65" s="49">
        <f t="shared" si="8"/>
        <v>90.552418751237354</v>
      </c>
      <c r="I65" s="49">
        <f t="shared" si="8"/>
        <v>87.009328673141496</v>
      </c>
      <c r="J65" s="49">
        <f t="shared" si="8"/>
        <v>84.025744926294038</v>
      </c>
      <c r="K65" s="49">
        <f t="shared" ref="K65:L65" si="9">K64*K61/(K61+K62)</f>
        <v>81.242279304172669</v>
      </c>
      <c r="L65" s="49">
        <f t="shared" si="9"/>
        <v>78.538948873124681</v>
      </c>
      <c r="N65" s="48" t="s">
        <v>198</v>
      </c>
    </row>
    <row r="66" spans="1:14" s="28" customFormat="1" ht="13.15" x14ac:dyDescent="0.4">
      <c r="B66" s="28" t="str">
        <f>'LDD forecasts'!$A$111</f>
        <v>Assets post 31/3/2018</v>
      </c>
      <c r="D66" s="47">
        <f>D64-D65</f>
        <v>3.5461366930102933</v>
      </c>
      <c r="E66" s="47">
        <f t="shared" ref="E66:J66" si="10">E64-E65</f>
        <v>24.650018427802635</v>
      </c>
      <c r="F66" s="47">
        <f t="shared" si="10"/>
        <v>23.568892210870018</v>
      </c>
      <c r="G66" s="47">
        <f t="shared" si="10"/>
        <v>30.001686519384478</v>
      </c>
      <c r="H66" s="47">
        <f t="shared" si="10"/>
        <v>32.04832690391251</v>
      </c>
      <c r="I66" s="47">
        <f t="shared" si="10"/>
        <v>33.260468601624154</v>
      </c>
      <c r="J66" s="47">
        <f t="shared" si="10"/>
        <v>34.037694293607203</v>
      </c>
      <c r="K66" s="47">
        <f t="shared" ref="K66:L66" si="11">K64-K65</f>
        <v>34.567188006530969</v>
      </c>
      <c r="L66" s="47">
        <f t="shared" si="11"/>
        <v>35.048477701248302</v>
      </c>
      <c r="N66" s="48" t="s">
        <v>198</v>
      </c>
    </row>
    <row r="67" spans="1:14" s="28" customFormat="1" ht="13.15" x14ac:dyDescent="0.4">
      <c r="D67" s="51"/>
      <c r="E67" s="51"/>
      <c r="F67" s="51"/>
      <c r="G67" s="51"/>
      <c r="H67" s="51"/>
      <c r="I67" s="51"/>
      <c r="J67" s="51"/>
      <c r="K67" s="51"/>
      <c r="L67" s="51"/>
    </row>
    <row r="68" spans="1:14" s="28" customFormat="1" ht="13.15" x14ac:dyDescent="0.4">
      <c r="A68" s="28" t="str">
        <f>B8</f>
        <v>HG/L</v>
      </c>
      <c r="D68" s="51"/>
      <c r="E68" s="51"/>
      <c r="F68" s="51"/>
      <c r="G68" s="51"/>
      <c r="H68" s="51"/>
      <c r="I68" s="51"/>
      <c r="J68" s="51"/>
      <c r="K68" s="51"/>
      <c r="L68" s="51"/>
    </row>
    <row r="69" spans="1:14" s="28" customFormat="1" ht="13.15" x14ac:dyDescent="0.4">
      <c r="B69" s="28" t="str">
        <f>'LDD forecasts'!$A$105</f>
        <v>Assets pre 31/3/2018</v>
      </c>
      <c r="D69" s="47">
        <f>-'LDD forecasts'!F79</f>
        <v>-579.29285699489412</v>
      </c>
      <c r="E69" s="47">
        <f>-'LDD forecasts'!G79</f>
        <v>-224.12675963110703</v>
      </c>
      <c r="F69" s="47">
        <f>-'LDD forecasts'!H79</f>
        <v>-159.10368784816123</v>
      </c>
      <c r="G69" s="47">
        <f>-'LDD forecasts'!I79</f>
        <v>-248.50264187135338</v>
      </c>
      <c r="H69" s="47">
        <f>-'LDD forecasts'!J79</f>
        <v>-161.70424494616609</v>
      </c>
      <c r="I69" s="47">
        <f>-'LDD forecasts'!K79</f>
        <v>-157.20667937746802</v>
      </c>
      <c r="J69" s="47">
        <f>-'LDD forecasts'!L79</f>
        <v>-152.36140515354006</v>
      </c>
      <c r="K69" s="47">
        <f>-'LDD forecasts'!M79</f>
        <v>-147.15256092071968</v>
      </c>
      <c r="L69" s="47">
        <f>-'LDD forecasts'!N79</f>
        <v>-141.5636601769385</v>
      </c>
    </row>
    <row r="70" spans="1:14" s="28" customFormat="1" ht="13.15" x14ac:dyDescent="0.4">
      <c r="B70" s="28" t="str">
        <f>'LDD forecasts'!$A$111</f>
        <v>Assets post 31/3/2018</v>
      </c>
      <c r="D70" s="47">
        <f>-'LDD forecasts'!F98</f>
        <v>-194.36969934072917</v>
      </c>
      <c r="E70" s="47">
        <f>-'LDD forecasts'!G98</f>
        <v>-84.076439879692515</v>
      </c>
      <c r="F70" s="47">
        <f>-'LDD forecasts'!H98</f>
        <v>-98.900983771299707</v>
      </c>
      <c r="G70" s="47">
        <f>-'LDD forecasts'!I98</f>
        <v>-156.26509994331198</v>
      </c>
      <c r="H70" s="47">
        <f>-'LDD forecasts'!J98</f>
        <v>-117.25417402311705</v>
      </c>
      <c r="I70" s="47">
        <f>-'LDD forecasts'!K98</f>
        <v>-127.19901691765108</v>
      </c>
      <c r="J70" s="47">
        <f>-'LDD forecasts'!L98</f>
        <v>-135.12229275274709</v>
      </c>
      <c r="K70" s="47">
        <f>-'LDD forecasts'!M98</f>
        <v>-142.14398500640297</v>
      </c>
      <c r="L70" s="47">
        <f>-'LDD forecasts'!N98</f>
        <v>-149.34577827945193</v>
      </c>
    </row>
    <row r="71" spans="1:14" x14ac:dyDescent="0.45">
      <c r="B71" s="28"/>
      <c r="D71" s="52"/>
      <c r="E71" s="52"/>
      <c r="F71" s="52"/>
      <c r="G71" s="52"/>
      <c r="H71" s="52"/>
      <c r="I71" s="52"/>
      <c r="J71" s="52"/>
      <c r="K71" s="52"/>
      <c r="L71" s="52"/>
    </row>
    <row r="72" spans="1:14" s="28" customFormat="1" x14ac:dyDescent="0.45">
      <c r="A72" s="28" t="str">
        <f>B9</f>
        <v>Other CCA</v>
      </c>
      <c r="B72" s="28" t="s">
        <v>146</v>
      </c>
      <c r="D72" s="367">
        <f>IF(D$59&lt;=selected_year, D9, C72*(1+D54))</f>
        <v>23.158180633459544</v>
      </c>
      <c r="E72" s="367">
        <f>IF(E$59&lt;=selected_year, E9, D72*(1+E54))</f>
        <v>-35.106718346747925</v>
      </c>
      <c r="F72" s="367">
        <f>IF(F$59&lt;=selected_year, F9, E72*(1+F54))</f>
        <v>-27.939991837378937</v>
      </c>
      <c r="G72" s="47">
        <f t="shared" ref="G72:L72" si="12">F72*(1+G54)</f>
        <v>-28.085162936028926</v>
      </c>
      <c r="H72" s="47">
        <f t="shared" si="12"/>
        <v>-28.19450654353674</v>
      </c>
      <c r="I72" s="47">
        <f t="shared" si="12"/>
        <v>-28.265501600352</v>
      </c>
      <c r="J72" s="47">
        <f t="shared" si="12"/>
        <v>-28.324556802655525</v>
      </c>
      <c r="K72" s="47">
        <f t="shared" si="12"/>
        <v>-28.386945266894411</v>
      </c>
      <c r="L72" s="47">
        <f t="shared" si="12"/>
        <v>-28.449333593288845</v>
      </c>
      <c r="N72" s="48" t="s">
        <v>199</v>
      </c>
    </row>
    <row r="73" spans="1:14" s="28" customFormat="1" ht="13.15" x14ac:dyDescent="0.4">
      <c r="B73" s="28" t="str">
        <f>'LDD forecasts'!$A$105</f>
        <v>Assets pre 31/3/2018</v>
      </c>
      <c r="D73" s="47">
        <f>D72*D61/(D61+D62)</f>
        <v>19.720081590804568</v>
      </c>
      <c r="E73" s="47">
        <f t="shared" ref="E73:L73" si="13">E72*E61/(E61+E62)</f>
        <v>-28.674011065521736</v>
      </c>
      <c r="F73" s="47">
        <f t="shared" si="13"/>
        <v>-22.666922899295837</v>
      </c>
      <c r="G73" s="47">
        <f t="shared" si="13"/>
        <v>-21.323666825051969</v>
      </c>
      <c r="H73" s="47">
        <f t="shared" si="13"/>
        <v>-20.82434939014254</v>
      </c>
      <c r="I73" s="47">
        <f t="shared" si="13"/>
        <v>-20.448710936442598</v>
      </c>
      <c r="J73" s="47">
        <f t="shared" si="13"/>
        <v>-20.158585932918331</v>
      </c>
      <c r="K73" s="47">
        <f t="shared" si="13"/>
        <v>-19.913917139243651</v>
      </c>
      <c r="L73" s="47">
        <f t="shared" si="13"/>
        <v>-19.671021907471321</v>
      </c>
      <c r="N73" s="48" t="s">
        <v>198</v>
      </c>
    </row>
    <row r="74" spans="1:14" s="28" customFormat="1" ht="13.15" x14ac:dyDescent="0.4">
      <c r="B74" s="28" t="str">
        <f>'LDD forecasts'!$A$111</f>
        <v>Assets post 31/3/2018</v>
      </c>
      <c r="D74" s="47">
        <f>D72-D73</f>
        <v>3.4380990426549758</v>
      </c>
      <c r="E74" s="47">
        <f t="shared" ref="E74:L74" si="14">E72-E73</f>
        <v>-6.4327072812261896</v>
      </c>
      <c r="F74" s="47">
        <f t="shared" si="14"/>
        <v>-5.2730689380830995</v>
      </c>
      <c r="G74" s="47">
        <f t="shared" si="14"/>
        <v>-6.7614961109769567</v>
      </c>
      <c r="H74" s="47">
        <f t="shared" si="14"/>
        <v>-7.3701571533941994</v>
      </c>
      <c r="I74" s="47">
        <f t="shared" si="14"/>
        <v>-7.8167906639094014</v>
      </c>
      <c r="J74" s="47">
        <f t="shared" si="14"/>
        <v>-8.165970869737194</v>
      </c>
      <c r="K74" s="47">
        <f t="shared" si="14"/>
        <v>-8.4730281276507604</v>
      </c>
      <c r="L74" s="47">
        <f t="shared" si="14"/>
        <v>-8.7783116858175241</v>
      </c>
      <c r="N74" s="48"/>
    </row>
    <row r="75" spans="1:14" s="28" customFormat="1" ht="13.15" x14ac:dyDescent="0.4">
      <c r="D75" s="46"/>
      <c r="E75" s="46"/>
      <c r="F75" s="46"/>
      <c r="G75" s="46"/>
      <c r="H75" s="46"/>
      <c r="I75" s="46"/>
      <c r="J75" s="46"/>
      <c r="K75" s="46"/>
      <c r="L75" s="46"/>
    </row>
    <row r="76" spans="1:14" s="28" customFormat="1" x14ac:dyDescent="0.45">
      <c r="A76" s="28" t="str">
        <f>B10</f>
        <v>Other Dep</v>
      </c>
      <c r="B76" s="28" t="s">
        <v>146</v>
      </c>
      <c r="D76" s="367">
        <f>IF(D$59&lt;=selected_year, D10, C76*(1+D54))</f>
        <v>0</v>
      </c>
      <c r="E76" s="367">
        <f>IF(E$59&lt;=selected_year, E10, D76*(1+E54))</f>
        <v>0</v>
      </c>
      <c r="F76" s="367">
        <f>IF(F$59&lt;=selected_year, F10, E76*(1+F54))</f>
        <v>0</v>
      </c>
      <c r="G76" s="47">
        <f t="shared" ref="G76:J76" si="15">F76*(1+G54)</f>
        <v>0</v>
      </c>
      <c r="H76" s="47">
        <f t="shared" si="15"/>
        <v>0</v>
      </c>
      <c r="I76" s="47">
        <f t="shared" si="15"/>
        <v>0</v>
      </c>
      <c r="J76" s="47">
        <f t="shared" si="15"/>
        <v>0</v>
      </c>
      <c r="K76" s="47">
        <f t="shared" ref="K76" si="16">J76*(1+K54)</f>
        <v>0</v>
      </c>
      <c r="L76" s="47">
        <f t="shared" ref="L76" si="17">K76*(1+L54)</f>
        <v>0</v>
      </c>
      <c r="N76" s="48"/>
    </row>
    <row r="77" spans="1:14" s="28" customFormat="1" ht="13.15" x14ac:dyDescent="0.4">
      <c r="B77" s="28" t="str">
        <f>'LDD forecasts'!$A$105</f>
        <v>Assets pre 31/3/2018</v>
      </c>
      <c r="D77" s="47">
        <f>D76*D61/(D61+D62)</f>
        <v>0</v>
      </c>
      <c r="E77" s="47">
        <f t="shared" ref="E77:J77" si="18">E76*E61/(E61+E62)</f>
        <v>0</v>
      </c>
      <c r="F77" s="47">
        <f t="shared" si="18"/>
        <v>0</v>
      </c>
      <c r="G77" s="47">
        <f t="shared" si="18"/>
        <v>0</v>
      </c>
      <c r="H77" s="47">
        <f t="shared" si="18"/>
        <v>0</v>
      </c>
      <c r="I77" s="47">
        <f t="shared" si="18"/>
        <v>0</v>
      </c>
      <c r="J77" s="47">
        <f t="shared" si="18"/>
        <v>0</v>
      </c>
      <c r="K77" s="47">
        <f t="shared" ref="K77:L77" si="19">K76*K61/(K61+K62)</f>
        <v>0</v>
      </c>
      <c r="L77" s="47">
        <f t="shared" si="19"/>
        <v>0</v>
      </c>
      <c r="N77" s="48"/>
    </row>
    <row r="78" spans="1:14" s="28" customFormat="1" ht="13.15" x14ac:dyDescent="0.4">
      <c r="B78" s="28" t="str">
        <f>'LDD forecasts'!$A$111</f>
        <v>Assets post 31/3/2018</v>
      </c>
      <c r="D78" s="47">
        <f>D76-D77</f>
        <v>0</v>
      </c>
      <c r="E78" s="47">
        <f t="shared" ref="E78:J78" si="20">E76-E77</f>
        <v>0</v>
      </c>
      <c r="F78" s="47">
        <f t="shared" si="20"/>
        <v>0</v>
      </c>
      <c r="G78" s="47">
        <f t="shared" si="20"/>
        <v>0</v>
      </c>
      <c r="H78" s="47">
        <f t="shared" si="20"/>
        <v>0</v>
      </c>
      <c r="I78" s="47">
        <f t="shared" si="20"/>
        <v>0</v>
      </c>
      <c r="J78" s="47">
        <f t="shared" si="20"/>
        <v>0</v>
      </c>
      <c r="K78" s="47">
        <f t="shared" ref="K78:L78" si="21">K76-K77</f>
        <v>0</v>
      </c>
      <c r="L78" s="47">
        <f t="shared" si="21"/>
        <v>0</v>
      </c>
      <c r="N78" s="48"/>
    </row>
    <row r="79" spans="1:14" s="28" customFormat="1" ht="13.15" x14ac:dyDescent="0.4">
      <c r="D79" s="46"/>
      <c r="E79" s="46"/>
      <c r="F79" s="46"/>
      <c r="G79" s="46"/>
      <c r="H79" s="46"/>
      <c r="I79" s="46"/>
      <c r="J79" s="46"/>
      <c r="K79" s="46"/>
      <c r="L79" s="46"/>
    </row>
    <row r="80" spans="1:14" s="28" customFormat="1" ht="13.15" x14ac:dyDescent="0.4">
      <c r="A80" s="28" t="str">
        <f>B11</f>
        <v>Total CCA Costs</v>
      </c>
      <c r="D80" s="47">
        <f>SUM(D65:D66,D61:D62,D69:D70,D73:D74,D77:D78)</f>
        <v>-421.58062194792285</v>
      </c>
      <c r="E80" s="47">
        <f t="shared" ref="E80:L80" si="22">SUM(E65:E66,E61:E62,E69:E70,E73:E74,E77:E78)</f>
        <v>136.59452287380674</v>
      </c>
      <c r="F80" s="47">
        <f t="shared" si="22"/>
        <v>255.8139058447718</v>
      </c>
      <c r="G80" s="47">
        <f t="shared" si="22"/>
        <v>90.111039552383204</v>
      </c>
      <c r="H80" s="47">
        <f t="shared" si="22"/>
        <v>237.36061508897231</v>
      </c>
      <c r="I80" s="47">
        <f t="shared" si="22"/>
        <v>248.14776422474739</v>
      </c>
      <c r="J80" s="47">
        <f t="shared" si="22"/>
        <v>260.2986926462525</v>
      </c>
      <c r="K80" s="47">
        <f t="shared" si="22"/>
        <v>273.45213171000483</v>
      </c>
      <c r="L80" s="47">
        <f t="shared" si="22"/>
        <v>287.54666271702894</v>
      </c>
    </row>
    <row r="81" spans="1:14" s="28" customFormat="1" ht="13.15" x14ac:dyDescent="0.4">
      <c r="B81" s="28" t="str">
        <f>'LDD forecasts'!$A$105</f>
        <v>Assets pre 31/3/2018</v>
      </c>
      <c r="D81" s="47">
        <f>SUM(D65,D61,D69,D73,D77)</f>
        <v>-279.48154700181971</v>
      </c>
      <c r="E81" s="47">
        <f t="shared" ref="E81:J81" si="23">SUM(E65,E61,E69,E73,E77)</f>
        <v>139.16936755466088</v>
      </c>
      <c r="F81" s="47">
        <f t="shared" si="23"/>
        <v>257.74275031100649</v>
      </c>
      <c r="G81" s="47">
        <f t="shared" si="23"/>
        <v>127.23419386269474</v>
      </c>
      <c r="H81" s="47">
        <f t="shared" si="23"/>
        <v>219.6469216510302</v>
      </c>
      <c r="I81" s="47">
        <f t="shared" si="23"/>
        <v>228.06975853429816</v>
      </c>
      <c r="J81" s="47">
        <f t="shared" si="23"/>
        <v>237.49530008738802</v>
      </c>
      <c r="K81" s="47">
        <f t="shared" ref="K81:L81" si="24">SUM(K65,K61,K69,K73,K77)</f>
        <v>247.62505362430278</v>
      </c>
      <c r="L81" s="47">
        <f t="shared" si="24"/>
        <v>258.4043250618098</v>
      </c>
    </row>
    <row r="82" spans="1:14" s="28" customFormat="1" ht="13.15" x14ac:dyDescent="0.4">
      <c r="B82" s="28" t="str">
        <f>'LDD forecasts'!$A$111</f>
        <v>Assets post 31/3/2018</v>
      </c>
      <c r="D82" s="47">
        <f>SUM(D66,D62,D70,D74,D78)</f>
        <v>-142.09907494610323</v>
      </c>
      <c r="E82" s="47">
        <f t="shared" ref="E82:J82" si="25">SUM(E66,E62,E70,E74,E78)</f>
        <v>-2.5748446808541594</v>
      </c>
      <c r="F82" s="47">
        <f t="shared" si="25"/>
        <v>-1.9288444662346649</v>
      </c>
      <c r="G82" s="47">
        <f t="shared" si="25"/>
        <v>-37.123154310311627</v>
      </c>
      <c r="H82" s="47">
        <f t="shared" si="25"/>
        <v>17.713693437942201</v>
      </c>
      <c r="I82" s="47">
        <f t="shared" si="25"/>
        <v>20.078005690449302</v>
      </c>
      <c r="J82" s="47">
        <f t="shared" si="25"/>
        <v>22.803392558864417</v>
      </c>
      <c r="K82" s="47">
        <f t="shared" ref="K82:L82" si="26">SUM(K66,K62,K70,K74,K78)</f>
        <v>25.827078085702087</v>
      </c>
      <c r="L82" s="47">
        <f t="shared" si="26"/>
        <v>29.142337655219169</v>
      </c>
    </row>
    <row r="83" spans="1:14" s="28" customFormat="1" x14ac:dyDescent="0.45">
      <c r="B83" s="48" t="s">
        <v>168</v>
      </c>
      <c r="D83" s="272" t="b">
        <f>IF(ABS(D80-D81-D82)&lt;0.00001,TRUE,FALSE)</f>
        <v>1</v>
      </c>
      <c r="E83" s="272" t="b">
        <f t="shared" ref="E83:L83" si="27">IF(ABS(E80-E81-E82)&lt;0.00001,TRUE,FALSE)</f>
        <v>1</v>
      </c>
      <c r="F83" s="272" t="b">
        <f t="shared" si="27"/>
        <v>1</v>
      </c>
      <c r="G83" s="272" t="b">
        <f t="shared" si="27"/>
        <v>1</v>
      </c>
      <c r="H83" s="272" t="b">
        <f t="shared" si="27"/>
        <v>1</v>
      </c>
      <c r="I83" s="272" t="b">
        <f t="shared" si="27"/>
        <v>1</v>
      </c>
      <c r="J83" s="272" t="b">
        <f t="shared" si="27"/>
        <v>1</v>
      </c>
      <c r="K83" s="272" t="b">
        <f t="shared" si="27"/>
        <v>1</v>
      </c>
      <c r="L83" s="272" t="b">
        <f t="shared" si="27"/>
        <v>1</v>
      </c>
    </row>
    <row r="84" spans="1:14" x14ac:dyDescent="0.45">
      <c r="D84" s="47"/>
      <c r="E84" s="47"/>
      <c r="F84" s="47"/>
      <c r="G84" s="47"/>
      <c r="H84" s="47"/>
      <c r="I84" s="47"/>
      <c r="J84" s="47"/>
      <c r="K84" s="47"/>
      <c r="L84" s="47"/>
    </row>
    <row r="85" spans="1:14" ht="15.75" x14ac:dyDescent="0.5">
      <c r="A85" s="8" t="s">
        <v>200</v>
      </c>
      <c r="D85" s="18" t="s">
        <v>92</v>
      </c>
      <c r="E85" s="18" t="s">
        <v>93</v>
      </c>
      <c r="F85" s="18" t="s">
        <v>51</v>
      </c>
      <c r="G85" s="18" t="s">
        <v>138</v>
      </c>
      <c r="H85" s="18" t="s">
        <v>139</v>
      </c>
      <c r="I85" s="18" t="s">
        <v>140</v>
      </c>
      <c r="J85" s="18" t="s">
        <v>141</v>
      </c>
      <c r="K85" s="18" t="s">
        <v>142</v>
      </c>
      <c r="L85" s="18" t="s">
        <v>143</v>
      </c>
    </row>
    <row r="86" spans="1:14" s="28" customFormat="1" ht="13.15" x14ac:dyDescent="0.4">
      <c r="A86" s="28" t="str">
        <f>B14</f>
        <v>NRC (main COW)</v>
      </c>
      <c r="D86" s="47"/>
      <c r="E86" s="46"/>
      <c r="F86" s="46"/>
      <c r="G86" s="46"/>
      <c r="H86" s="46"/>
      <c r="I86" s="46"/>
      <c r="J86" s="46"/>
      <c r="K86" s="46"/>
      <c r="L86" s="46"/>
    </row>
    <row r="87" spans="1:14" s="28" customFormat="1" ht="13.15" x14ac:dyDescent="0.4">
      <c r="B87" s="28" t="str">
        <f>'LDD forecasts'!$A$105</f>
        <v>Assets pre 31/3/2018</v>
      </c>
      <c r="D87" s="49">
        <f>'LDD forecasts'!F107</f>
        <v>5466.6358192409371</v>
      </c>
      <c r="E87" s="49">
        <f>'LDD forecasts'!G107</f>
        <v>5628.2698269632301</v>
      </c>
      <c r="F87" s="49">
        <f>'LDD forecasts'!H107</f>
        <v>5539.9421386766635</v>
      </c>
      <c r="G87" s="49">
        <f>'LDD forecasts'!I107</f>
        <v>5417.1124099519857</v>
      </c>
      <c r="H87" s="49">
        <f>'LDD forecasts'!J107</f>
        <v>5315.1820720605683</v>
      </c>
      <c r="I87" s="49">
        <f>'LDD forecasts'!K107</f>
        <v>5159.468075516801</v>
      </c>
      <c r="J87" s="49">
        <f>'LDD forecasts'!L107</f>
        <v>4991.8994345709962</v>
      </c>
      <c r="K87" s="49">
        <f>'LDD forecasts'!M107</f>
        <v>4811.937018294303</v>
      </c>
      <c r="L87" s="49">
        <f>'LDD forecasts'!N107</f>
        <v>4619.020473516538</v>
      </c>
    </row>
    <row r="88" spans="1:14" s="28" customFormat="1" ht="13.15" x14ac:dyDescent="0.4">
      <c r="B88" s="28" t="str">
        <f>'LDD forecasts'!$A$111</f>
        <v>Assets post 31/3/2018</v>
      </c>
      <c r="D88" s="47">
        <f>'LDD forecasts'!F113</f>
        <v>1807.7386734079871</v>
      </c>
      <c r="E88" s="47">
        <f>'LDD forecasts'!G113</f>
        <v>2433.4059488291878</v>
      </c>
      <c r="F88" s="47">
        <f>'LDD forecasts'!H113</f>
        <v>2980.0930820958092</v>
      </c>
      <c r="G88" s="47">
        <f>'LDD forecasts'!I113</f>
        <v>3453.5667034341236</v>
      </c>
      <c r="H88" s="47">
        <f>'LDD forecasts'!J113</f>
        <v>3911.9547055935227</v>
      </c>
      <c r="I88" s="47">
        <f>'LDD forecasts'!K113</f>
        <v>4242.6500667120026</v>
      </c>
      <c r="J88" s="47">
        <f>'LDD forecasts'!L113</f>
        <v>4505.6105905240729</v>
      </c>
      <c r="K88" s="47">
        <f>'LDD forecasts'!M113</f>
        <v>4738.2663744433548</v>
      </c>
      <c r="L88" s="47">
        <f>'LDD forecasts'!N113</f>
        <v>4976.7565234951708</v>
      </c>
    </row>
    <row r="89" spans="1:14" s="28" customFormat="1" ht="13.15" x14ac:dyDescent="0.4">
      <c r="E89" s="43"/>
      <c r="F89" s="43"/>
      <c r="G89" s="43"/>
      <c r="H89" s="43"/>
      <c r="I89" s="43"/>
      <c r="J89" s="43"/>
      <c r="K89" s="43"/>
      <c r="L89" s="43"/>
    </row>
    <row r="90" spans="1:14" s="28" customFormat="1" ht="13.15" x14ac:dyDescent="0.4">
      <c r="A90" s="28" t="str">
        <f>B15</f>
        <v>Other COWs</v>
      </c>
      <c r="D90" s="47">
        <f>D15</f>
        <v>-159.84581232914391</v>
      </c>
      <c r="E90" s="47">
        <f>$D90</f>
        <v>-159.84581232914391</v>
      </c>
      <c r="F90" s="47">
        <f t="shared" ref="F90:L90" si="28">$D90</f>
        <v>-159.84581232914391</v>
      </c>
      <c r="G90" s="47">
        <f t="shared" si="28"/>
        <v>-159.84581232914391</v>
      </c>
      <c r="H90" s="47">
        <f t="shared" si="28"/>
        <v>-159.84581232914391</v>
      </c>
      <c r="I90" s="47">
        <f t="shared" si="28"/>
        <v>-159.84581232914391</v>
      </c>
      <c r="J90" s="47">
        <f t="shared" si="28"/>
        <v>-159.84581232914391</v>
      </c>
      <c r="K90" s="47">
        <f t="shared" si="28"/>
        <v>-159.84581232914391</v>
      </c>
      <c r="L90" s="47">
        <f t="shared" si="28"/>
        <v>-159.84581232914391</v>
      </c>
      <c r="M90" s="47"/>
      <c r="N90" s="48" t="s">
        <v>201</v>
      </c>
    </row>
    <row r="91" spans="1:14" s="28" customFormat="1" ht="13.15" x14ac:dyDescent="0.4">
      <c r="B91" s="28" t="str">
        <f>'LDD forecasts'!$A$105</f>
        <v>Assets pre 31/3/2018</v>
      </c>
      <c r="D91" s="47">
        <f>D90*D87/(D87+D88)</f>
        <v>-120.12288398366005</v>
      </c>
      <c r="E91" s="47">
        <f t="shared" ref="E91:J91" si="29">E90*E87/(E87+E88)</f>
        <v>-111.59656968592446</v>
      </c>
      <c r="F91" s="47">
        <f t="shared" si="29"/>
        <v>-103.93578529513856</v>
      </c>
      <c r="G91" s="47">
        <f t="shared" si="29"/>
        <v>-97.614029611373212</v>
      </c>
      <c r="H91" s="47">
        <f t="shared" si="29"/>
        <v>-92.077273422821079</v>
      </c>
      <c r="I91" s="47">
        <f t="shared" si="29"/>
        <v>-87.716337238213583</v>
      </c>
      <c r="J91" s="47">
        <f t="shared" si="29"/>
        <v>-84.015096385898033</v>
      </c>
      <c r="K91" s="47">
        <f t="shared" ref="K91:L91" si="30">K90*K87/(K87+K88)</f>
        <v>-80.53943459998311</v>
      </c>
      <c r="L91" s="47">
        <f t="shared" si="30"/>
        <v>-76.943334550618161</v>
      </c>
      <c r="M91" s="47"/>
      <c r="N91" s="48" t="s">
        <v>202</v>
      </c>
    </row>
    <row r="92" spans="1:14" s="28" customFormat="1" ht="13.15" x14ac:dyDescent="0.4">
      <c r="B92" s="28" t="str">
        <f>'LDD forecasts'!$A$111</f>
        <v>Assets post 31/3/2018</v>
      </c>
      <c r="D92" s="47">
        <f>D90-D91</f>
        <v>-39.722928345483865</v>
      </c>
      <c r="E92" s="47">
        <f t="shared" ref="E92:J92" si="31">E90-E91</f>
        <v>-48.249242643219446</v>
      </c>
      <c r="F92" s="47">
        <f t="shared" si="31"/>
        <v>-55.910027034005353</v>
      </c>
      <c r="G92" s="47">
        <f t="shared" si="31"/>
        <v>-62.231782717770699</v>
      </c>
      <c r="H92" s="47">
        <f t="shared" si="31"/>
        <v>-67.768538906322831</v>
      </c>
      <c r="I92" s="47">
        <f t="shared" si="31"/>
        <v>-72.129475090930327</v>
      </c>
      <c r="J92" s="47">
        <f t="shared" si="31"/>
        <v>-75.830715943245877</v>
      </c>
      <c r="K92" s="47">
        <f t="shared" ref="K92:L92" si="32">K90-K91</f>
        <v>-79.306377729160801</v>
      </c>
      <c r="L92" s="47">
        <f t="shared" si="32"/>
        <v>-82.90247777852575</v>
      </c>
      <c r="M92" s="47"/>
      <c r="N92" s="48" t="s">
        <v>202</v>
      </c>
    </row>
    <row r="93" spans="1:14" s="28" customFormat="1" ht="13.15" x14ac:dyDescent="0.4">
      <c r="D93" s="46"/>
      <c r="E93" s="46"/>
      <c r="F93" s="46"/>
      <c r="G93" s="46"/>
      <c r="H93" s="46"/>
      <c r="I93" s="46"/>
      <c r="J93" s="46"/>
      <c r="K93" s="46"/>
      <c r="L93" s="46"/>
      <c r="M93" s="47"/>
    </row>
    <row r="94" spans="1:14" s="28" customFormat="1" ht="13.15" x14ac:dyDescent="0.4">
      <c r="A94" s="28" t="str">
        <f>B16</f>
        <v>Other non COW</v>
      </c>
      <c r="D94" s="47">
        <f>D16</f>
        <v>0</v>
      </c>
      <c r="E94" s="47">
        <f>D94*(1+E$54)</f>
        <v>0</v>
      </c>
      <c r="F94" s="47">
        <f>E94*(1+F$54)</f>
        <v>0</v>
      </c>
      <c r="G94" s="47">
        <f t="shared" ref="G94:J94" si="33">F94*(1+G$54)</f>
        <v>0</v>
      </c>
      <c r="H94" s="47">
        <f t="shared" si="33"/>
        <v>0</v>
      </c>
      <c r="I94" s="47">
        <f t="shared" si="33"/>
        <v>0</v>
      </c>
      <c r="J94" s="47">
        <f t="shared" si="33"/>
        <v>0</v>
      </c>
      <c r="K94" s="47">
        <f t="shared" ref="K94" si="34">J94*(1+K$54)</f>
        <v>0</v>
      </c>
      <c r="L94" s="47">
        <f t="shared" ref="L94" si="35">K94*(1+L$54)</f>
        <v>0</v>
      </c>
      <c r="M94" s="47"/>
    </row>
    <row r="95" spans="1:14" s="28" customFormat="1" ht="13.15" x14ac:dyDescent="0.4">
      <c r="B95" s="28" t="str">
        <f>'LDD forecasts'!$A$105</f>
        <v>Assets pre 31/3/2018</v>
      </c>
      <c r="D95" s="47">
        <f>D94*D87/(D87+D88)</f>
        <v>0</v>
      </c>
      <c r="E95" s="47">
        <f t="shared" ref="E95:J95" si="36">E94*E87/(E87+E88)</f>
        <v>0</v>
      </c>
      <c r="F95" s="47">
        <f t="shared" si="36"/>
        <v>0</v>
      </c>
      <c r="G95" s="47">
        <f t="shared" si="36"/>
        <v>0</v>
      </c>
      <c r="H95" s="47">
        <f t="shared" si="36"/>
        <v>0</v>
      </c>
      <c r="I95" s="47">
        <f t="shared" si="36"/>
        <v>0</v>
      </c>
      <c r="J95" s="47">
        <f t="shared" si="36"/>
        <v>0</v>
      </c>
      <c r="K95" s="47">
        <f t="shared" ref="K95:L95" si="37">K94*K87/(K87+K88)</f>
        <v>0</v>
      </c>
      <c r="L95" s="47">
        <f t="shared" si="37"/>
        <v>0</v>
      </c>
      <c r="M95" s="47"/>
      <c r="N95" s="48" t="s">
        <v>202</v>
      </c>
    </row>
    <row r="96" spans="1:14" s="28" customFormat="1" ht="13.15" x14ac:dyDescent="0.4">
      <c r="B96" s="28" t="str">
        <f>'LDD forecasts'!$A$111</f>
        <v>Assets post 31/3/2018</v>
      </c>
      <c r="D96" s="47">
        <f>D94-D95</f>
        <v>0</v>
      </c>
      <c r="E96" s="47">
        <f t="shared" ref="E96:J96" si="38">E94-E95</f>
        <v>0</v>
      </c>
      <c r="F96" s="47">
        <f t="shared" si="38"/>
        <v>0</v>
      </c>
      <c r="G96" s="47">
        <f t="shared" si="38"/>
        <v>0</v>
      </c>
      <c r="H96" s="47">
        <f t="shared" si="38"/>
        <v>0</v>
      </c>
      <c r="I96" s="47">
        <f t="shared" si="38"/>
        <v>0</v>
      </c>
      <c r="J96" s="47">
        <f t="shared" si="38"/>
        <v>0</v>
      </c>
      <c r="K96" s="47">
        <f t="shared" ref="K96:L96" si="39">K94-K95</f>
        <v>0</v>
      </c>
      <c r="L96" s="47">
        <f t="shared" si="39"/>
        <v>0</v>
      </c>
      <c r="M96" s="47"/>
      <c r="N96" s="48" t="s">
        <v>202</v>
      </c>
    </row>
    <row r="97" spans="1:14" s="28" customFormat="1" ht="13.15" x14ac:dyDescent="0.4">
      <c r="D97" s="51"/>
      <c r="E97" s="51"/>
      <c r="F97" s="51"/>
      <c r="G97" s="51"/>
      <c r="H97" s="51"/>
      <c r="I97" s="51"/>
      <c r="J97" s="51"/>
      <c r="K97" s="51"/>
      <c r="L97" s="51"/>
    </row>
    <row r="98" spans="1:14" s="28" customFormat="1" ht="13.15" x14ac:dyDescent="0.4">
      <c r="A98" s="28" t="str">
        <f>B17</f>
        <v>NCA</v>
      </c>
      <c r="D98" s="47">
        <f>D17</f>
        <v>59.214092914511546</v>
      </c>
      <c r="E98" s="47">
        <f>D98*(1+E$54)*(1+E$25)</f>
        <v>64.001470223442382</v>
      </c>
      <c r="F98" s="47">
        <f t="shared" ref="F98:L98" si="40">E98*(1+F$54)*(1+F$25)</f>
        <v>66.50242927857758</v>
      </c>
      <c r="G98" s="47">
        <f>F98*(1+G$54)*(1+G$25)</f>
        <v>69.899330655601688</v>
      </c>
      <c r="H98" s="47">
        <f t="shared" si="40"/>
        <v>72.276612895163126</v>
      </c>
      <c r="I98" s="47">
        <f t="shared" si="40"/>
        <v>74.632366973002107</v>
      </c>
      <c r="J98" s="47">
        <f t="shared" si="40"/>
        <v>77.031945512886921</v>
      </c>
      <c r="K98" s="47">
        <f t="shared" si="40"/>
        <v>79.517666786505686</v>
      </c>
      <c r="L98" s="47">
        <f t="shared" si="40"/>
        <v>82.083202187865439</v>
      </c>
    </row>
    <row r="99" spans="1:14" s="28" customFormat="1" ht="13.15" x14ac:dyDescent="0.4">
      <c r="B99" s="28" t="str">
        <f>'LDD forecasts'!$A$105</f>
        <v>Assets pre 31/3/2018</v>
      </c>
      <c r="D99" s="47">
        <f>D98*D87/(D87+D88)</f>
        <v>44.49892999837234</v>
      </c>
      <c r="E99" s="47">
        <f t="shared" ref="E99:J99" si="41">E98*E87/(E87+E88)</f>
        <v>44.682712845082015</v>
      </c>
      <c r="F99" s="47">
        <f t="shared" si="41"/>
        <v>43.241559540331778</v>
      </c>
      <c r="G99" s="47">
        <f t="shared" si="41"/>
        <v>42.685856032194827</v>
      </c>
      <c r="H99" s="47">
        <f t="shared" si="41"/>
        <v>41.63408068470212</v>
      </c>
      <c r="I99" s="47">
        <f t="shared" si="41"/>
        <v>40.954953870232728</v>
      </c>
      <c r="J99" s="47">
        <f t="shared" si="41"/>
        <v>40.488056788951361</v>
      </c>
      <c r="K99" s="47">
        <f t="shared" ref="K99:L99" si="42">K98*K87/(K87+K88)</f>
        <v>40.06553459472368</v>
      </c>
      <c r="L99" s="47">
        <f t="shared" si="42"/>
        <v>39.511546751828433</v>
      </c>
      <c r="N99" s="48" t="s">
        <v>202</v>
      </c>
    </row>
    <row r="100" spans="1:14" s="28" customFormat="1" ht="13.15" x14ac:dyDescent="0.4">
      <c r="B100" s="28" t="str">
        <f>'LDD forecasts'!$A$111</f>
        <v>Assets post 31/3/2018</v>
      </c>
      <c r="D100" s="47">
        <f>D98-D99</f>
        <v>14.715162916139207</v>
      </c>
      <c r="E100" s="47">
        <f t="shared" ref="E100:J100" si="43">E98-E99</f>
        <v>19.318757378360367</v>
      </c>
      <c r="F100" s="47">
        <f t="shared" si="43"/>
        <v>23.260869738245802</v>
      </c>
      <c r="G100" s="47">
        <f t="shared" si="43"/>
        <v>27.21347462340686</v>
      </c>
      <c r="H100" s="47">
        <f t="shared" si="43"/>
        <v>30.642532210461006</v>
      </c>
      <c r="I100" s="47">
        <f t="shared" si="43"/>
        <v>33.677413102769378</v>
      </c>
      <c r="J100" s="47">
        <f t="shared" si="43"/>
        <v>36.543888723935559</v>
      </c>
      <c r="K100" s="47">
        <f t="shared" ref="K100:L100" si="44">K98-K99</f>
        <v>39.452132191782006</v>
      </c>
      <c r="L100" s="47">
        <f t="shared" si="44"/>
        <v>42.571655436037005</v>
      </c>
      <c r="N100" s="48" t="s">
        <v>202</v>
      </c>
    </row>
    <row r="101" spans="1:14" s="28" customFormat="1" ht="13.15" x14ac:dyDescent="0.4">
      <c r="M101" s="43"/>
    </row>
    <row r="102" spans="1:14" s="28" customFormat="1" ht="13.15" x14ac:dyDescent="0.4">
      <c r="A102" s="28" t="s">
        <v>88</v>
      </c>
      <c r="D102" s="51">
        <f>D87+D88+D90+D94+D98</f>
        <v>7173.7427732342921</v>
      </c>
      <c r="E102" s="51">
        <f t="shared" ref="E102:J102" si="45">E87+E88+E90+E94+E98</f>
        <v>7965.8314336867161</v>
      </c>
      <c r="F102" s="51">
        <f t="shared" si="45"/>
        <v>8426.6918377219063</v>
      </c>
      <c r="G102" s="51">
        <f t="shared" si="45"/>
        <v>8780.732631712568</v>
      </c>
      <c r="H102" s="51">
        <f t="shared" si="45"/>
        <v>9139.5675782201088</v>
      </c>
      <c r="I102" s="51">
        <f t="shared" si="45"/>
        <v>9316.9046968726616</v>
      </c>
      <c r="J102" s="51">
        <f t="shared" si="45"/>
        <v>9414.6961582788117</v>
      </c>
      <c r="K102" s="51">
        <f t="shared" ref="K102:L102" si="46">K87+K88+K90+K94+K98</f>
        <v>9469.8752471950193</v>
      </c>
      <c r="L102" s="51">
        <f t="shared" si="46"/>
        <v>9518.014386870429</v>
      </c>
      <c r="M102" s="43"/>
    </row>
    <row r="103" spans="1:14" s="28" customFormat="1" ht="13.15" x14ac:dyDescent="0.4">
      <c r="B103" s="28" t="s">
        <v>178</v>
      </c>
      <c r="D103" s="51">
        <f>SUM(D87,D91,D95,D99)</f>
        <v>5391.0118652556494</v>
      </c>
      <c r="E103" s="51">
        <f t="shared" ref="E103:J103" si="47">SUM(E87,E91,E95,E99)</f>
        <v>5561.3559701223876</v>
      </c>
      <c r="F103" s="51">
        <f t="shared" si="47"/>
        <v>5479.2479129218564</v>
      </c>
      <c r="G103" s="51">
        <f t="shared" si="47"/>
        <v>5362.1842363728074</v>
      </c>
      <c r="H103" s="51">
        <f t="shared" si="47"/>
        <v>5264.7388793224491</v>
      </c>
      <c r="I103" s="51">
        <f t="shared" si="47"/>
        <v>5112.7066921488204</v>
      </c>
      <c r="J103" s="51">
        <f t="shared" si="47"/>
        <v>4948.3723949740497</v>
      </c>
      <c r="K103" s="51">
        <f t="shared" ref="K103:L103" si="48">SUM(K87,K91,K95,K99)</f>
        <v>4771.4631182890435</v>
      </c>
      <c r="L103" s="51">
        <f t="shared" si="48"/>
        <v>4581.5886857177475</v>
      </c>
      <c r="M103" s="49"/>
    </row>
    <row r="104" spans="1:14" s="28" customFormat="1" ht="13.15" x14ac:dyDescent="0.4">
      <c r="B104" s="28" t="s">
        <v>179</v>
      </c>
      <c r="D104" s="51">
        <f>SUM(D88,D92,D96,D100)</f>
        <v>1782.7309079786426</v>
      </c>
      <c r="E104" s="51">
        <f t="shared" ref="E104:J104" si="49">SUM(E88,E92,E96,E100)</f>
        <v>2404.4754635643285</v>
      </c>
      <c r="F104" s="51">
        <f t="shared" si="49"/>
        <v>2947.4439248000494</v>
      </c>
      <c r="G104" s="51">
        <f t="shared" si="49"/>
        <v>3418.5483953397597</v>
      </c>
      <c r="H104" s="51">
        <f t="shared" si="49"/>
        <v>3874.8286988976611</v>
      </c>
      <c r="I104" s="51">
        <f t="shared" si="49"/>
        <v>4204.1980047238421</v>
      </c>
      <c r="J104" s="51">
        <f t="shared" si="49"/>
        <v>4466.323763304762</v>
      </c>
      <c r="K104" s="51">
        <f t="shared" ref="K104:L104" si="50">SUM(K88,K92,K96,K100)</f>
        <v>4698.4121289059758</v>
      </c>
      <c r="L104" s="51">
        <f t="shared" si="50"/>
        <v>4936.4257011526815</v>
      </c>
    </row>
    <row r="105" spans="1:14" s="28" customFormat="1" x14ac:dyDescent="0.45">
      <c r="B105" s="48" t="s">
        <v>168</v>
      </c>
      <c r="D105" s="272" t="b">
        <f>IF(ABS(D102-D103-D104)&lt;0.00001,TRUE,FALSE)</f>
        <v>1</v>
      </c>
      <c r="E105" s="272" t="b">
        <f t="shared" ref="E105:L105" si="51">IF(ABS(E102-E103-E104)&lt;0.00001,TRUE,FALSE)</f>
        <v>1</v>
      </c>
      <c r="F105" s="272" t="b">
        <f t="shared" si="51"/>
        <v>1</v>
      </c>
      <c r="G105" s="272" t="b">
        <f t="shared" si="51"/>
        <v>1</v>
      </c>
      <c r="H105" s="272" t="b">
        <f t="shared" si="51"/>
        <v>1</v>
      </c>
      <c r="I105" s="272" t="b">
        <f t="shared" si="51"/>
        <v>1</v>
      </c>
      <c r="J105" s="272" t="b">
        <f t="shared" si="51"/>
        <v>1</v>
      </c>
      <c r="K105" s="272" t="b">
        <f t="shared" si="51"/>
        <v>1</v>
      </c>
      <c r="L105" s="272" t="b">
        <f t="shared" si="51"/>
        <v>1</v>
      </c>
      <c r="M105" s="58"/>
    </row>
    <row r="106" spans="1:14" ht="9" customHeight="1" x14ac:dyDescent="0.45">
      <c r="A106" s="5"/>
      <c r="B106" s="5"/>
      <c r="C106" s="5"/>
      <c r="D106" s="5"/>
      <c r="E106" s="5"/>
      <c r="F106" s="117"/>
      <c r="G106" s="5"/>
      <c r="H106" s="5"/>
      <c r="I106" s="5"/>
      <c r="J106" s="5"/>
      <c r="K106" s="5"/>
      <c r="L106" s="5"/>
      <c r="M106" s="5"/>
      <c r="N106" s="118"/>
    </row>
    <row r="107" spans="1:14" ht="9" customHeight="1" x14ac:dyDescent="0.45"/>
    <row r="108" spans="1:14" ht="15.75" x14ac:dyDescent="0.5">
      <c r="A108" s="8" t="s">
        <v>203</v>
      </c>
      <c r="D108" s="18" t="s">
        <v>92</v>
      </c>
      <c r="E108" s="18" t="s">
        <v>93</v>
      </c>
      <c r="F108" s="18" t="s">
        <v>51</v>
      </c>
      <c r="G108" s="18" t="s">
        <v>138</v>
      </c>
      <c r="H108" s="18" t="s">
        <v>139</v>
      </c>
      <c r="I108" s="18" t="s">
        <v>140</v>
      </c>
      <c r="J108" s="18" t="s">
        <v>141</v>
      </c>
      <c r="K108" s="18" t="s">
        <v>142</v>
      </c>
      <c r="L108" s="18" t="s">
        <v>143</v>
      </c>
    </row>
    <row r="109" spans="1:14" ht="9" customHeight="1" x14ac:dyDescent="0.45"/>
    <row r="110" spans="1:14" s="28" customFormat="1" ht="13.15" x14ac:dyDescent="0.4">
      <c r="B110" s="28" t="str">
        <f>'LDD forecasts'!$A$105</f>
        <v>Assets pre 31/3/2018</v>
      </c>
      <c r="C110" s="28" t="str">
        <f>A80</f>
        <v>Total CCA Costs</v>
      </c>
      <c r="D110" s="49">
        <f>D81</f>
        <v>-279.48154700181971</v>
      </c>
      <c r="E110" s="49">
        <f t="shared" ref="E110:J110" si="52">E81</f>
        <v>139.16936755466088</v>
      </c>
      <c r="F110" s="49">
        <f t="shared" si="52"/>
        <v>257.74275031100649</v>
      </c>
      <c r="G110" s="49">
        <f t="shared" si="52"/>
        <v>127.23419386269474</v>
      </c>
      <c r="H110" s="49">
        <f t="shared" si="52"/>
        <v>219.6469216510302</v>
      </c>
      <c r="I110" s="49">
        <f t="shared" si="52"/>
        <v>228.06975853429816</v>
      </c>
      <c r="J110" s="49">
        <f t="shared" si="52"/>
        <v>237.49530008738802</v>
      </c>
      <c r="K110" s="49">
        <f t="shared" ref="K110:L110" si="53">K81</f>
        <v>247.62505362430278</v>
      </c>
      <c r="L110" s="49">
        <f t="shared" si="53"/>
        <v>258.4043250618098</v>
      </c>
    </row>
    <row r="111" spans="1:14" s="28" customFormat="1" ht="9" customHeight="1" x14ac:dyDescent="0.4">
      <c r="D111" s="49"/>
      <c r="E111" s="49"/>
      <c r="F111" s="49"/>
      <c r="G111" s="49"/>
      <c r="H111" s="49"/>
      <c r="I111" s="49"/>
      <c r="J111" s="49"/>
      <c r="K111" s="49"/>
      <c r="L111" s="49"/>
    </row>
    <row r="112" spans="1:14" s="28" customFormat="1" ht="13.15" x14ac:dyDescent="0.4">
      <c r="C112" s="56" t="str">
        <f t="shared" ref="C112:C118" si="54">B29</f>
        <v>Lead-in duct</v>
      </c>
      <c r="D112" s="49">
        <f t="shared" ref="D112:J117" si="55">$D29*D$110</f>
        <v>-26.137796442125605</v>
      </c>
      <c r="E112" s="49">
        <f t="shared" si="55"/>
        <v>13.015458942265701</v>
      </c>
      <c r="F112" s="49">
        <f t="shared" si="55"/>
        <v>24.104731114926992</v>
      </c>
      <c r="G112" s="49">
        <f t="shared" si="55"/>
        <v>11.899252366881342</v>
      </c>
      <c r="H112" s="49">
        <f t="shared" si="55"/>
        <v>20.541916233263009</v>
      </c>
      <c r="I112" s="49">
        <f t="shared" si="55"/>
        <v>21.329640497286253</v>
      </c>
      <c r="J112" s="49">
        <f t="shared" si="55"/>
        <v>22.21114014946134</v>
      </c>
      <c r="K112" s="49">
        <f t="shared" ref="K112:L112" si="56">$D29*K$110</f>
        <v>23.158499425224385</v>
      </c>
      <c r="L112" s="49">
        <f t="shared" si="56"/>
        <v>24.166603200412602</v>
      </c>
    </row>
    <row r="113" spans="3:12" s="28" customFormat="1" ht="13.15" x14ac:dyDescent="0.4">
      <c r="C113" s="56" t="str">
        <f t="shared" si="54"/>
        <v>Spine duct – single bore</v>
      </c>
      <c r="D113" s="49">
        <f t="shared" si="55"/>
        <v>-102.38126897869992</v>
      </c>
      <c r="E113" s="49">
        <f t="shared" si="55"/>
        <v>50.981313815028074</v>
      </c>
      <c r="F113" s="49">
        <f t="shared" si="55"/>
        <v>94.417789403209639</v>
      </c>
      <c r="G113" s="49">
        <f t="shared" si="55"/>
        <v>46.609153144052783</v>
      </c>
      <c r="H113" s="49">
        <f t="shared" si="55"/>
        <v>80.462308897091987</v>
      </c>
      <c r="I113" s="49">
        <f t="shared" si="55"/>
        <v>83.547810382826782</v>
      </c>
      <c r="J113" s="49">
        <f t="shared" si="55"/>
        <v>87.000628342971112</v>
      </c>
      <c r="K113" s="49">
        <f t="shared" ref="K113:L113" si="57">$D30*K$110</f>
        <v>90.71141724004292</v>
      </c>
      <c r="L113" s="49">
        <f t="shared" si="57"/>
        <v>94.660141226570161</v>
      </c>
    </row>
    <row r="114" spans="3:12" s="28" customFormat="1" ht="13.15" x14ac:dyDescent="0.4">
      <c r="C114" s="56" t="str">
        <f t="shared" si="54"/>
        <v>Spine duct – 2 bores</v>
      </c>
      <c r="D114" s="49">
        <f t="shared" si="55"/>
        <v>-26.988757125571809</v>
      </c>
      <c r="E114" s="49">
        <f t="shared" si="55"/>
        <v>13.439199476836016</v>
      </c>
      <c r="F114" s="49">
        <f t="shared" si="55"/>
        <v>24.8895018781879</v>
      </c>
      <c r="G114" s="49">
        <f t="shared" si="55"/>
        <v>12.286652886624495</v>
      </c>
      <c r="H114" s="49">
        <f t="shared" si="55"/>
        <v>21.210693462279128</v>
      </c>
      <c r="I114" s="49">
        <f t="shared" si="55"/>
        <v>22.024063437468747</v>
      </c>
      <c r="J114" s="49">
        <f t="shared" si="55"/>
        <v>22.934261819015816</v>
      </c>
      <c r="K114" s="49">
        <f t="shared" ref="K114:L114" si="58">$D31*K$110</f>
        <v>23.912463996878795</v>
      </c>
      <c r="L114" s="49">
        <f t="shared" si="58"/>
        <v>24.95338831527609</v>
      </c>
    </row>
    <row r="115" spans="3:12" s="28" customFormat="1" ht="13.15" x14ac:dyDescent="0.4">
      <c r="C115" s="56" t="str">
        <f t="shared" si="54"/>
        <v>Spine duct – 3+ bores</v>
      </c>
      <c r="D115" s="49">
        <f t="shared" si="55"/>
        <v>-42.731025078012422</v>
      </c>
      <c r="E115" s="49">
        <f t="shared" si="55"/>
        <v>21.278148052581887</v>
      </c>
      <c r="F115" s="49">
        <f t="shared" si="55"/>
        <v>39.407295563394754</v>
      </c>
      <c r="G115" s="49">
        <f t="shared" si="55"/>
        <v>19.453332740755524</v>
      </c>
      <c r="H115" s="49">
        <f t="shared" si="55"/>
        <v>33.582675557886802</v>
      </c>
      <c r="I115" s="49">
        <f t="shared" si="55"/>
        <v>34.870475979589017</v>
      </c>
      <c r="J115" s="49">
        <f t="shared" si="55"/>
        <v>36.311583833755535</v>
      </c>
      <c r="K115" s="49">
        <f t="shared" ref="K115:L115" si="59">$D32*K$110</f>
        <v>37.86036140803013</v>
      </c>
      <c r="L115" s="49">
        <f t="shared" si="59"/>
        <v>39.508446310450601</v>
      </c>
    </row>
    <row r="116" spans="3:12" s="28" customFormat="1" ht="13.15" x14ac:dyDescent="0.4">
      <c r="C116" s="56" t="str">
        <f t="shared" si="54"/>
        <v>Joint boxes</v>
      </c>
      <c r="D116" s="49">
        <f t="shared" si="55"/>
        <v>-48.622398755477697</v>
      </c>
      <c r="E116" s="49">
        <f t="shared" si="55"/>
        <v>24.211789852967655</v>
      </c>
      <c r="F116" s="49">
        <f t="shared" si="55"/>
        <v>44.840422977455766</v>
      </c>
      <c r="G116" s="49">
        <f t="shared" si="55"/>
        <v>22.135385236304767</v>
      </c>
      <c r="H116" s="49">
        <f t="shared" si="55"/>
        <v>38.212756171197313</v>
      </c>
      <c r="I116" s="49">
        <f t="shared" si="55"/>
        <v>39.678107061028811</v>
      </c>
      <c r="J116" s="49">
        <f t="shared" si="55"/>
        <v>41.317902048558615</v>
      </c>
      <c r="K116" s="49">
        <f t="shared" ref="K116:L116" si="60">$D33*K$110</f>
        <v>43.080211299563913</v>
      </c>
      <c r="L116" s="49">
        <f t="shared" si="60"/>
        <v>44.955519489855938</v>
      </c>
    </row>
    <row r="117" spans="3:12" s="28" customFormat="1" ht="13.15" x14ac:dyDescent="0.4">
      <c r="C117" s="57" t="str">
        <f t="shared" si="54"/>
        <v>Manholes</v>
      </c>
      <c r="D117" s="202">
        <f t="shared" si="55"/>
        <v>-32.620300621932252</v>
      </c>
      <c r="E117" s="202">
        <f t="shared" si="55"/>
        <v>16.243457414981549</v>
      </c>
      <c r="F117" s="202">
        <f t="shared" si="55"/>
        <v>30.083009373831441</v>
      </c>
      <c r="G117" s="202">
        <f t="shared" si="55"/>
        <v>14.850417488075829</v>
      </c>
      <c r="H117" s="202">
        <f t="shared" si="55"/>
        <v>25.636571329311966</v>
      </c>
      <c r="I117" s="202">
        <f t="shared" si="55"/>
        <v>26.61966117609856</v>
      </c>
      <c r="J117" s="202">
        <f t="shared" si="55"/>
        <v>27.71978389362561</v>
      </c>
      <c r="K117" s="202">
        <f t="shared" ref="K117:L117" si="61">$D34*K$110</f>
        <v>28.902100254562633</v>
      </c>
      <c r="L117" s="202">
        <f t="shared" si="61"/>
        <v>30.160226519244418</v>
      </c>
    </row>
    <row r="118" spans="3:12" s="28" customFormat="1" ht="13.15" x14ac:dyDescent="0.4">
      <c r="C118" s="56" t="str">
        <f t="shared" si="54"/>
        <v>Total</v>
      </c>
      <c r="D118" s="49">
        <f>SUM(D112:D117)</f>
        <v>-279.48154700181971</v>
      </c>
      <c r="E118" s="49">
        <f t="shared" ref="E118:J118" si="62">SUM(E112:E117)</f>
        <v>139.16936755466088</v>
      </c>
      <c r="F118" s="49">
        <f t="shared" si="62"/>
        <v>257.74275031100649</v>
      </c>
      <c r="G118" s="49">
        <f t="shared" si="62"/>
        <v>127.23419386269475</v>
      </c>
      <c r="H118" s="49">
        <f t="shared" si="62"/>
        <v>219.64692165103023</v>
      </c>
      <c r="I118" s="49">
        <f t="shared" si="62"/>
        <v>228.06975853429819</v>
      </c>
      <c r="J118" s="49">
        <f t="shared" si="62"/>
        <v>237.49530008738805</v>
      </c>
      <c r="K118" s="49">
        <f t="shared" ref="K118:L118" si="63">SUM(K112:K117)</f>
        <v>247.62505362430278</v>
      </c>
      <c r="L118" s="49">
        <f t="shared" si="63"/>
        <v>258.4043250618098</v>
      </c>
    </row>
    <row r="119" spans="3:12" s="28" customFormat="1" x14ac:dyDescent="0.45">
      <c r="D119" s="274" t="b">
        <f>IF(ABS(D118-D110)&lt;0.000001,TRUE,FALSE)</f>
        <v>1</v>
      </c>
      <c r="E119" s="274" t="b">
        <f t="shared" ref="E119:J119" si="64">IF(ABS(E118-E110)&lt;0.000001,TRUE,FALSE)</f>
        <v>1</v>
      </c>
      <c r="F119" s="274" t="b">
        <f t="shared" si="64"/>
        <v>1</v>
      </c>
      <c r="G119" s="274" t="b">
        <f t="shared" si="64"/>
        <v>1</v>
      </c>
      <c r="H119" s="274" t="b">
        <f t="shared" si="64"/>
        <v>1</v>
      </c>
      <c r="I119" s="274" t="b">
        <f t="shared" si="64"/>
        <v>1</v>
      </c>
      <c r="J119" s="274" t="b">
        <f t="shared" si="64"/>
        <v>1</v>
      </c>
      <c r="K119" s="274" t="b">
        <f t="shared" ref="K119:L119" si="65">IF(ABS(K118-K110)&lt;0.000001,TRUE,FALSE)</f>
        <v>1</v>
      </c>
      <c r="L119" s="274" t="b">
        <f t="shared" si="65"/>
        <v>1</v>
      </c>
    </row>
    <row r="120" spans="3:12" s="28" customFormat="1" ht="9" customHeight="1" x14ac:dyDescent="0.4">
      <c r="D120" s="49"/>
      <c r="E120" s="49"/>
      <c r="F120" s="49"/>
      <c r="G120" s="49"/>
      <c r="H120" s="49"/>
      <c r="I120" s="49"/>
      <c r="J120" s="49"/>
      <c r="K120" s="49"/>
      <c r="L120" s="49"/>
    </row>
    <row r="121" spans="3:12" s="28" customFormat="1" ht="13.15" x14ac:dyDescent="0.4">
      <c r="C121" s="28" t="str">
        <f>A102</f>
        <v>Total MCE</v>
      </c>
      <c r="D121" s="49">
        <f>D103</f>
        <v>5391.0118652556494</v>
      </c>
      <c r="E121" s="49">
        <f t="shared" ref="E121:J121" si="66">E103</f>
        <v>5561.3559701223876</v>
      </c>
      <c r="F121" s="49">
        <f t="shared" si="66"/>
        <v>5479.2479129218564</v>
      </c>
      <c r="G121" s="49">
        <f t="shared" si="66"/>
        <v>5362.1842363728074</v>
      </c>
      <c r="H121" s="49">
        <f t="shared" si="66"/>
        <v>5264.7388793224491</v>
      </c>
      <c r="I121" s="49">
        <f t="shared" si="66"/>
        <v>5112.7066921488204</v>
      </c>
      <c r="J121" s="49">
        <f t="shared" si="66"/>
        <v>4948.3723949740497</v>
      </c>
      <c r="K121" s="49">
        <f t="shared" ref="K121:L121" si="67">K103</f>
        <v>4771.4631182890435</v>
      </c>
      <c r="L121" s="49">
        <f t="shared" si="67"/>
        <v>4581.5886857177475</v>
      </c>
    </row>
    <row r="122" spans="3:12" s="28" customFormat="1" ht="9" customHeight="1" x14ac:dyDescent="0.4">
      <c r="D122" s="49"/>
      <c r="E122" s="49"/>
      <c r="F122" s="49"/>
      <c r="G122" s="49"/>
      <c r="H122" s="49"/>
      <c r="I122" s="49"/>
      <c r="J122" s="49"/>
      <c r="K122" s="49"/>
      <c r="L122" s="49"/>
    </row>
    <row r="123" spans="3:12" s="28" customFormat="1" ht="13.15" x14ac:dyDescent="0.4">
      <c r="C123" s="56" t="str">
        <f t="shared" ref="C123:C129" si="68">B29</f>
        <v>Lead-in duct</v>
      </c>
      <c r="D123" s="49">
        <f t="shared" ref="D123:J128" si="69">$D29*D$121</f>
        <v>504.1805881739254</v>
      </c>
      <c r="E123" s="49">
        <f t="shared" si="69"/>
        <v>520.11158464180278</v>
      </c>
      <c r="F123" s="49">
        <f t="shared" si="69"/>
        <v>512.43263872072589</v>
      </c>
      <c r="G123" s="49">
        <f t="shared" si="69"/>
        <v>501.48455795750488</v>
      </c>
      <c r="H123" s="49">
        <f t="shared" si="69"/>
        <v>492.37123031875404</v>
      </c>
      <c r="I123" s="49">
        <f t="shared" si="69"/>
        <v>478.15280908978622</v>
      </c>
      <c r="J123" s="49">
        <f t="shared" si="69"/>
        <v>462.78386450617131</v>
      </c>
      <c r="K123" s="49">
        <f t="shared" ref="K123:L123" si="70">$D29*K$121</f>
        <v>446.23887714539126</v>
      </c>
      <c r="L123" s="49">
        <f t="shared" si="70"/>
        <v>428.4813567604038</v>
      </c>
    </row>
    <row r="124" spans="3:12" s="28" customFormat="1" ht="13.15" x14ac:dyDescent="0.4">
      <c r="C124" s="56" t="str">
        <f t="shared" si="68"/>
        <v>Spine duct – single bore</v>
      </c>
      <c r="D124" s="49">
        <f t="shared" si="69"/>
        <v>1974.8661110728278</v>
      </c>
      <c r="E124" s="49">
        <f t="shared" si="69"/>
        <v>2037.2675318692563</v>
      </c>
      <c r="F124" s="49">
        <f t="shared" si="69"/>
        <v>2007.189241621667</v>
      </c>
      <c r="G124" s="49">
        <f t="shared" si="69"/>
        <v>1964.3058101930951</v>
      </c>
      <c r="H124" s="49">
        <f t="shared" si="69"/>
        <v>1928.6090730813844</v>
      </c>
      <c r="I124" s="49">
        <f t="shared" si="69"/>
        <v>1872.9157780663043</v>
      </c>
      <c r="J124" s="49">
        <f t="shared" si="69"/>
        <v>1812.7159041856639</v>
      </c>
      <c r="K124" s="49">
        <f t="shared" ref="K124:L124" si="71">$D30*K$121</f>
        <v>1747.9094923297964</v>
      </c>
      <c r="L124" s="49">
        <f t="shared" si="71"/>
        <v>1678.3536108707128</v>
      </c>
    </row>
    <row r="125" spans="3:12" s="28" customFormat="1" ht="13.15" x14ac:dyDescent="0.4">
      <c r="C125" s="56" t="str">
        <f t="shared" si="68"/>
        <v>Spine duct – 2 bores</v>
      </c>
      <c r="D125" s="49">
        <f t="shared" si="69"/>
        <v>520.5950498460395</v>
      </c>
      <c r="E125" s="49">
        <f t="shared" si="69"/>
        <v>537.04470716095125</v>
      </c>
      <c r="F125" s="49">
        <f t="shared" si="69"/>
        <v>529.11576001717697</v>
      </c>
      <c r="G125" s="49">
        <f t="shared" si="69"/>
        <v>517.81124575317006</v>
      </c>
      <c r="H125" s="49">
        <f t="shared" si="69"/>
        <v>508.40121814075809</v>
      </c>
      <c r="I125" s="49">
        <f t="shared" si="69"/>
        <v>493.71989188177679</v>
      </c>
      <c r="J125" s="49">
        <f t="shared" si="69"/>
        <v>477.8505850118583</v>
      </c>
      <c r="K125" s="49">
        <f t="shared" ref="K125:L125" si="72">$D31*K$121</f>
        <v>460.76694728002218</v>
      </c>
      <c r="L125" s="49">
        <f t="shared" si="72"/>
        <v>442.43130043680105</v>
      </c>
    </row>
    <row r="126" spans="3:12" s="28" customFormat="1" ht="13.15" x14ac:dyDescent="0.4">
      <c r="C126" s="56" t="str">
        <f t="shared" si="68"/>
        <v>Spine duct – 3+ bores</v>
      </c>
      <c r="D126" s="49">
        <f t="shared" si="69"/>
        <v>824.25285562270699</v>
      </c>
      <c r="E126" s="49">
        <f t="shared" si="69"/>
        <v>850.29743099821394</v>
      </c>
      <c r="F126" s="49">
        <f t="shared" si="69"/>
        <v>837.74360950630717</v>
      </c>
      <c r="G126" s="49">
        <f t="shared" si="69"/>
        <v>819.84528687283046</v>
      </c>
      <c r="H126" s="49">
        <f t="shared" si="69"/>
        <v>804.9464857157451</v>
      </c>
      <c r="I126" s="49">
        <f t="shared" si="69"/>
        <v>781.70169094316168</v>
      </c>
      <c r="J126" s="49">
        <f t="shared" si="69"/>
        <v>756.57597853358016</v>
      </c>
      <c r="K126" s="49">
        <f t="shared" ref="K126:L126" si="73">$D32*K$121</f>
        <v>729.52762840221772</v>
      </c>
      <c r="L126" s="49">
        <f t="shared" si="73"/>
        <v>700.49698495932671</v>
      </c>
    </row>
    <row r="127" spans="3:12" s="28" customFormat="1" ht="13.15" x14ac:dyDescent="0.4">
      <c r="C127" s="56" t="str">
        <f t="shared" si="68"/>
        <v>Joint boxes</v>
      </c>
      <c r="D127" s="49">
        <f t="shared" si="69"/>
        <v>937.8935082474876</v>
      </c>
      <c r="E127" s="49">
        <f t="shared" si="69"/>
        <v>967.52887802888324</v>
      </c>
      <c r="F127" s="49">
        <f t="shared" si="69"/>
        <v>953.24424728646147</v>
      </c>
      <c r="G127" s="49">
        <f t="shared" si="69"/>
        <v>932.87826312038317</v>
      </c>
      <c r="H127" s="49">
        <f t="shared" si="69"/>
        <v>915.92534777337619</v>
      </c>
      <c r="I127" s="49">
        <f t="shared" si="69"/>
        <v>889.47576744249488</v>
      </c>
      <c r="J127" s="49">
        <f t="shared" si="69"/>
        <v>860.88594528017211</v>
      </c>
      <c r="K127" s="49">
        <f t="shared" ref="K127:L127" si="74">$D33*K$121</f>
        <v>830.10840920740418</v>
      </c>
      <c r="L127" s="49">
        <f t="shared" si="74"/>
        <v>797.07527885232025</v>
      </c>
    </row>
    <row r="128" spans="3:12" s="28" customFormat="1" ht="13.15" x14ac:dyDescent="0.4">
      <c r="C128" s="57" t="str">
        <f t="shared" si="68"/>
        <v>Manholes</v>
      </c>
      <c r="D128" s="202">
        <f t="shared" si="69"/>
        <v>629.2237522926622</v>
      </c>
      <c r="E128" s="202">
        <f t="shared" si="69"/>
        <v>649.10583742328004</v>
      </c>
      <c r="F128" s="202">
        <f t="shared" si="69"/>
        <v>639.52241576951803</v>
      </c>
      <c r="G128" s="202">
        <f t="shared" si="69"/>
        <v>625.85907247582372</v>
      </c>
      <c r="H128" s="202">
        <f t="shared" si="69"/>
        <v>614.48552429243148</v>
      </c>
      <c r="I128" s="202">
        <f t="shared" si="69"/>
        <v>596.7407547252966</v>
      </c>
      <c r="J128" s="202">
        <f t="shared" si="69"/>
        <v>577.56011745660408</v>
      </c>
      <c r="K128" s="202">
        <f t="shared" ref="K128:L128" si="75">$D34*K$121</f>
        <v>556.91176392421175</v>
      </c>
      <c r="L128" s="202">
        <f t="shared" si="75"/>
        <v>534.75015383818288</v>
      </c>
    </row>
    <row r="129" spans="2:12" s="28" customFormat="1" ht="13.15" x14ac:dyDescent="0.4">
      <c r="C129" s="56" t="str">
        <f t="shared" si="68"/>
        <v>Total</v>
      </c>
      <c r="D129" s="49">
        <f>SUM(D123:D128)</f>
        <v>5391.0118652556494</v>
      </c>
      <c r="E129" s="49">
        <f t="shared" ref="E129:J129" si="76">SUM(E123:E128)</f>
        <v>5561.3559701223867</v>
      </c>
      <c r="F129" s="49">
        <f t="shared" si="76"/>
        <v>5479.2479129218564</v>
      </c>
      <c r="G129" s="49">
        <f t="shared" si="76"/>
        <v>5362.1842363728083</v>
      </c>
      <c r="H129" s="49">
        <f t="shared" si="76"/>
        <v>5264.7388793224491</v>
      </c>
      <c r="I129" s="49">
        <f t="shared" si="76"/>
        <v>5112.7066921488204</v>
      </c>
      <c r="J129" s="49">
        <f t="shared" si="76"/>
        <v>4948.3723949740488</v>
      </c>
      <c r="K129" s="49">
        <f t="shared" ref="K129:L129" si="77">SUM(K123:K128)</f>
        <v>4771.4631182890444</v>
      </c>
      <c r="L129" s="49">
        <f t="shared" si="77"/>
        <v>4581.5886857177475</v>
      </c>
    </row>
    <row r="130" spans="2:12" s="28" customFormat="1" x14ac:dyDescent="0.45">
      <c r="D130" s="274" t="b">
        <f>IF(ABS(D129-D121)&lt;0.000001,TRUE,FALSE)</f>
        <v>1</v>
      </c>
      <c r="E130" s="274" t="b">
        <f t="shared" ref="E130:J130" si="78">IF(ABS(E129-E121)&lt;0.000001,TRUE,FALSE)</f>
        <v>1</v>
      </c>
      <c r="F130" s="274" t="b">
        <f t="shared" si="78"/>
        <v>1</v>
      </c>
      <c r="G130" s="274" t="b">
        <f t="shared" si="78"/>
        <v>1</v>
      </c>
      <c r="H130" s="274" t="b">
        <f t="shared" si="78"/>
        <v>1</v>
      </c>
      <c r="I130" s="274" t="b">
        <f t="shared" si="78"/>
        <v>1</v>
      </c>
      <c r="J130" s="274" t="b">
        <f t="shared" si="78"/>
        <v>1</v>
      </c>
      <c r="K130" s="274" t="b">
        <f t="shared" ref="K130:L130" si="79">IF(ABS(K129-K121)&lt;0.000001,TRUE,FALSE)</f>
        <v>1</v>
      </c>
      <c r="L130" s="274" t="b">
        <f t="shared" si="79"/>
        <v>1</v>
      </c>
    </row>
    <row r="131" spans="2:12" s="28" customFormat="1" ht="13.15" x14ac:dyDescent="0.4">
      <c r="D131" s="49"/>
      <c r="E131" s="49"/>
      <c r="F131" s="49"/>
      <c r="G131" s="49"/>
      <c r="H131" s="49"/>
      <c r="I131" s="49"/>
      <c r="J131" s="49"/>
      <c r="K131" s="49"/>
      <c r="L131" s="49"/>
    </row>
    <row r="132" spans="2:12" s="28" customFormat="1" ht="13.15" x14ac:dyDescent="0.4">
      <c r="B132" s="28" t="str">
        <f>'LDD forecasts'!$A$111</f>
        <v>Assets post 31/3/2018</v>
      </c>
      <c r="C132" s="28" t="str">
        <f>A80</f>
        <v>Total CCA Costs</v>
      </c>
      <c r="D132" s="49">
        <f>D82</f>
        <v>-142.09907494610323</v>
      </c>
      <c r="E132" s="49">
        <f t="shared" ref="E132:J132" si="80">E82</f>
        <v>-2.5748446808541594</v>
      </c>
      <c r="F132" s="49">
        <f t="shared" si="80"/>
        <v>-1.9288444662346649</v>
      </c>
      <c r="G132" s="49">
        <f t="shared" si="80"/>
        <v>-37.123154310311627</v>
      </c>
      <c r="H132" s="49">
        <f t="shared" si="80"/>
        <v>17.713693437942201</v>
      </c>
      <c r="I132" s="49">
        <f t="shared" si="80"/>
        <v>20.078005690449302</v>
      </c>
      <c r="J132" s="49">
        <f t="shared" si="80"/>
        <v>22.803392558864417</v>
      </c>
      <c r="K132" s="49">
        <f t="shared" ref="K132:L132" si="81">K82</f>
        <v>25.827078085702087</v>
      </c>
      <c r="L132" s="49">
        <f t="shared" si="81"/>
        <v>29.142337655219169</v>
      </c>
    </row>
    <row r="133" spans="2:12" s="28" customFormat="1" ht="9" customHeight="1" x14ac:dyDescent="0.4">
      <c r="D133" s="49"/>
      <c r="E133" s="49"/>
      <c r="F133" s="49"/>
      <c r="G133" s="49"/>
      <c r="H133" s="49"/>
      <c r="I133" s="49"/>
      <c r="J133" s="49"/>
      <c r="K133" s="49"/>
      <c r="L133" s="49"/>
    </row>
    <row r="134" spans="2:12" s="28" customFormat="1" ht="13.15" x14ac:dyDescent="0.4">
      <c r="C134" s="56" t="str">
        <f t="shared" ref="C134:C140" si="82">B29</f>
        <v>Lead-in duct</v>
      </c>
      <c r="D134" s="49">
        <f t="shared" ref="D134:J139" si="83">D37*D$132</f>
        <v>-19.075403213662661</v>
      </c>
      <c r="E134" s="49">
        <f t="shared" si="83"/>
        <v>-0.28994865789108415</v>
      </c>
      <c r="F134" s="49">
        <f t="shared" si="83"/>
        <v>-0.18995719158349791</v>
      </c>
      <c r="G134" s="49">
        <f t="shared" si="83"/>
        <v>-3.6633296794851855</v>
      </c>
      <c r="H134" s="49">
        <f t="shared" si="83"/>
        <v>1.750595252051667</v>
      </c>
      <c r="I134" s="49">
        <f t="shared" si="83"/>
        <v>1.9860399858559024</v>
      </c>
      <c r="J134" s="49">
        <f t="shared" si="83"/>
        <v>2.2572350411063238</v>
      </c>
      <c r="K134" s="49">
        <f t="shared" ref="K134:L134" si="84">K37*K$132</f>
        <v>2.5585186838154823</v>
      </c>
      <c r="L134" s="49">
        <f t="shared" si="84"/>
        <v>2.8891625026392713</v>
      </c>
    </row>
    <row r="135" spans="2:12" s="28" customFormat="1" ht="13.15" x14ac:dyDescent="0.4">
      <c r="C135" s="56" t="str">
        <f t="shared" si="82"/>
        <v>Spine duct – single bore</v>
      </c>
      <c r="D135" s="49">
        <f t="shared" si="83"/>
        <v>-48.958142674198371</v>
      </c>
      <c r="E135" s="49">
        <f t="shared" si="83"/>
        <v>-1.1301742081894135</v>
      </c>
      <c r="F135" s="49">
        <f t="shared" si="83"/>
        <v>-1.0423382614255321</v>
      </c>
      <c r="G135" s="49">
        <f t="shared" si="83"/>
        <v>-20.101522123550161</v>
      </c>
      <c r="H135" s="49">
        <f t="shared" si="83"/>
        <v>9.6059138181207082</v>
      </c>
      <c r="I135" s="49">
        <f t="shared" si="83"/>
        <v>10.897852556788726</v>
      </c>
      <c r="J135" s="49">
        <f t="shared" si="83"/>
        <v>12.385961430374969</v>
      </c>
      <c r="K135" s="49">
        <f t="shared" ref="K135:L135" si="85">K38*K$132</f>
        <v>14.039173218354975</v>
      </c>
      <c r="L135" s="49">
        <f t="shared" si="85"/>
        <v>15.85349096221567</v>
      </c>
    </row>
    <row r="136" spans="2:12" s="28" customFormat="1" ht="13.15" x14ac:dyDescent="0.4">
      <c r="C136" s="56" t="str">
        <f t="shared" si="82"/>
        <v>Spine duct – 2 bores</v>
      </c>
      <c r="D136" s="49">
        <f t="shared" si="83"/>
        <v>-17.338325029191122</v>
      </c>
      <c r="E136" s="49">
        <f t="shared" si="83"/>
        <v>-0.27454200033607828</v>
      </c>
      <c r="F136" s="49">
        <f t="shared" si="83"/>
        <v>-0.17225157747695224</v>
      </c>
      <c r="G136" s="49">
        <f t="shared" si="83"/>
        <v>-3.2982698135911672</v>
      </c>
      <c r="H136" s="49">
        <f t="shared" si="83"/>
        <v>1.5677674667078854</v>
      </c>
      <c r="I136" s="49">
        <f t="shared" si="83"/>
        <v>1.7726242508653445</v>
      </c>
      <c r="J136" s="49">
        <f t="shared" si="83"/>
        <v>2.0091179564300807</v>
      </c>
      <c r="K136" s="49">
        <f t="shared" ref="K136:L136" si="86">K39*K$132</f>
        <v>2.2706060317937542</v>
      </c>
      <c r="L136" s="49">
        <f t="shared" si="86"/>
        <v>2.5565455304127145</v>
      </c>
    </row>
    <row r="137" spans="2:12" s="28" customFormat="1" ht="13.15" x14ac:dyDescent="0.4">
      <c r="C137" s="56" t="str">
        <f t="shared" si="82"/>
        <v>Spine duct – 3+ bores</v>
      </c>
      <c r="D137" s="49">
        <f t="shared" si="83"/>
        <v>-16.84924722013243</v>
      </c>
      <c r="E137" s="49">
        <f t="shared" si="83"/>
        <v>-0.32149954106081247</v>
      </c>
      <c r="F137" s="49">
        <f t="shared" si="83"/>
        <v>-0.10843345234042097</v>
      </c>
      <c r="G137" s="49">
        <f t="shared" si="83"/>
        <v>-2.0761873751657052</v>
      </c>
      <c r="H137" s="49">
        <f t="shared" si="83"/>
        <v>0.98684217900558702</v>
      </c>
      <c r="I137" s="49">
        <f t="shared" si="83"/>
        <v>1.1157582868818938</v>
      </c>
      <c r="J137" s="49">
        <f t="shared" si="83"/>
        <v>1.2645780120578196</v>
      </c>
      <c r="K137" s="49">
        <f t="shared" ref="K137:L137" si="87">K40*K$132</f>
        <v>1.4291212746819557</v>
      </c>
      <c r="L137" s="49">
        <f t="shared" si="87"/>
        <v>1.6090440566841144</v>
      </c>
    </row>
    <row r="138" spans="2:12" s="28" customFormat="1" ht="13.15" x14ac:dyDescent="0.4">
      <c r="C138" s="56" t="str">
        <f t="shared" si="82"/>
        <v>Joint boxes</v>
      </c>
      <c r="D138" s="49">
        <f t="shared" si="83"/>
        <v>-21.524815779658834</v>
      </c>
      <c r="E138" s="49">
        <f t="shared" si="83"/>
        <v>-0.2999909499409239</v>
      </c>
      <c r="F138" s="49">
        <f t="shared" si="83"/>
        <v>-0.19517730973792147</v>
      </c>
      <c r="G138" s="49">
        <f t="shared" si="83"/>
        <v>-3.7583539904064742</v>
      </c>
      <c r="H138" s="49">
        <f t="shared" si="83"/>
        <v>1.7941469659484379</v>
      </c>
      <c r="I138" s="49">
        <f t="shared" si="83"/>
        <v>2.034943573775708</v>
      </c>
      <c r="J138" s="49">
        <f t="shared" si="83"/>
        <v>2.3128499479378237</v>
      </c>
      <c r="K138" s="49">
        <f t="shared" ref="K138:L138" si="88">K41*K$132</f>
        <v>2.6211492653791044</v>
      </c>
      <c r="L138" s="49">
        <f t="shared" si="88"/>
        <v>2.9594295473792034</v>
      </c>
    </row>
    <row r="139" spans="2:12" s="28" customFormat="1" ht="13.15" x14ac:dyDescent="0.4">
      <c r="C139" s="57" t="str">
        <f t="shared" si="82"/>
        <v>Manholes</v>
      </c>
      <c r="D139" s="202">
        <f t="shared" si="83"/>
        <v>-18.35314102925982</v>
      </c>
      <c r="E139" s="202">
        <f t="shared" si="83"/>
        <v>-0.25868932343584744</v>
      </c>
      <c r="F139" s="202">
        <f t="shared" si="83"/>
        <v>-0.22068667367034031</v>
      </c>
      <c r="G139" s="202">
        <f t="shared" si="83"/>
        <v>-4.2254913281129323</v>
      </c>
      <c r="H139" s="202">
        <f t="shared" si="83"/>
        <v>2.0084277561079174</v>
      </c>
      <c r="I139" s="202">
        <f t="shared" si="83"/>
        <v>2.2707870362817277</v>
      </c>
      <c r="J139" s="202">
        <f t="shared" si="83"/>
        <v>2.5736501709573996</v>
      </c>
      <c r="K139" s="202">
        <f t="shared" ref="K139:L139" si="89">K42*K$132</f>
        <v>2.9085096116768159</v>
      </c>
      <c r="L139" s="202">
        <f t="shared" si="89"/>
        <v>3.2746650558881982</v>
      </c>
    </row>
    <row r="140" spans="2:12" s="28" customFormat="1" ht="13.15" x14ac:dyDescent="0.4">
      <c r="C140" s="56" t="str">
        <f t="shared" si="82"/>
        <v>Total</v>
      </c>
      <c r="D140" s="49">
        <f>SUM(D134:D139)</f>
        <v>-142.09907494610326</v>
      </c>
      <c r="E140" s="49">
        <f t="shared" ref="E140:J140" si="90">SUM(E134:E139)</f>
        <v>-2.5748446808541599</v>
      </c>
      <c r="F140" s="49">
        <f t="shared" si="90"/>
        <v>-1.9288444662346649</v>
      </c>
      <c r="G140" s="49">
        <f t="shared" si="90"/>
        <v>-37.123154310311627</v>
      </c>
      <c r="H140" s="49">
        <f t="shared" si="90"/>
        <v>17.713693437942201</v>
      </c>
      <c r="I140" s="49">
        <f t="shared" si="90"/>
        <v>20.078005690449302</v>
      </c>
      <c r="J140" s="49">
        <f t="shared" si="90"/>
        <v>22.803392558864417</v>
      </c>
      <c r="K140" s="49">
        <f t="shared" ref="K140:L140" si="91">SUM(K134:K139)</f>
        <v>25.827078085702087</v>
      </c>
      <c r="L140" s="49">
        <f t="shared" si="91"/>
        <v>29.142337655219173</v>
      </c>
    </row>
    <row r="141" spans="2:12" s="28" customFormat="1" x14ac:dyDescent="0.45">
      <c r="D141" s="274" t="b">
        <f>IF(ABS(D140-D132)&lt;0.000001,TRUE,FALSE)</f>
        <v>1</v>
      </c>
      <c r="E141" s="274" t="b">
        <f t="shared" ref="E141:J141" si="92">IF(ABS(E140-E132)&lt;0.000001,TRUE,FALSE)</f>
        <v>1</v>
      </c>
      <c r="F141" s="274" t="b">
        <f t="shared" si="92"/>
        <v>1</v>
      </c>
      <c r="G141" s="274" t="b">
        <f t="shared" si="92"/>
        <v>1</v>
      </c>
      <c r="H141" s="274" t="b">
        <f t="shared" si="92"/>
        <v>1</v>
      </c>
      <c r="I141" s="274" t="b">
        <f t="shared" si="92"/>
        <v>1</v>
      </c>
      <c r="J141" s="274" t="b">
        <f t="shared" si="92"/>
        <v>1</v>
      </c>
      <c r="K141" s="274" t="b">
        <f t="shared" ref="K141:L141" si="93">IF(ABS(K140-K132)&lt;0.000001,TRUE,FALSE)</f>
        <v>1</v>
      </c>
      <c r="L141" s="274" t="b">
        <f t="shared" si="93"/>
        <v>1</v>
      </c>
    </row>
    <row r="142" spans="2:12" s="28" customFormat="1" ht="9" customHeight="1" x14ac:dyDescent="0.4">
      <c r="D142" s="49"/>
      <c r="E142" s="49"/>
      <c r="F142" s="49"/>
      <c r="G142" s="49"/>
      <c r="H142" s="49"/>
      <c r="I142" s="49"/>
      <c r="J142" s="49"/>
      <c r="K142" s="49"/>
      <c r="L142" s="49"/>
    </row>
    <row r="143" spans="2:12" s="28" customFormat="1" ht="13.15" x14ac:dyDescent="0.4">
      <c r="C143" s="28" t="str">
        <f>A102</f>
        <v>Total MCE</v>
      </c>
      <c r="D143" s="49">
        <f>D104</f>
        <v>1782.7309079786426</v>
      </c>
      <c r="E143" s="49">
        <f t="shared" ref="E143:J143" si="94">E104</f>
        <v>2404.4754635643285</v>
      </c>
      <c r="F143" s="49">
        <f t="shared" si="94"/>
        <v>2947.4439248000494</v>
      </c>
      <c r="G143" s="49">
        <f t="shared" si="94"/>
        <v>3418.5483953397597</v>
      </c>
      <c r="H143" s="49">
        <f t="shared" si="94"/>
        <v>3874.8286988976611</v>
      </c>
      <c r="I143" s="49">
        <f t="shared" si="94"/>
        <v>4204.1980047238421</v>
      </c>
      <c r="J143" s="49">
        <f t="shared" si="94"/>
        <v>4466.323763304762</v>
      </c>
      <c r="K143" s="49">
        <f t="shared" ref="K143:L143" si="95">K104</f>
        <v>4698.4121289059758</v>
      </c>
      <c r="L143" s="49">
        <f t="shared" si="95"/>
        <v>4936.4257011526815</v>
      </c>
    </row>
    <row r="144" spans="2:12" s="28" customFormat="1" ht="9" customHeight="1" x14ac:dyDescent="0.4">
      <c r="D144" s="49"/>
      <c r="E144" s="49"/>
      <c r="F144" s="49"/>
      <c r="G144" s="49"/>
      <c r="H144" s="49"/>
      <c r="I144" s="49"/>
      <c r="J144" s="49"/>
      <c r="K144" s="49"/>
      <c r="L144" s="49"/>
    </row>
    <row r="145" spans="1:14" s="28" customFormat="1" ht="13.15" x14ac:dyDescent="0.4">
      <c r="C145" s="56" t="str">
        <f t="shared" ref="C145:C151" si="96">B29</f>
        <v>Lead-in duct</v>
      </c>
      <c r="D145" s="49">
        <f t="shared" ref="D145:J150" si="97">D37*D$143</f>
        <v>239.31409056709069</v>
      </c>
      <c r="E145" s="49">
        <f t="shared" si="97"/>
        <v>270.76368480651195</v>
      </c>
      <c r="F145" s="49">
        <f t="shared" si="97"/>
        <v>290.2712894201515</v>
      </c>
      <c r="G145" s="49">
        <f t="shared" si="97"/>
        <v>337.34390382678322</v>
      </c>
      <c r="H145" s="49">
        <f t="shared" si="97"/>
        <v>382.93858627327552</v>
      </c>
      <c r="I145" s="49">
        <f t="shared" si="97"/>
        <v>415.86328216895254</v>
      </c>
      <c r="J145" s="49">
        <f t="shared" si="97"/>
        <v>442.10713285021063</v>
      </c>
      <c r="K145" s="49">
        <f t="shared" ref="K145:L145" si="98">K37*K$143</f>
        <v>465.4407740659617</v>
      </c>
      <c r="L145" s="49">
        <f t="shared" si="98"/>
        <v>489.39574448588758</v>
      </c>
    </row>
    <row r="146" spans="1:14" s="28" customFormat="1" ht="13.15" x14ac:dyDescent="0.4">
      <c r="C146" s="56" t="str">
        <f t="shared" si="96"/>
        <v>Spine duct – single bore</v>
      </c>
      <c r="D146" s="49">
        <f t="shared" si="97"/>
        <v>614.21366870703218</v>
      </c>
      <c r="E146" s="49">
        <f t="shared" si="97"/>
        <v>1055.394204299427</v>
      </c>
      <c r="F146" s="49">
        <f t="shared" si="97"/>
        <v>1592.7845038862556</v>
      </c>
      <c r="G146" s="49">
        <f t="shared" si="97"/>
        <v>1851.0826322821767</v>
      </c>
      <c r="H146" s="49">
        <f t="shared" si="97"/>
        <v>2101.2710122816557</v>
      </c>
      <c r="I146" s="49">
        <f t="shared" si="97"/>
        <v>2281.9362979272323</v>
      </c>
      <c r="J146" s="49">
        <f t="shared" si="97"/>
        <v>2425.9422682418108</v>
      </c>
      <c r="K146" s="49">
        <f t="shared" ref="K146:L146" si="99">K38*K$143</f>
        <v>2553.9792581278302</v>
      </c>
      <c r="L146" s="49">
        <f t="shared" si="99"/>
        <v>2685.4256225000363</v>
      </c>
    </row>
    <row r="147" spans="1:14" s="28" customFormat="1" ht="13.15" x14ac:dyDescent="0.4">
      <c r="C147" s="56" t="str">
        <f t="shared" si="96"/>
        <v>Spine duct – 2 bores</v>
      </c>
      <c r="D147" s="49">
        <f t="shared" si="97"/>
        <v>217.52124659391632</v>
      </c>
      <c r="E147" s="49">
        <f t="shared" si="97"/>
        <v>256.37643638643999</v>
      </c>
      <c r="F147" s="49">
        <f t="shared" si="97"/>
        <v>263.21555442091335</v>
      </c>
      <c r="G147" s="49">
        <f t="shared" si="97"/>
        <v>303.72674919808031</v>
      </c>
      <c r="H147" s="49">
        <f t="shared" si="97"/>
        <v>342.94543904580013</v>
      </c>
      <c r="I147" s="49">
        <f t="shared" si="97"/>
        <v>371.17547696274244</v>
      </c>
      <c r="J147" s="49">
        <f t="shared" si="97"/>
        <v>393.51036250076447</v>
      </c>
      <c r="K147" s="49">
        <f t="shared" ref="K147:L147" si="100">K39*K$143</f>
        <v>413.06426086398051</v>
      </c>
      <c r="L147" s="49">
        <f t="shared" si="100"/>
        <v>433.05369705769493</v>
      </c>
    </row>
    <row r="148" spans="1:14" s="28" customFormat="1" ht="13.15" x14ac:dyDescent="0.4">
      <c r="C148" s="56" t="str">
        <f t="shared" si="96"/>
        <v>Spine duct – 3+ bores</v>
      </c>
      <c r="D148" s="49">
        <f t="shared" si="97"/>
        <v>211.38542813805299</v>
      </c>
      <c r="E148" s="49">
        <f t="shared" si="97"/>
        <v>300.22694719258726</v>
      </c>
      <c r="F148" s="49">
        <f t="shared" si="97"/>
        <v>165.69584844223854</v>
      </c>
      <c r="G148" s="49">
        <f t="shared" si="97"/>
        <v>191.18922278180219</v>
      </c>
      <c r="H148" s="49">
        <f t="shared" si="97"/>
        <v>215.86940125671316</v>
      </c>
      <c r="I148" s="49">
        <f t="shared" si="97"/>
        <v>233.6322060957628</v>
      </c>
      <c r="J148" s="49">
        <f t="shared" si="97"/>
        <v>247.68309413727869</v>
      </c>
      <c r="K148" s="49">
        <f t="shared" ref="K148:L148" si="101">K40*K$143</f>
        <v>259.98298020249081</v>
      </c>
      <c r="L148" s="49">
        <f t="shared" si="101"/>
        <v>272.55625577037114</v>
      </c>
    </row>
    <row r="149" spans="1:14" s="28" customFormat="1" ht="13.15" x14ac:dyDescent="0.4">
      <c r="C149" s="56" t="str">
        <f t="shared" si="96"/>
        <v>Joint boxes</v>
      </c>
      <c r="D149" s="49">
        <f t="shared" si="97"/>
        <v>270.04366068884462</v>
      </c>
      <c r="E149" s="49">
        <f t="shared" si="97"/>
        <v>280.14151058813405</v>
      </c>
      <c r="F149" s="49">
        <f t="shared" si="97"/>
        <v>298.24808890312352</v>
      </c>
      <c r="G149" s="49">
        <f t="shared" si="97"/>
        <v>346.09437806997022</v>
      </c>
      <c r="H149" s="49">
        <f t="shared" si="97"/>
        <v>392.46542106267742</v>
      </c>
      <c r="I149" s="49">
        <f t="shared" si="97"/>
        <v>426.10336128468282</v>
      </c>
      <c r="J149" s="49">
        <f t="shared" si="97"/>
        <v>452.99999360916598</v>
      </c>
      <c r="K149" s="49">
        <f t="shared" ref="K149:L149" si="102">K41*K$143</f>
        <v>476.8344084167968</v>
      </c>
      <c r="L149" s="49">
        <f t="shared" si="102"/>
        <v>501.29829155338837</v>
      </c>
    </row>
    <row r="150" spans="1:14" s="28" customFormat="1" ht="13.15" x14ac:dyDescent="0.4">
      <c r="C150" s="57" t="str">
        <f t="shared" si="96"/>
        <v>Manholes</v>
      </c>
      <c r="D150" s="202">
        <f t="shared" si="97"/>
        <v>230.25281328370588</v>
      </c>
      <c r="E150" s="202">
        <f t="shared" si="97"/>
        <v>241.57268029122838</v>
      </c>
      <c r="F150" s="202">
        <f t="shared" si="97"/>
        <v>337.22863972736712</v>
      </c>
      <c r="G150" s="202">
        <f t="shared" si="97"/>
        <v>389.111509180947</v>
      </c>
      <c r="H150" s="202">
        <f t="shared" si="97"/>
        <v>439.33883897753975</v>
      </c>
      <c r="I150" s="202">
        <f t="shared" si="97"/>
        <v>475.48738028446928</v>
      </c>
      <c r="J150" s="202">
        <f t="shared" si="97"/>
        <v>504.08091196553181</v>
      </c>
      <c r="K150" s="202">
        <f t="shared" ref="K150:L150" si="103">K42*K$143</f>
        <v>529.11044722891586</v>
      </c>
      <c r="L150" s="202">
        <f t="shared" si="103"/>
        <v>554.69608978530346</v>
      </c>
    </row>
    <row r="151" spans="1:14" s="28" customFormat="1" ht="13.15" x14ac:dyDescent="0.4">
      <c r="C151" s="56" t="str">
        <f t="shared" si="96"/>
        <v>Total</v>
      </c>
      <c r="D151" s="49">
        <f>SUM(D145:D150)</f>
        <v>1782.7309079786426</v>
      </c>
      <c r="E151" s="49">
        <f t="shared" ref="E151:J151" si="104">SUM(E145:E150)</f>
        <v>2404.4754635643285</v>
      </c>
      <c r="F151" s="49">
        <f t="shared" si="104"/>
        <v>2947.4439248000494</v>
      </c>
      <c r="G151" s="49">
        <f t="shared" si="104"/>
        <v>3418.5483953397597</v>
      </c>
      <c r="H151" s="49">
        <f t="shared" si="104"/>
        <v>3874.8286988976611</v>
      </c>
      <c r="I151" s="49">
        <f t="shared" si="104"/>
        <v>4204.1980047238421</v>
      </c>
      <c r="J151" s="49">
        <f t="shared" si="104"/>
        <v>4466.323763304762</v>
      </c>
      <c r="K151" s="49">
        <f t="shared" ref="K151:L151" si="105">SUM(K145:K150)</f>
        <v>4698.4121289059758</v>
      </c>
      <c r="L151" s="49">
        <f t="shared" si="105"/>
        <v>4936.4257011526815</v>
      </c>
    </row>
    <row r="152" spans="1:14" s="28" customFormat="1" x14ac:dyDescent="0.45">
      <c r="D152" s="272" t="b">
        <f>IF(ABS(D151-D143)&lt;0.000001,TRUE,FALSE)</f>
        <v>1</v>
      </c>
      <c r="E152" s="272" t="b">
        <f t="shared" ref="E152:J152" si="106">IF(ABS(E151-E143)&lt;0.000001,TRUE,FALSE)</f>
        <v>1</v>
      </c>
      <c r="F152" s="272" t="b">
        <f t="shared" si="106"/>
        <v>1</v>
      </c>
      <c r="G152" s="272" t="b">
        <f t="shared" si="106"/>
        <v>1</v>
      </c>
      <c r="H152" s="272" t="b">
        <f t="shared" si="106"/>
        <v>1</v>
      </c>
      <c r="I152" s="272" t="b">
        <f t="shared" si="106"/>
        <v>1</v>
      </c>
      <c r="J152" s="272" t="b">
        <f t="shared" si="106"/>
        <v>1</v>
      </c>
      <c r="K152" s="272" t="b">
        <f t="shared" ref="K152:L152" si="107">IF(ABS(K151-K143)&lt;0.000001,TRUE,FALSE)</f>
        <v>1</v>
      </c>
      <c r="L152" s="272" t="b">
        <f t="shared" si="107"/>
        <v>1</v>
      </c>
    </row>
    <row r="153" spans="1:14" ht="9" customHeight="1" thickBot="1" x14ac:dyDescent="0.5">
      <c r="A153" s="1"/>
      <c r="B153" s="1"/>
      <c r="C153" s="1"/>
      <c r="D153" s="1"/>
      <c r="E153" s="1"/>
      <c r="F153" s="1"/>
      <c r="G153" s="1"/>
      <c r="H153" s="1"/>
      <c r="I153" s="1"/>
      <c r="J153" s="1"/>
      <c r="K153" s="1"/>
      <c r="L153" s="1"/>
      <c r="M153" s="1"/>
      <c r="N153" s="1"/>
    </row>
    <row r="154" spans="1:14" ht="9" customHeight="1" x14ac:dyDescent="0.45"/>
    <row r="155" spans="1:14" ht="15.75" x14ac:dyDescent="0.5">
      <c r="A155" s="8" t="s">
        <v>204</v>
      </c>
      <c r="D155" s="18" t="s">
        <v>92</v>
      </c>
      <c r="E155" s="18" t="s">
        <v>93</v>
      </c>
      <c r="F155" s="18" t="s">
        <v>51</v>
      </c>
      <c r="G155" s="18" t="s">
        <v>138</v>
      </c>
      <c r="H155" s="18" t="s">
        <v>139</v>
      </c>
      <c r="I155" s="18" t="s">
        <v>140</v>
      </c>
      <c r="J155" s="18" t="s">
        <v>141</v>
      </c>
      <c r="K155" s="18" t="s">
        <v>142</v>
      </c>
      <c r="L155" s="18" t="s">
        <v>143</v>
      </c>
    </row>
    <row r="157" spans="1:14" x14ac:dyDescent="0.45">
      <c r="A157" s="28" t="s">
        <v>205</v>
      </c>
      <c r="B157" s="28" t="str">
        <f>C110</f>
        <v>Total CCA Costs</v>
      </c>
      <c r="C157" s="227" t="str">
        <f t="shared" ref="C157:C163" si="108">B29</f>
        <v>Lead-in duct</v>
      </c>
      <c r="D157" s="228">
        <f>D112+D134</f>
        <v>-45.213199655788266</v>
      </c>
      <c r="E157" s="228">
        <f t="shared" ref="E157:J157" si="109">E112+E134</f>
        <v>12.725510284374616</v>
      </c>
      <c r="F157" s="228">
        <f t="shared" si="109"/>
        <v>23.914773923343493</v>
      </c>
      <c r="G157" s="228">
        <f t="shared" si="109"/>
        <v>8.2359226873961564</v>
      </c>
      <c r="H157" s="228">
        <f t="shared" si="109"/>
        <v>22.292511485314677</v>
      </c>
      <c r="I157" s="228">
        <f t="shared" si="109"/>
        <v>23.315680483142156</v>
      </c>
      <c r="J157" s="228">
        <f t="shared" si="109"/>
        <v>24.468375190567663</v>
      </c>
      <c r="K157" s="228">
        <f t="shared" ref="K157:L157" si="110">K112+K134</f>
        <v>25.717018109039866</v>
      </c>
      <c r="L157" s="228">
        <f t="shared" si="110"/>
        <v>27.055765703051875</v>
      </c>
    </row>
    <row r="158" spans="1:14" x14ac:dyDescent="0.45">
      <c r="A158" s="28"/>
      <c r="B158" s="28"/>
      <c r="C158" s="219" t="str">
        <f t="shared" si="108"/>
        <v>Spine duct – single bore</v>
      </c>
      <c r="D158" s="228">
        <f>D113+D135</f>
        <v>-151.33941165289829</v>
      </c>
      <c r="E158" s="228">
        <f t="shared" ref="D158:J161" si="111">E113+E135</f>
        <v>49.851139606838657</v>
      </c>
      <c r="F158" s="228">
        <f t="shared" si="111"/>
        <v>93.375451141784112</v>
      </c>
      <c r="G158" s="228">
        <f t="shared" si="111"/>
        <v>26.507631020502622</v>
      </c>
      <c r="H158" s="228">
        <f t="shared" si="111"/>
        <v>90.068222715212698</v>
      </c>
      <c r="I158" s="228">
        <f t="shared" si="111"/>
        <v>94.445662939615502</v>
      </c>
      <c r="J158" s="228">
        <f t="shared" si="111"/>
        <v>99.386589773346088</v>
      </c>
      <c r="K158" s="228">
        <f t="shared" ref="K158:L158" si="112">K113+K135</f>
        <v>104.75059045839789</v>
      </c>
      <c r="L158" s="228">
        <f t="shared" si="112"/>
        <v>110.51363218878583</v>
      </c>
    </row>
    <row r="159" spans="1:14" x14ac:dyDescent="0.45">
      <c r="A159" s="28"/>
      <c r="B159" s="28"/>
      <c r="C159" s="219" t="str">
        <f t="shared" si="108"/>
        <v>Spine duct – 2 bores</v>
      </c>
      <c r="D159" s="228">
        <f t="shared" si="111"/>
        <v>-44.327082154762934</v>
      </c>
      <c r="E159" s="228">
        <f t="shared" si="111"/>
        <v>13.164657476499938</v>
      </c>
      <c r="F159" s="228">
        <f t="shared" si="111"/>
        <v>24.717250300710948</v>
      </c>
      <c r="G159" s="228">
        <f t="shared" si="111"/>
        <v>8.9883830730333276</v>
      </c>
      <c r="H159" s="228">
        <f t="shared" si="111"/>
        <v>22.778460928987013</v>
      </c>
      <c r="I159" s="228">
        <f t="shared" si="111"/>
        <v>23.796687688334092</v>
      </c>
      <c r="J159" s="228">
        <f t="shared" si="111"/>
        <v>24.943379775445898</v>
      </c>
      <c r="K159" s="228">
        <f t="shared" ref="K159:L159" si="113">K114+K136</f>
        <v>26.18307002867255</v>
      </c>
      <c r="L159" s="228">
        <f t="shared" si="113"/>
        <v>27.509933845688806</v>
      </c>
    </row>
    <row r="160" spans="1:14" x14ac:dyDescent="0.45">
      <c r="A160" s="28"/>
      <c r="B160" s="28"/>
      <c r="C160" s="219" t="str">
        <f t="shared" si="108"/>
        <v>Spine duct – 3+ bores</v>
      </c>
      <c r="D160" s="228">
        <f>D115+D137</f>
        <v>-59.580272298144848</v>
      </c>
      <c r="E160" s="228">
        <f t="shared" si="111"/>
        <v>20.956648511521074</v>
      </c>
      <c r="F160" s="228">
        <f t="shared" si="111"/>
        <v>39.298862111054333</v>
      </c>
      <c r="G160" s="228">
        <f t="shared" si="111"/>
        <v>17.377145365589818</v>
      </c>
      <c r="H160" s="228">
        <f t="shared" si="111"/>
        <v>34.569517736892386</v>
      </c>
      <c r="I160" s="228">
        <f t="shared" si="111"/>
        <v>35.986234266470909</v>
      </c>
      <c r="J160" s="228">
        <f t="shared" si="111"/>
        <v>37.576161845813353</v>
      </c>
      <c r="K160" s="228">
        <f t="shared" ref="K160:L160" si="114">K115+K137</f>
        <v>39.289482682712084</v>
      </c>
      <c r="L160" s="228">
        <f t="shared" si="114"/>
        <v>41.117490367134714</v>
      </c>
    </row>
    <row r="161" spans="1:14" x14ac:dyDescent="0.45">
      <c r="A161" s="28"/>
      <c r="B161" s="28"/>
      <c r="C161" s="219" t="str">
        <f t="shared" si="108"/>
        <v>Joint boxes</v>
      </c>
      <c r="D161" s="228">
        <f t="shared" si="111"/>
        <v>-70.147214535136527</v>
      </c>
      <c r="E161" s="228">
        <f t="shared" si="111"/>
        <v>23.911798903026732</v>
      </c>
      <c r="F161" s="228">
        <f t="shared" si="111"/>
        <v>44.645245667717845</v>
      </c>
      <c r="G161" s="228">
        <f t="shared" si="111"/>
        <v>18.377031245898294</v>
      </c>
      <c r="H161" s="228">
        <f t="shared" si="111"/>
        <v>40.006903137145748</v>
      </c>
      <c r="I161" s="228">
        <f t="shared" si="111"/>
        <v>41.713050634804517</v>
      </c>
      <c r="J161" s="228">
        <f t="shared" si="111"/>
        <v>43.630751996496436</v>
      </c>
      <c r="K161" s="228">
        <f t="shared" ref="K161" si="115">K116+K138</f>
        <v>45.701360564943016</v>
      </c>
      <c r="L161" s="228">
        <f>L116+L138</f>
        <v>47.914949037235139</v>
      </c>
    </row>
    <row r="162" spans="1:14" x14ac:dyDescent="0.45">
      <c r="A162" s="28"/>
      <c r="B162" s="28"/>
      <c r="C162" s="219" t="str">
        <f t="shared" si="108"/>
        <v>Manholes</v>
      </c>
      <c r="D162" s="228">
        <f t="shared" ref="D162:J162" si="116">D117+D139</f>
        <v>-50.973441651192076</v>
      </c>
      <c r="E162" s="228">
        <f t="shared" si="116"/>
        <v>15.984768091545702</v>
      </c>
      <c r="F162" s="228">
        <f t="shared" si="116"/>
        <v>29.862322700161101</v>
      </c>
      <c r="G162" s="228">
        <f t="shared" si="116"/>
        <v>10.624926159962897</v>
      </c>
      <c r="H162" s="228">
        <f t="shared" si="116"/>
        <v>27.644999085419883</v>
      </c>
      <c r="I162" s="228">
        <f t="shared" si="116"/>
        <v>28.890448212380289</v>
      </c>
      <c r="J162" s="228">
        <f t="shared" si="116"/>
        <v>30.29343406458301</v>
      </c>
      <c r="K162" s="228">
        <f t="shared" ref="K162:L162" si="117">K117+K139</f>
        <v>31.810609866239449</v>
      </c>
      <c r="L162" s="228">
        <f t="shared" si="117"/>
        <v>33.434891575132617</v>
      </c>
    </row>
    <row r="163" spans="1:14" x14ac:dyDescent="0.45">
      <c r="A163" s="28"/>
      <c r="B163" s="28"/>
      <c r="C163" s="56" t="str">
        <f t="shared" si="108"/>
        <v>Total</v>
      </c>
      <c r="D163" s="49">
        <f>SUM(D157:D162)</f>
        <v>-421.58062194792296</v>
      </c>
      <c r="E163" s="49">
        <f t="shared" ref="E163:J163" si="118">SUM(E157:E162)</f>
        <v>136.59452287380671</v>
      </c>
      <c r="F163" s="49">
        <f t="shared" si="118"/>
        <v>255.81390584477185</v>
      </c>
      <c r="G163" s="49">
        <f t="shared" si="118"/>
        <v>90.111039552383104</v>
      </c>
      <c r="H163" s="49">
        <f t="shared" si="118"/>
        <v>237.36061508897239</v>
      </c>
      <c r="I163" s="49">
        <f t="shared" si="118"/>
        <v>248.14776422474748</v>
      </c>
      <c r="J163" s="49">
        <f t="shared" si="118"/>
        <v>260.29869264625245</v>
      </c>
      <c r="K163" s="49">
        <f t="shared" ref="K163:L163" si="119">SUM(K157:K162)</f>
        <v>273.45213171000489</v>
      </c>
      <c r="L163" s="49">
        <f t="shared" si="119"/>
        <v>287.54666271702899</v>
      </c>
    </row>
    <row r="164" spans="1:14" x14ac:dyDescent="0.45">
      <c r="A164" s="28"/>
      <c r="B164" s="28"/>
      <c r="C164" s="28"/>
      <c r="D164" s="28"/>
      <c r="E164" s="28"/>
      <c r="F164" s="28"/>
      <c r="G164" s="28"/>
      <c r="H164" s="28"/>
      <c r="I164" s="28"/>
      <c r="J164" s="28"/>
      <c r="K164" s="28"/>
      <c r="L164" s="28"/>
      <c r="M164" s="28"/>
      <c r="N164" s="28"/>
    </row>
    <row r="165" spans="1:14" ht="9" customHeight="1" x14ac:dyDescent="0.45">
      <c r="A165" s="28"/>
      <c r="B165" s="28"/>
      <c r="C165" s="28"/>
      <c r="D165" s="58"/>
      <c r="E165" s="58"/>
      <c r="F165" s="58"/>
      <c r="G165" s="58"/>
      <c r="H165" s="58"/>
      <c r="I165" s="58"/>
      <c r="J165" s="58"/>
      <c r="K165" s="58"/>
      <c r="L165" s="58"/>
    </row>
    <row r="166" spans="1:14" x14ac:dyDescent="0.45">
      <c r="A166" s="28"/>
      <c r="B166" s="28" t="str">
        <f>C143</f>
        <v>Total MCE</v>
      </c>
      <c r="C166" s="219" t="str">
        <f t="shared" ref="C166:C172" si="120">B29</f>
        <v>Lead-in duct</v>
      </c>
      <c r="D166" s="228">
        <f>D123+D145</f>
        <v>743.49467874101606</v>
      </c>
      <c r="E166" s="228">
        <f t="shared" ref="E166:J166" si="121">E123+E145</f>
        <v>790.87526944831473</v>
      </c>
      <c r="F166" s="228">
        <f t="shared" si="121"/>
        <v>802.70392814087745</v>
      </c>
      <c r="G166" s="228">
        <f t="shared" si="121"/>
        <v>838.82846178428804</v>
      </c>
      <c r="H166" s="228">
        <f t="shared" si="121"/>
        <v>875.30981659202962</v>
      </c>
      <c r="I166" s="228">
        <f t="shared" si="121"/>
        <v>894.0160912587387</v>
      </c>
      <c r="J166" s="228">
        <f t="shared" si="121"/>
        <v>904.89099735638194</v>
      </c>
      <c r="K166" s="228">
        <f t="shared" ref="K166:L166" si="122">K123+K145</f>
        <v>911.67965121135296</v>
      </c>
      <c r="L166" s="228">
        <f t="shared" si="122"/>
        <v>917.87710124629143</v>
      </c>
    </row>
    <row r="167" spans="1:14" x14ac:dyDescent="0.45">
      <c r="A167" s="28"/>
      <c r="B167" s="28"/>
      <c r="C167" s="219" t="str">
        <f t="shared" si="120"/>
        <v>Spine duct – single bore</v>
      </c>
      <c r="D167" s="228">
        <f t="shared" ref="D167:J170" si="123">D124+D146</f>
        <v>2589.07977977986</v>
      </c>
      <c r="E167" s="228">
        <f t="shared" si="123"/>
        <v>3092.6617361686831</v>
      </c>
      <c r="F167" s="228">
        <f t="shared" si="123"/>
        <v>3599.9737455079226</v>
      </c>
      <c r="G167" s="228">
        <f t="shared" si="123"/>
        <v>3815.3884424752719</v>
      </c>
      <c r="H167" s="228">
        <f t="shared" si="123"/>
        <v>4029.8800853630401</v>
      </c>
      <c r="I167" s="228">
        <f t="shared" si="123"/>
        <v>4154.8520759935363</v>
      </c>
      <c r="J167" s="228">
        <f t="shared" si="123"/>
        <v>4238.6581724274747</v>
      </c>
      <c r="K167" s="228">
        <f t="shared" ref="K167:L167" si="124">K124+K146</f>
        <v>4301.8887504576269</v>
      </c>
      <c r="L167" s="228">
        <f t="shared" si="124"/>
        <v>4363.7792333707494</v>
      </c>
    </row>
    <row r="168" spans="1:14" x14ac:dyDescent="0.45">
      <c r="A168" s="28"/>
      <c r="B168" s="28"/>
      <c r="C168" s="219" t="str">
        <f t="shared" si="120"/>
        <v>Spine duct – 2 bores</v>
      </c>
      <c r="D168" s="228">
        <f t="shared" si="123"/>
        <v>738.11629643995582</v>
      </c>
      <c r="E168" s="228">
        <f t="shared" si="123"/>
        <v>793.42114354739124</v>
      </c>
      <c r="F168" s="228">
        <f t="shared" si="123"/>
        <v>792.33131443809032</v>
      </c>
      <c r="G168" s="228">
        <f t="shared" si="123"/>
        <v>821.53799495125031</v>
      </c>
      <c r="H168" s="228">
        <f t="shared" si="123"/>
        <v>851.34665718655822</v>
      </c>
      <c r="I168" s="228">
        <f t="shared" si="123"/>
        <v>864.89536884451923</v>
      </c>
      <c r="J168" s="228">
        <f t="shared" si="123"/>
        <v>871.36094751262272</v>
      </c>
      <c r="K168" s="228">
        <f t="shared" ref="K168:L168" si="125">K125+K147</f>
        <v>873.83120814400263</v>
      </c>
      <c r="L168" s="228">
        <f t="shared" si="125"/>
        <v>875.48499749449593</v>
      </c>
    </row>
    <row r="169" spans="1:14" x14ac:dyDescent="0.45">
      <c r="A169" s="28"/>
      <c r="B169" s="28"/>
      <c r="C169" s="219" t="str">
        <f t="shared" si="120"/>
        <v>Spine duct – 3+ bores</v>
      </c>
      <c r="D169" s="228">
        <f t="shared" si="123"/>
        <v>1035.63828376076</v>
      </c>
      <c r="E169" s="228">
        <f t="shared" si="123"/>
        <v>1150.5243781908011</v>
      </c>
      <c r="F169" s="228">
        <f t="shared" si="123"/>
        <v>1003.4394579485457</v>
      </c>
      <c r="G169" s="228">
        <f t="shared" si="123"/>
        <v>1011.0345096546326</v>
      </c>
      <c r="H169" s="228">
        <f t="shared" si="123"/>
        <v>1020.8158869724582</v>
      </c>
      <c r="I169" s="228">
        <f t="shared" si="123"/>
        <v>1015.3338970389245</v>
      </c>
      <c r="J169" s="228">
        <f t="shared" si="123"/>
        <v>1004.2590726708588</v>
      </c>
      <c r="K169" s="228">
        <f t="shared" ref="K169:L169" si="126">K126+K148</f>
        <v>989.51060860470852</v>
      </c>
      <c r="L169" s="228">
        <f t="shared" si="126"/>
        <v>973.05324072969779</v>
      </c>
    </row>
    <row r="170" spans="1:14" x14ac:dyDescent="0.45">
      <c r="A170" s="28"/>
      <c r="B170" s="28"/>
      <c r="C170" s="219" t="str">
        <f t="shared" si="120"/>
        <v>Joint boxes</v>
      </c>
      <c r="D170" s="228">
        <f t="shared" si="123"/>
        <v>1207.9371689363322</v>
      </c>
      <c r="E170" s="228">
        <f t="shared" si="123"/>
        <v>1247.6703886170174</v>
      </c>
      <c r="F170" s="228">
        <f t="shared" si="123"/>
        <v>1251.4923361895849</v>
      </c>
      <c r="G170" s="228">
        <f t="shared" si="123"/>
        <v>1278.9726411903534</v>
      </c>
      <c r="H170" s="228">
        <f t="shared" si="123"/>
        <v>1308.3907688360537</v>
      </c>
      <c r="I170" s="228">
        <f t="shared" si="123"/>
        <v>1315.5791287271777</v>
      </c>
      <c r="J170" s="228">
        <f t="shared" si="123"/>
        <v>1313.8859388893381</v>
      </c>
      <c r="K170" s="228">
        <f t="shared" ref="K170:L170" si="127">K127+K149</f>
        <v>1306.9428176242009</v>
      </c>
      <c r="L170" s="228">
        <f t="shared" si="127"/>
        <v>1298.3735704057085</v>
      </c>
    </row>
    <row r="171" spans="1:14" x14ac:dyDescent="0.45">
      <c r="A171" s="28"/>
      <c r="B171" s="28"/>
      <c r="C171" s="219" t="str">
        <f t="shared" si="120"/>
        <v>Manholes</v>
      </c>
      <c r="D171" s="228">
        <f t="shared" ref="D171:J171" si="128">D128+D150</f>
        <v>859.4765655763681</v>
      </c>
      <c r="E171" s="228">
        <f t="shared" si="128"/>
        <v>890.67851771450842</v>
      </c>
      <c r="F171" s="228">
        <f t="shared" si="128"/>
        <v>976.7510554968851</v>
      </c>
      <c r="G171" s="228">
        <f t="shared" si="128"/>
        <v>1014.9705816567707</v>
      </c>
      <c r="H171" s="228">
        <f t="shared" si="128"/>
        <v>1053.8243632699712</v>
      </c>
      <c r="I171" s="228">
        <f t="shared" si="128"/>
        <v>1072.228135009766</v>
      </c>
      <c r="J171" s="228">
        <f t="shared" si="128"/>
        <v>1081.6410294221359</v>
      </c>
      <c r="K171" s="228">
        <f t="shared" ref="K171:L171" si="129">K128+K150</f>
        <v>1086.0222111531275</v>
      </c>
      <c r="L171" s="228">
        <f t="shared" si="129"/>
        <v>1089.4462436234862</v>
      </c>
    </row>
    <row r="172" spans="1:14" x14ac:dyDescent="0.45">
      <c r="A172" s="28"/>
      <c r="B172" s="28"/>
      <c r="C172" s="56" t="str">
        <f t="shared" si="120"/>
        <v>Total</v>
      </c>
      <c r="D172" s="49">
        <f>SUM(D166:D171)</f>
        <v>7173.7427732342931</v>
      </c>
      <c r="E172" s="49">
        <f t="shared" ref="E172:J172" si="130">SUM(E166:E171)</f>
        <v>7965.8314336867161</v>
      </c>
      <c r="F172" s="49">
        <f t="shared" si="130"/>
        <v>8426.6918377219063</v>
      </c>
      <c r="G172" s="49">
        <f t="shared" si="130"/>
        <v>8780.7326317125662</v>
      </c>
      <c r="H172" s="49">
        <f t="shared" si="130"/>
        <v>9139.5675782201106</v>
      </c>
      <c r="I172" s="49">
        <f t="shared" si="130"/>
        <v>9316.9046968726616</v>
      </c>
      <c r="J172" s="49">
        <f t="shared" si="130"/>
        <v>9414.6961582788135</v>
      </c>
      <c r="K172" s="49">
        <f t="shared" ref="K172:L172" si="131">SUM(K166:K171)</f>
        <v>9469.8752471950193</v>
      </c>
      <c r="L172" s="49">
        <f t="shared" si="131"/>
        <v>9518.014386870429</v>
      </c>
    </row>
    <row r="173" spans="1:14" x14ac:dyDescent="0.45">
      <c r="C173" s="28"/>
      <c r="D173" s="28"/>
      <c r="E173" s="28"/>
      <c r="F173" s="28"/>
      <c r="G173" s="28"/>
      <c r="H173" s="28"/>
      <c r="I173" s="28"/>
      <c r="J173" s="28"/>
      <c r="K173" s="28"/>
      <c r="L173" s="28"/>
      <c r="M173" s="28"/>
      <c r="N173" s="28"/>
    </row>
  </sheetData>
  <conditionalFormatting sqref="D12:F12">
    <cfRule type="cellIs" dxfId="13" priority="7" stopIfTrue="1" operator="notEqual">
      <formula>TRUE</formula>
    </cfRule>
  </conditionalFormatting>
  <conditionalFormatting sqref="D19:F19">
    <cfRule type="cellIs" dxfId="12" priority="2" stopIfTrue="1" operator="notEqual">
      <formula>TRUE</formula>
    </cfRule>
  </conditionalFormatting>
  <conditionalFormatting sqref="D83:L83">
    <cfRule type="cellIs" dxfId="11" priority="3" stopIfTrue="1" operator="notEqual">
      <formula>TRUE</formula>
    </cfRule>
  </conditionalFormatting>
  <conditionalFormatting sqref="D105:L105">
    <cfRule type="cellIs" dxfId="10" priority="4" stopIfTrue="1" operator="notEqual">
      <formula>TRUE</formula>
    </cfRule>
  </conditionalFormatting>
  <conditionalFormatting sqref="D119:L119 D130:L130 D141:L141 D152:L152">
    <cfRule type="cellIs" dxfId="9" priority="6" stopIfTrue="1" operator="notEqual">
      <formula>TRUE</formula>
    </cfRule>
  </conditionalFormatting>
  <printOptions horizontalCentered="1" verticalCentered="1"/>
  <pageMargins left="0.19685039370078741" right="0.19685039370078741" top="0.39370078740157483" bottom="0.39370078740157483" header="0.19685039370078741" footer="0.19685039370078741"/>
  <pageSetup paperSize="9" scale="70" orientation="landscape" r:id="rId1"/>
  <headerFooter>
    <oddHeader>&amp;CPage &amp;P of &amp;N&amp;R&amp;D &amp;T&amp;L&amp;"Calibri"&amp;12&amp;K000000Classification: HIGHLY SENSITIVE&amp;1#_x000D_&amp;"Calibri"&amp;11&amp;K000000File: &amp;F Sheet: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0142BF-E05C-406F-8C4B-94D71B9E17EF}">
  <sheetPr codeName="Sheet14"/>
  <dimension ref="A1:P143"/>
  <sheetViews>
    <sheetView showGridLines="0" zoomScale="85" zoomScaleNormal="85" workbookViewId="0"/>
  </sheetViews>
  <sheetFormatPr defaultRowHeight="14.25" x14ac:dyDescent="0.45"/>
  <cols>
    <col min="1" max="1" width="3" customWidth="1"/>
    <col min="2" max="2" width="17.73046875" customWidth="1"/>
    <col min="3" max="3" width="42" bestFit="1" customWidth="1"/>
    <col min="4" max="6" width="13" customWidth="1"/>
    <col min="7" max="8" width="13" bestFit="1" customWidth="1"/>
    <col min="9" max="9" width="12.73046875" customWidth="1"/>
    <col min="10" max="12" width="13.73046875" customWidth="1"/>
    <col min="13" max="13" width="12.73046875" customWidth="1"/>
    <col min="14" max="14" width="2.796875" customWidth="1"/>
    <col min="15" max="15" width="11" customWidth="1"/>
    <col min="16" max="16" width="2.796875" customWidth="1"/>
  </cols>
  <sheetData>
    <row r="1" spans="1:15" ht="21" x14ac:dyDescent="0.65">
      <c r="A1" s="83" t="s">
        <v>206</v>
      </c>
    </row>
    <row r="3" spans="1:15" s="28" customFormat="1" ht="15.75" x14ac:dyDescent="0.5">
      <c r="A3" s="8" t="s">
        <v>207</v>
      </c>
      <c r="D3" s="18" t="str">
        <f>'D&amp;C Cost Forecasts'!D108</f>
        <v>2022/23</v>
      </c>
      <c r="E3" s="18" t="str">
        <f>'D&amp;C Cost Forecasts'!E108</f>
        <v>2023/24</v>
      </c>
      <c r="F3" s="18" t="str">
        <f>'D&amp;C Cost Forecasts'!F108</f>
        <v>2024/25</v>
      </c>
      <c r="G3" s="18" t="str">
        <f>'D&amp;C Cost Forecasts'!G108</f>
        <v>2025/26</v>
      </c>
      <c r="H3" s="18" t="str">
        <f>'D&amp;C Cost Forecasts'!H108</f>
        <v>2026/27</v>
      </c>
      <c r="I3" s="18" t="str">
        <f>'D&amp;C Cost Forecasts'!I108</f>
        <v>2027/28</v>
      </c>
      <c r="J3" s="18" t="str">
        <f>'D&amp;C Cost Forecasts'!J108</f>
        <v>2028/29</v>
      </c>
      <c r="K3" s="18" t="str">
        <f>'D&amp;C Cost Forecasts'!K108</f>
        <v>2029/30</v>
      </c>
      <c r="L3" s="18" t="str">
        <f>'D&amp;C Cost Forecasts'!L108</f>
        <v>2030/31</v>
      </c>
      <c r="O3" s="48" t="s">
        <v>208</v>
      </c>
    </row>
    <row r="4" spans="1:15" s="28" customFormat="1" ht="13.15" x14ac:dyDescent="0.4"/>
    <row r="5" spans="1:15" s="28" customFormat="1" ht="13.15" x14ac:dyDescent="0.4">
      <c r="B5" s="28" t="str">
        <f>'D&amp;C Cost Forecasts'!B157</f>
        <v>Total CCA Costs</v>
      </c>
      <c r="C5" s="56" t="str">
        <f>'D&amp;C Cost Forecasts'!C157</f>
        <v>Lead-in duct</v>
      </c>
      <c r="D5" s="49">
        <f>'D&amp;C Cost Forecasts'!D157</f>
        <v>-45.213199655788266</v>
      </c>
      <c r="E5" s="49">
        <f>'D&amp;C Cost Forecasts'!E157</f>
        <v>12.725510284374616</v>
      </c>
      <c r="F5" s="49">
        <f>'D&amp;C Cost Forecasts'!F157</f>
        <v>23.914773923343493</v>
      </c>
      <c r="G5" s="49">
        <f>'D&amp;C Cost Forecasts'!G157</f>
        <v>8.2359226873961564</v>
      </c>
      <c r="H5" s="49">
        <f>'D&amp;C Cost Forecasts'!H157</f>
        <v>22.292511485314677</v>
      </c>
      <c r="I5" s="49">
        <f>'D&amp;C Cost Forecasts'!I157</f>
        <v>23.315680483142156</v>
      </c>
      <c r="J5" s="49">
        <f>'D&amp;C Cost Forecasts'!J157</f>
        <v>24.468375190567663</v>
      </c>
      <c r="K5" s="49">
        <f>'D&amp;C Cost Forecasts'!K157</f>
        <v>25.717018109039866</v>
      </c>
      <c r="L5" s="49">
        <f>'D&amp;C Cost Forecasts'!L157</f>
        <v>27.055765703051875</v>
      </c>
    </row>
    <row r="6" spans="1:15" s="28" customFormat="1" ht="13.15" x14ac:dyDescent="0.4">
      <c r="C6" s="56" t="str">
        <f>'D&amp;C Cost Forecasts'!C158</f>
        <v>Spine duct – single bore</v>
      </c>
      <c r="D6" s="49">
        <f>'D&amp;C Cost Forecasts'!D158</f>
        <v>-151.33941165289829</v>
      </c>
      <c r="E6" s="49">
        <f>'D&amp;C Cost Forecasts'!E158</f>
        <v>49.851139606838657</v>
      </c>
      <c r="F6" s="49">
        <f>'D&amp;C Cost Forecasts'!F158</f>
        <v>93.375451141784112</v>
      </c>
      <c r="G6" s="49">
        <f>'D&amp;C Cost Forecasts'!G158</f>
        <v>26.507631020502622</v>
      </c>
      <c r="H6" s="49">
        <f>'D&amp;C Cost Forecasts'!H158</f>
        <v>90.068222715212698</v>
      </c>
      <c r="I6" s="49">
        <f>'D&amp;C Cost Forecasts'!I158</f>
        <v>94.445662939615502</v>
      </c>
      <c r="J6" s="49">
        <f>'D&amp;C Cost Forecasts'!J158</f>
        <v>99.386589773346088</v>
      </c>
      <c r="K6" s="49">
        <f>'D&amp;C Cost Forecasts'!K158</f>
        <v>104.75059045839789</v>
      </c>
      <c r="L6" s="49">
        <f>'D&amp;C Cost Forecasts'!L158</f>
        <v>110.51363218878583</v>
      </c>
    </row>
    <row r="7" spans="1:15" s="28" customFormat="1" ht="13.15" x14ac:dyDescent="0.4">
      <c r="C7" s="56" t="str">
        <f>'D&amp;C Cost Forecasts'!C159</f>
        <v>Spine duct – 2 bores</v>
      </c>
      <c r="D7" s="49">
        <f>'D&amp;C Cost Forecasts'!D159</f>
        <v>-44.327082154762934</v>
      </c>
      <c r="E7" s="49">
        <f>'D&amp;C Cost Forecasts'!E159</f>
        <v>13.164657476499938</v>
      </c>
      <c r="F7" s="49">
        <f>'D&amp;C Cost Forecasts'!F159</f>
        <v>24.717250300710948</v>
      </c>
      <c r="G7" s="49">
        <f>'D&amp;C Cost Forecasts'!G159</f>
        <v>8.9883830730333276</v>
      </c>
      <c r="H7" s="49">
        <f>'D&amp;C Cost Forecasts'!H159</f>
        <v>22.778460928987013</v>
      </c>
      <c r="I7" s="49">
        <f>'D&amp;C Cost Forecasts'!I159</f>
        <v>23.796687688334092</v>
      </c>
      <c r="J7" s="49">
        <f>'D&amp;C Cost Forecasts'!J159</f>
        <v>24.943379775445898</v>
      </c>
      <c r="K7" s="49">
        <f>'D&amp;C Cost Forecasts'!K159</f>
        <v>26.18307002867255</v>
      </c>
      <c r="L7" s="49">
        <f>'D&amp;C Cost Forecasts'!L159</f>
        <v>27.509933845688806</v>
      </c>
    </row>
    <row r="8" spans="1:15" s="28" customFormat="1" ht="13.15" x14ac:dyDescent="0.4">
      <c r="C8" s="56" t="str">
        <f>'D&amp;C Cost Forecasts'!C160</f>
        <v>Spine duct – 3+ bores</v>
      </c>
      <c r="D8" s="49">
        <f>'D&amp;C Cost Forecasts'!D160</f>
        <v>-59.580272298144848</v>
      </c>
      <c r="E8" s="49">
        <f>'D&amp;C Cost Forecasts'!E160</f>
        <v>20.956648511521074</v>
      </c>
      <c r="F8" s="49">
        <f>'D&amp;C Cost Forecasts'!F160</f>
        <v>39.298862111054333</v>
      </c>
      <c r="G8" s="49">
        <f>'D&amp;C Cost Forecasts'!G160</f>
        <v>17.377145365589818</v>
      </c>
      <c r="H8" s="49">
        <f>'D&amp;C Cost Forecasts'!H160</f>
        <v>34.569517736892386</v>
      </c>
      <c r="I8" s="49">
        <f>'D&amp;C Cost Forecasts'!I160</f>
        <v>35.986234266470909</v>
      </c>
      <c r="J8" s="49">
        <f>'D&amp;C Cost Forecasts'!J160</f>
        <v>37.576161845813353</v>
      </c>
      <c r="K8" s="49">
        <f>'D&amp;C Cost Forecasts'!K160</f>
        <v>39.289482682712084</v>
      </c>
      <c r="L8" s="49">
        <f>'D&amp;C Cost Forecasts'!L160</f>
        <v>41.117490367134714</v>
      </c>
    </row>
    <row r="9" spans="1:15" s="28" customFormat="1" ht="13.15" x14ac:dyDescent="0.4">
      <c r="C9" s="56" t="str">
        <f>'D&amp;C Cost Forecasts'!C161</f>
        <v>Joint boxes</v>
      </c>
      <c r="D9" s="49">
        <f>'D&amp;C Cost Forecasts'!D161</f>
        <v>-70.147214535136527</v>
      </c>
      <c r="E9" s="49">
        <f>'D&amp;C Cost Forecasts'!E161</f>
        <v>23.911798903026732</v>
      </c>
      <c r="F9" s="49">
        <f>'D&amp;C Cost Forecasts'!F161</f>
        <v>44.645245667717845</v>
      </c>
      <c r="G9" s="49">
        <f>'D&amp;C Cost Forecasts'!G161</f>
        <v>18.377031245898294</v>
      </c>
      <c r="H9" s="49">
        <f>'D&amp;C Cost Forecasts'!H161</f>
        <v>40.006903137145748</v>
      </c>
      <c r="I9" s="49">
        <f>'D&amp;C Cost Forecasts'!I161</f>
        <v>41.713050634804517</v>
      </c>
      <c r="J9" s="49">
        <f>'D&amp;C Cost Forecasts'!J161</f>
        <v>43.630751996496436</v>
      </c>
      <c r="K9" s="49">
        <f>'D&amp;C Cost Forecasts'!K161</f>
        <v>45.701360564943016</v>
      </c>
      <c r="L9" s="49">
        <f>'D&amp;C Cost Forecasts'!L161</f>
        <v>47.914949037235139</v>
      </c>
    </row>
    <row r="10" spans="1:15" s="28" customFormat="1" ht="13.15" x14ac:dyDescent="0.4">
      <c r="C10" s="57" t="str">
        <f>'D&amp;C Cost Forecasts'!C162</f>
        <v>Manholes</v>
      </c>
      <c r="D10" s="202">
        <f>'D&amp;C Cost Forecasts'!D162</f>
        <v>-50.973441651192076</v>
      </c>
      <c r="E10" s="202">
        <f>'D&amp;C Cost Forecasts'!E162</f>
        <v>15.984768091545702</v>
      </c>
      <c r="F10" s="202">
        <f>'D&amp;C Cost Forecasts'!F162</f>
        <v>29.862322700161101</v>
      </c>
      <c r="G10" s="202">
        <f>'D&amp;C Cost Forecasts'!G162</f>
        <v>10.624926159962897</v>
      </c>
      <c r="H10" s="202">
        <f>'D&amp;C Cost Forecasts'!H162</f>
        <v>27.644999085419883</v>
      </c>
      <c r="I10" s="202">
        <f>'D&amp;C Cost Forecasts'!I162</f>
        <v>28.890448212380289</v>
      </c>
      <c r="J10" s="202">
        <f>'D&amp;C Cost Forecasts'!J162</f>
        <v>30.29343406458301</v>
      </c>
      <c r="K10" s="202">
        <f>'D&amp;C Cost Forecasts'!K162</f>
        <v>31.810609866239449</v>
      </c>
      <c r="L10" s="202">
        <f>'D&amp;C Cost Forecasts'!L162</f>
        <v>33.434891575132617</v>
      </c>
    </row>
    <row r="11" spans="1:15" s="28" customFormat="1" ht="13.15" x14ac:dyDescent="0.4">
      <c r="C11" s="56" t="str">
        <f>'D&amp;C Cost Forecasts'!C163</f>
        <v>Total</v>
      </c>
      <c r="D11" s="49">
        <f>'D&amp;C Cost Forecasts'!D163</f>
        <v>-421.58062194792296</v>
      </c>
      <c r="E11" s="49">
        <f>'D&amp;C Cost Forecasts'!E163</f>
        <v>136.59452287380671</v>
      </c>
      <c r="F11" s="49">
        <f>'D&amp;C Cost Forecasts'!F163</f>
        <v>255.81390584477185</v>
      </c>
      <c r="G11" s="49">
        <f>'D&amp;C Cost Forecasts'!G163</f>
        <v>90.111039552383104</v>
      </c>
      <c r="H11" s="49">
        <f>'D&amp;C Cost Forecasts'!H163</f>
        <v>237.36061508897239</v>
      </c>
      <c r="I11" s="49">
        <f>'D&amp;C Cost Forecasts'!I163</f>
        <v>248.14776422474748</v>
      </c>
      <c r="J11" s="49">
        <f>'D&amp;C Cost Forecasts'!J163</f>
        <v>260.29869264625245</v>
      </c>
      <c r="K11" s="49">
        <f>'D&amp;C Cost Forecasts'!K163</f>
        <v>273.45213171000489</v>
      </c>
      <c r="L11" s="49">
        <f>'D&amp;C Cost Forecasts'!L163</f>
        <v>287.54666271702899</v>
      </c>
    </row>
    <row r="12" spans="1:15" s="28" customFormat="1" x14ac:dyDescent="0.45">
      <c r="D12" s="272" t="b">
        <f>D11=SUM(D5:D10)</f>
        <v>1</v>
      </c>
      <c r="E12" s="272" t="b">
        <f t="shared" ref="E12:J12" si="0">E11=SUM(E5:E10)</f>
        <v>1</v>
      </c>
      <c r="F12" s="272" t="b">
        <f t="shared" si="0"/>
        <v>1</v>
      </c>
      <c r="G12" s="272" t="b">
        <f t="shared" si="0"/>
        <v>1</v>
      </c>
      <c r="H12" s="272" t="b">
        <f t="shared" si="0"/>
        <v>1</v>
      </c>
      <c r="I12" s="272" t="b">
        <f t="shared" si="0"/>
        <v>1</v>
      </c>
      <c r="J12" s="272" t="b">
        <f t="shared" si="0"/>
        <v>1</v>
      </c>
      <c r="K12" s="272" t="b">
        <f t="shared" ref="K12:L12" si="1">K11=SUM(K5:K10)</f>
        <v>1</v>
      </c>
      <c r="L12" s="272" t="b">
        <f t="shared" si="1"/>
        <v>1</v>
      </c>
    </row>
    <row r="13" spans="1:15" s="28" customFormat="1" ht="13.15" x14ac:dyDescent="0.4"/>
    <row r="14" spans="1:15" s="28" customFormat="1" ht="13.15" x14ac:dyDescent="0.4">
      <c r="B14" s="28" t="str">
        <f>'D&amp;C Cost Forecasts'!B166</f>
        <v>Total MCE</v>
      </c>
      <c r="C14" s="56" t="str">
        <f>'D&amp;C Cost Forecasts'!C166</f>
        <v>Lead-in duct</v>
      </c>
      <c r="D14" s="51">
        <f>'D&amp;C Cost Forecasts'!D166</f>
        <v>743.49467874101606</v>
      </c>
      <c r="E14" s="51">
        <f>'D&amp;C Cost Forecasts'!E166</f>
        <v>790.87526944831473</v>
      </c>
      <c r="F14" s="51">
        <f>'D&amp;C Cost Forecasts'!F166</f>
        <v>802.70392814087745</v>
      </c>
      <c r="G14" s="51">
        <f>'D&amp;C Cost Forecasts'!G166</f>
        <v>838.82846178428804</v>
      </c>
      <c r="H14" s="51">
        <f>'D&amp;C Cost Forecasts'!H166</f>
        <v>875.30981659202962</v>
      </c>
      <c r="I14" s="51">
        <f>'D&amp;C Cost Forecasts'!I166</f>
        <v>894.0160912587387</v>
      </c>
      <c r="J14" s="51">
        <f>'D&amp;C Cost Forecasts'!J166</f>
        <v>904.89099735638194</v>
      </c>
      <c r="K14" s="51">
        <f>'D&amp;C Cost Forecasts'!K166</f>
        <v>911.67965121135296</v>
      </c>
      <c r="L14" s="51">
        <f>'D&amp;C Cost Forecasts'!L166</f>
        <v>917.87710124629143</v>
      </c>
    </row>
    <row r="15" spans="1:15" s="28" customFormat="1" ht="13.15" x14ac:dyDescent="0.4">
      <c r="C15" s="56" t="str">
        <f>'D&amp;C Cost Forecasts'!C167</f>
        <v>Spine duct – single bore</v>
      </c>
      <c r="D15" s="51">
        <f>'D&amp;C Cost Forecasts'!D167</f>
        <v>2589.07977977986</v>
      </c>
      <c r="E15" s="51">
        <f>'D&amp;C Cost Forecasts'!E167</f>
        <v>3092.6617361686831</v>
      </c>
      <c r="F15" s="51">
        <f>'D&amp;C Cost Forecasts'!F167</f>
        <v>3599.9737455079226</v>
      </c>
      <c r="G15" s="51">
        <f>'D&amp;C Cost Forecasts'!G167</f>
        <v>3815.3884424752719</v>
      </c>
      <c r="H15" s="51">
        <f>'D&amp;C Cost Forecasts'!H167</f>
        <v>4029.8800853630401</v>
      </c>
      <c r="I15" s="51">
        <f>'D&amp;C Cost Forecasts'!I167</f>
        <v>4154.8520759935363</v>
      </c>
      <c r="J15" s="51">
        <f>'D&amp;C Cost Forecasts'!J167</f>
        <v>4238.6581724274747</v>
      </c>
      <c r="K15" s="51">
        <f>'D&amp;C Cost Forecasts'!K167</f>
        <v>4301.8887504576269</v>
      </c>
      <c r="L15" s="51">
        <f>'D&amp;C Cost Forecasts'!L167</f>
        <v>4363.7792333707494</v>
      </c>
    </row>
    <row r="16" spans="1:15" s="28" customFormat="1" ht="13.15" x14ac:dyDescent="0.4">
      <c r="C16" s="56" t="str">
        <f>'D&amp;C Cost Forecasts'!C168</f>
        <v>Spine duct – 2 bores</v>
      </c>
      <c r="D16" s="51">
        <f>'D&amp;C Cost Forecasts'!D168</f>
        <v>738.11629643995582</v>
      </c>
      <c r="E16" s="51">
        <f>'D&amp;C Cost Forecasts'!E168</f>
        <v>793.42114354739124</v>
      </c>
      <c r="F16" s="51">
        <f>'D&amp;C Cost Forecasts'!F168</f>
        <v>792.33131443809032</v>
      </c>
      <c r="G16" s="51">
        <f>'D&amp;C Cost Forecasts'!G168</f>
        <v>821.53799495125031</v>
      </c>
      <c r="H16" s="51">
        <f>'D&amp;C Cost Forecasts'!H168</f>
        <v>851.34665718655822</v>
      </c>
      <c r="I16" s="51">
        <f>'D&amp;C Cost Forecasts'!I168</f>
        <v>864.89536884451923</v>
      </c>
      <c r="J16" s="51">
        <f>'D&amp;C Cost Forecasts'!J168</f>
        <v>871.36094751262272</v>
      </c>
      <c r="K16" s="51">
        <f>'D&amp;C Cost Forecasts'!K168</f>
        <v>873.83120814400263</v>
      </c>
      <c r="L16" s="51">
        <f>'D&amp;C Cost Forecasts'!L168</f>
        <v>875.48499749449593</v>
      </c>
    </row>
    <row r="17" spans="2:12" s="28" customFormat="1" ht="13.15" x14ac:dyDescent="0.4">
      <c r="C17" s="56" t="str">
        <f>'D&amp;C Cost Forecasts'!C169</f>
        <v>Spine duct – 3+ bores</v>
      </c>
      <c r="D17" s="51">
        <f>'D&amp;C Cost Forecasts'!D169</f>
        <v>1035.63828376076</v>
      </c>
      <c r="E17" s="51">
        <f>'D&amp;C Cost Forecasts'!E169</f>
        <v>1150.5243781908011</v>
      </c>
      <c r="F17" s="51">
        <f>'D&amp;C Cost Forecasts'!F169</f>
        <v>1003.4394579485457</v>
      </c>
      <c r="G17" s="51">
        <f>'D&amp;C Cost Forecasts'!G169</f>
        <v>1011.0345096546326</v>
      </c>
      <c r="H17" s="51">
        <f>'D&amp;C Cost Forecasts'!H169</f>
        <v>1020.8158869724582</v>
      </c>
      <c r="I17" s="51">
        <f>'D&amp;C Cost Forecasts'!I169</f>
        <v>1015.3338970389245</v>
      </c>
      <c r="J17" s="51">
        <f>'D&amp;C Cost Forecasts'!J169</f>
        <v>1004.2590726708588</v>
      </c>
      <c r="K17" s="51">
        <f>'D&amp;C Cost Forecasts'!K169</f>
        <v>989.51060860470852</v>
      </c>
      <c r="L17" s="51">
        <f>'D&amp;C Cost Forecasts'!L169</f>
        <v>973.05324072969779</v>
      </c>
    </row>
    <row r="18" spans="2:12" s="28" customFormat="1" ht="13.15" x14ac:dyDescent="0.4">
      <c r="C18" s="56" t="str">
        <f>'D&amp;C Cost Forecasts'!C170</f>
        <v>Joint boxes</v>
      </c>
      <c r="D18" s="51">
        <f>'D&amp;C Cost Forecasts'!D170</f>
        <v>1207.9371689363322</v>
      </c>
      <c r="E18" s="51">
        <f>'D&amp;C Cost Forecasts'!E170</f>
        <v>1247.6703886170174</v>
      </c>
      <c r="F18" s="51">
        <f>'D&amp;C Cost Forecasts'!F170</f>
        <v>1251.4923361895849</v>
      </c>
      <c r="G18" s="51">
        <f>'D&amp;C Cost Forecasts'!G170</f>
        <v>1278.9726411903534</v>
      </c>
      <c r="H18" s="51">
        <f>'D&amp;C Cost Forecasts'!H170</f>
        <v>1308.3907688360537</v>
      </c>
      <c r="I18" s="51">
        <f>'D&amp;C Cost Forecasts'!I170</f>
        <v>1315.5791287271777</v>
      </c>
      <c r="J18" s="51">
        <f>'D&amp;C Cost Forecasts'!J170</f>
        <v>1313.8859388893381</v>
      </c>
      <c r="K18" s="51">
        <f>'D&amp;C Cost Forecasts'!K170</f>
        <v>1306.9428176242009</v>
      </c>
      <c r="L18" s="51">
        <f>'D&amp;C Cost Forecasts'!L170</f>
        <v>1298.3735704057085</v>
      </c>
    </row>
    <row r="19" spans="2:12" s="28" customFormat="1" ht="13.15" x14ac:dyDescent="0.4">
      <c r="C19" s="57" t="str">
        <f>'D&amp;C Cost Forecasts'!C171</f>
        <v>Manholes</v>
      </c>
      <c r="D19" s="54">
        <f>'D&amp;C Cost Forecasts'!D171</f>
        <v>859.4765655763681</v>
      </c>
      <c r="E19" s="54">
        <f>'D&amp;C Cost Forecasts'!E171</f>
        <v>890.67851771450842</v>
      </c>
      <c r="F19" s="54">
        <f>'D&amp;C Cost Forecasts'!F171</f>
        <v>976.7510554968851</v>
      </c>
      <c r="G19" s="54">
        <f>'D&amp;C Cost Forecasts'!G171</f>
        <v>1014.9705816567707</v>
      </c>
      <c r="H19" s="54">
        <f>'D&amp;C Cost Forecasts'!H171</f>
        <v>1053.8243632699712</v>
      </c>
      <c r="I19" s="54">
        <f>'D&amp;C Cost Forecasts'!I171</f>
        <v>1072.228135009766</v>
      </c>
      <c r="J19" s="54">
        <f>'D&amp;C Cost Forecasts'!J171</f>
        <v>1081.6410294221359</v>
      </c>
      <c r="K19" s="54">
        <f>'D&amp;C Cost Forecasts'!K171</f>
        <v>1086.0222111531275</v>
      </c>
      <c r="L19" s="54">
        <f>'D&amp;C Cost Forecasts'!L171</f>
        <v>1089.4462436234862</v>
      </c>
    </row>
    <row r="20" spans="2:12" s="28" customFormat="1" ht="13.15" x14ac:dyDescent="0.4">
      <c r="C20" s="56" t="str">
        <f>'D&amp;C Cost Forecasts'!C172</f>
        <v>Total</v>
      </c>
      <c r="D20" s="51">
        <f>'D&amp;C Cost Forecasts'!D172</f>
        <v>7173.7427732342931</v>
      </c>
      <c r="E20" s="51">
        <f>'D&amp;C Cost Forecasts'!E172</f>
        <v>7965.8314336867161</v>
      </c>
      <c r="F20" s="51">
        <f>'D&amp;C Cost Forecasts'!F172</f>
        <v>8426.6918377219063</v>
      </c>
      <c r="G20" s="51">
        <f>'D&amp;C Cost Forecasts'!G172</f>
        <v>8780.7326317125662</v>
      </c>
      <c r="H20" s="51">
        <f>'D&amp;C Cost Forecasts'!H172</f>
        <v>9139.5675782201106</v>
      </c>
      <c r="I20" s="51">
        <f>'D&amp;C Cost Forecasts'!I172</f>
        <v>9316.9046968726616</v>
      </c>
      <c r="J20" s="51">
        <f>'D&amp;C Cost Forecasts'!J172</f>
        <v>9414.6961582788135</v>
      </c>
      <c r="K20" s="51">
        <f>'D&amp;C Cost Forecasts'!K172</f>
        <v>9469.8752471950193</v>
      </c>
      <c r="L20" s="51">
        <f>'D&amp;C Cost Forecasts'!L172</f>
        <v>9518.014386870429</v>
      </c>
    </row>
    <row r="21" spans="2:12" s="28" customFormat="1" x14ac:dyDescent="0.45">
      <c r="D21" s="272" t="b">
        <f>D20=SUM(D14:D19)</f>
        <v>1</v>
      </c>
      <c r="E21" s="272" t="b">
        <f t="shared" ref="E21:J21" si="2">E20=SUM(E14:E19)</f>
        <v>1</v>
      </c>
      <c r="F21" s="272" t="b">
        <f t="shared" si="2"/>
        <v>1</v>
      </c>
      <c r="G21" s="272" t="b">
        <f t="shared" si="2"/>
        <v>1</v>
      </c>
      <c r="H21" s="272" t="b">
        <f t="shared" si="2"/>
        <v>1</v>
      </c>
      <c r="I21" s="272" t="b">
        <f t="shared" si="2"/>
        <v>1</v>
      </c>
      <c r="J21" s="272" t="b">
        <f t="shared" si="2"/>
        <v>1</v>
      </c>
      <c r="K21" s="272" t="b">
        <f t="shared" ref="K21:L21" si="3">K20=SUM(K14:K19)</f>
        <v>1</v>
      </c>
      <c r="L21" s="272" t="b">
        <f t="shared" si="3"/>
        <v>1</v>
      </c>
    </row>
    <row r="22" spans="2:12" s="28" customFormat="1" ht="13.15" x14ac:dyDescent="0.4"/>
    <row r="23" spans="2:12" s="28" customFormat="1" ht="13.15" x14ac:dyDescent="0.4">
      <c r="B23" s="28" t="s">
        <v>209</v>
      </c>
      <c r="C23" s="56" t="str">
        <f>'D&amp;C Vols'!A24</f>
        <v>Lead-in duct</v>
      </c>
      <c r="D23" s="39">
        <f>INDEX('D&amp;C Vols'!$A$23:$L$29,MATCH($C23,'D&amp;C Vols'!$A$23:$A$29,0),MATCH(D$3,'D&amp;C Vols'!$A$23:$L$23,0))</f>
        <v>107922.15312863828</v>
      </c>
      <c r="E23" s="39">
        <f>INDEX('D&amp;C Vols'!$A$23:$L$29,MATCH($C23,'D&amp;C Vols'!$A$23:$A$29,0),MATCH(E$3,'D&amp;C Vols'!$A$23:$L$23,0))</f>
        <v>110816.76051999294</v>
      </c>
      <c r="F23" s="39">
        <f>INDEX('D&amp;C Vols'!$A$23:$L$29,MATCH($C23,'D&amp;C Vols'!$A$23:$A$29,0),MATCH(F$3,'D&amp;C Vols'!$A$23:$L$23,0))</f>
        <v>102060.68391549872</v>
      </c>
      <c r="G23" s="39">
        <f>INDEX('D&amp;C Vols'!$A$23:$L$29,MATCH($C23,'D&amp;C Vols'!$A$23:$A$29,0),MATCH(G$3,'D&amp;C Vols'!$A$23:$L$23,0))</f>
        <v>102796.33538246517</v>
      </c>
      <c r="H23" s="39">
        <f>INDEX('D&amp;C Vols'!$A$23:$L$29,MATCH($C23,'D&amp;C Vols'!$A$23:$A$29,0),MATCH(H$3,'D&amp;C Vols'!$A$23:$L$23,0))</f>
        <v>103349.49871785373</v>
      </c>
      <c r="I23" s="39">
        <f>INDEX('D&amp;C Vols'!$A$23:$L$29,MATCH($C23,'D&amp;C Vols'!$A$23:$A$29,0),MATCH(I$3,'D&amp;C Vols'!$A$23:$L$23,0))</f>
        <v>103702.7861840488</v>
      </c>
      <c r="J23" s="39">
        <f>INDEX('D&amp;C Vols'!$A$23:$L$29,MATCH($C23,'D&amp;C Vols'!$A$23:$A$29,0),MATCH(J$3,'D&amp;C Vols'!$A$23:$L$23,0))</f>
        <v>103993.48018694502</v>
      </c>
      <c r="K23" s="39">
        <f>INDEX('D&amp;C Vols'!$A$23:$L$29,MATCH($C23,'D&amp;C Vols'!$A$23:$A$29,0),MATCH(K$3,'D&amp;C Vols'!$A$23:$L$23,0))</f>
        <v>104303.03179162275</v>
      </c>
      <c r="L23" s="39">
        <f>INDEX('D&amp;C Vols'!$A$23:$L$29,MATCH($C23,'D&amp;C Vols'!$A$23:$A$29,0),MATCH(L$3,'D&amp;C Vols'!$A$23:$L$23,0))</f>
        <v>104612.58339630051</v>
      </c>
    </row>
    <row r="24" spans="2:12" s="28" customFormat="1" ht="13.15" x14ac:dyDescent="0.4">
      <c r="C24" s="56" t="str">
        <f>'D&amp;C Vols'!A25</f>
        <v>Spine duct – single bore</v>
      </c>
      <c r="D24" s="39">
        <f>INDEX('D&amp;C Vols'!$A$23:$L$29,MATCH($C24,'D&amp;C Vols'!$A$23:$A$29,0),MATCH(D$3,'D&amp;C Vols'!$A$23:$L$23,0))</f>
        <v>284143.48416691483</v>
      </c>
      <c r="E24" s="39">
        <f>INDEX('D&amp;C Vols'!$A$23:$L$29,MATCH($C24,'D&amp;C Vols'!$A$23:$A$29,0),MATCH(E$3,'D&amp;C Vols'!$A$23:$L$23,0))</f>
        <v>351366.15984138777</v>
      </c>
      <c r="F24" s="39">
        <f>INDEX('D&amp;C Vols'!$A$23:$L$29,MATCH($C24,'D&amp;C Vols'!$A$23:$A$29,0),MATCH(F$3,'D&amp;C Vols'!$A$23:$L$23,0))</f>
        <v>423743.10510904546</v>
      </c>
      <c r="G24" s="39">
        <f>INDEX('D&amp;C Vols'!$A$23:$L$29,MATCH($C24,'D&amp;C Vols'!$A$23:$A$29,0),MATCH(G$3,'D&amp;C Vols'!$A$23:$L$23,0))</f>
        <v>426797.43734484044</v>
      </c>
      <c r="H24" s="39">
        <f>INDEX('D&amp;C Vols'!$A$23:$L$29,MATCH($C24,'D&amp;C Vols'!$A$23:$A$29,0),MATCH(H$3,'D&amp;C Vols'!$A$23:$L$23,0))</f>
        <v>429094.10184264148</v>
      </c>
      <c r="I24" s="39">
        <f>INDEX('D&amp;C Vols'!$A$23:$L$29,MATCH($C24,'D&amp;C Vols'!$A$23:$A$29,0),MATCH(I$3,'D&amp;C Vols'!$A$23:$L$23,0))</f>
        <v>430560.9069058483</v>
      </c>
      <c r="J24" s="39">
        <f>INDEX('D&amp;C Vols'!$A$23:$L$29,MATCH($C24,'D&amp;C Vols'!$A$23:$A$29,0),MATCH(J$3,'D&amp;C Vols'!$A$23:$L$23,0))</f>
        <v>431767.83179306349</v>
      </c>
      <c r="K24" s="39">
        <f>INDEX('D&amp;C Vols'!$A$23:$L$29,MATCH($C24,'D&amp;C Vols'!$A$23:$A$29,0),MATCH(K$3,'D&amp;C Vols'!$A$23:$L$23,0))</f>
        <v>433053.05106776708</v>
      </c>
      <c r="L24" s="39">
        <f>INDEX('D&amp;C Vols'!$A$23:$L$29,MATCH($C24,'D&amp;C Vols'!$A$23:$A$29,0),MATCH(L$3,'D&amp;C Vols'!$A$23:$L$23,0))</f>
        <v>434338.27034247079</v>
      </c>
    </row>
    <row r="25" spans="2:12" s="28" customFormat="1" ht="13.15" x14ac:dyDescent="0.4">
      <c r="C25" s="56" t="str">
        <f>'D&amp;C Vols'!A26</f>
        <v>Spine duct – 2 bores</v>
      </c>
      <c r="D25" s="39">
        <f>INDEX('D&amp;C Vols'!$A$23:$L$29,MATCH($C25,'D&amp;C Vols'!$A$23:$A$29,0),MATCH(D$3,'D&amp;C Vols'!$A$23:$L$23,0))</f>
        <v>61980.984173007761</v>
      </c>
      <c r="E25" s="39">
        <f>INDEX('D&amp;C Vols'!$A$23:$L$29,MATCH($C25,'D&amp;C Vols'!$A$23:$A$29,0),MATCH(E$3,'D&amp;C Vols'!$A$23:$L$23,0))</f>
        <v>57683.555008441166</v>
      </c>
      <c r="F25" s="39">
        <f>INDEX('D&amp;C Vols'!$A$23:$L$29,MATCH($C25,'D&amp;C Vols'!$A$23:$A$29,0),MATCH(F$3,'D&amp;C Vols'!$A$23:$L$23,0))</f>
        <v>62868.014580809846</v>
      </c>
      <c r="G25" s="39">
        <f>INDEX('D&amp;C Vols'!$A$23:$L$29,MATCH($C25,'D&amp;C Vols'!$A$23:$A$29,0),MATCH(G$3,'D&amp;C Vols'!$A$23:$L$23,0))</f>
        <v>62871.179987253578</v>
      </c>
      <c r="H25" s="39">
        <f>INDEX('D&amp;C Vols'!$A$23:$L$29,MATCH($C25,'D&amp;C Vols'!$A$23:$A$29,0),MATCH(H$3,'D&amp;C Vols'!$A$23:$L$23,0))</f>
        <v>62873.564057434407</v>
      </c>
      <c r="I25" s="39">
        <f>INDEX('D&amp;C Vols'!$A$23:$L$29,MATCH($C25,'D&amp;C Vols'!$A$23:$A$29,0),MATCH(I$3,'D&amp;C Vols'!$A$23:$L$23,0))</f>
        <v>62875.713503708103</v>
      </c>
      <c r="J25" s="39">
        <f>INDEX('D&amp;C Vols'!$A$23:$L$29,MATCH($C25,'D&amp;C Vols'!$A$23:$A$29,0),MATCH(J$3,'D&amp;C Vols'!$A$23:$L$23,0))</f>
        <v>62877.97795844861</v>
      </c>
      <c r="K25" s="39">
        <f>INDEX('D&amp;C Vols'!$A$23:$L$29,MATCH($C25,'D&amp;C Vols'!$A$23:$A$29,0),MATCH(K$3,'D&amp;C Vols'!$A$23:$L$23,0))</f>
        <v>62880.202260951133</v>
      </c>
      <c r="L25" s="39">
        <f>INDEX('D&amp;C Vols'!$A$23:$L$29,MATCH($C25,'D&amp;C Vols'!$A$23:$A$29,0),MATCH(L$3,'D&amp;C Vols'!$A$23:$L$23,0))</f>
        <v>62882.42656345365</v>
      </c>
    </row>
    <row r="26" spans="2:12" s="28" customFormat="1" ht="13.15" x14ac:dyDescent="0.4">
      <c r="C26" s="56" t="str">
        <f>'D&amp;C Vols'!A27</f>
        <v>Spine duct – 3+ bores</v>
      </c>
      <c r="D26" s="39">
        <f>INDEX('D&amp;C Vols'!$A$23:$L$29,MATCH($C26,'D&amp;C Vols'!$A$23:$A$29,0),MATCH(D$3,'D&amp;C Vols'!$A$23:$L$23,0))</f>
        <v>62203.701519230104</v>
      </c>
      <c r="E26" s="39">
        <f>INDEX('D&amp;C Vols'!$A$23:$L$29,MATCH($C26,'D&amp;C Vols'!$A$23:$A$29,0),MATCH(E$3,'D&amp;C Vols'!$A$23:$L$23,0))</f>
        <v>58518.113568567635</v>
      </c>
      <c r="F26" s="39">
        <f>INDEX('D&amp;C Vols'!$A$23:$L$29,MATCH($C26,'D&amp;C Vols'!$A$23:$A$29,0),MATCH(F$3,'D&amp;C Vols'!$A$23:$L$23,0))</f>
        <v>52749.262030978163</v>
      </c>
      <c r="G26" s="39">
        <f>INDEX('D&amp;C Vols'!$A$23:$L$29,MATCH($C26,'D&amp;C Vols'!$A$23:$A$29,0),MATCH(G$3,'D&amp;C Vols'!$A$23:$L$23,0))</f>
        <v>52749.523736877425</v>
      </c>
      <c r="H26" s="39">
        <f>INDEX('D&amp;C Vols'!$A$23:$L$29,MATCH($C26,'D&amp;C Vols'!$A$23:$A$29,0),MATCH(H$3,'D&amp;C Vols'!$A$23:$L$23,0))</f>
        <v>52749.785828322587</v>
      </c>
      <c r="I26" s="39">
        <f>INDEX('D&amp;C Vols'!$A$23:$L$29,MATCH($C26,'D&amp;C Vols'!$A$23:$A$29,0),MATCH(I$3,'D&amp;C Vols'!$A$23:$L$23,0))</f>
        <v>52750.056191770396</v>
      </c>
      <c r="J26" s="39">
        <f>INDEX('D&amp;C Vols'!$A$23:$L$29,MATCH($C26,'D&amp;C Vols'!$A$23:$A$29,0),MATCH(J$3,'D&amp;C Vols'!$A$23:$L$23,0))</f>
        <v>52750.34735908181</v>
      </c>
      <c r="K26" s="39">
        <f>INDEX('D&amp;C Vols'!$A$23:$L$29,MATCH($C26,'D&amp;C Vols'!$A$23:$A$29,0),MATCH(K$3,'D&amp;C Vols'!$A$23:$L$23,0))</f>
        <v>52750.647251643037</v>
      </c>
      <c r="L26" s="39">
        <f>INDEX('D&amp;C Vols'!$A$23:$L$29,MATCH($C26,'D&amp;C Vols'!$A$23:$A$29,0),MATCH(L$3,'D&amp;C Vols'!$A$23:$L$23,0))</f>
        <v>52750.94714420427</v>
      </c>
    </row>
    <row r="27" spans="2:12" s="28" customFormat="1" ht="13.15" x14ac:dyDescent="0.4">
      <c r="C27" s="56" t="str">
        <f>'D&amp;C Vols'!A28</f>
        <v>Joint boxes</v>
      </c>
      <c r="D27" s="39">
        <f>INDEX('D&amp;C Vols'!$A$23:$L$29,MATCH($C27,'D&amp;C Vols'!$A$23:$A$29,0),MATCH(D$3,'D&amp;C Vols'!$A$23:$L$23,0))</f>
        <v>7723555.0712383762</v>
      </c>
      <c r="E27" s="39">
        <f>INDEX('D&amp;C Vols'!$A$23:$L$29,MATCH($C27,'D&amp;C Vols'!$A$23:$A$29,0),MATCH(E$3,'D&amp;C Vols'!$A$23:$L$23,0))</f>
        <v>6787682.4606654234</v>
      </c>
      <c r="F27" s="39">
        <f>INDEX('D&amp;C Vols'!$A$23:$L$29,MATCH($C27,'D&amp;C Vols'!$A$23:$A$29,0),MATCH(F$3,'D&amp;C Vols'!$A$23:$L$23,0))</f>
        <v>6927042.8617348243</v>
      </c>
      <c r="G27" s="39">
        <f>INDEX('D&amp;C Vols'!$A$23:$L$29,MATCH($C27,'D&amp;C Vols'!$A$23:$A$29,0),MATCH(G$3,'D&amp;C Vols'!$A$23:$L$23,0))</f>
        <v>6966507.7440682957</v>
      </c>
      <c r="H27" s="39">
        <f>INDEX('D&amp;C Vols'!$A$23:$L$29,MATCH($C27,'D&amp;C Vols'!$A$23:$A$29,0),MATCH(H$3,'D&amp;C Vols'!$A$23:$L$23,0))</f>
        <v>6996751.6116833622</v>
      </c>
      <c r="I27" s="39">
        <f>INDEX('D&amp;C Vols'!$A$23:$L$29,MATCH($C27,'D&amp;C Vols'!$A$23:$A$29,0),MATCH(I$3,'D&amp;C Vols'!$A$23:$L$23,0))</f>
        <v>7018925.3135627592</v>
      </c>
      <c r="J27" s="39">
        <f>INDEX('D&amp;C Vols'!$A$23:$L$29,MATCH($C27,'D&amp;C Vols'!$A$23:$A$29,0),MATCH(J$3,'D&amp;C Vols'!$A$23:$L$23,0))</f>
        <v>7038702.3397687217</v>
      </c>
      <c r="K27" s="39">
        <f>INDEX('D&amp;C Vols'!$A$23:$L$29,MATCH($C27,'D&amp;C Vols'!$A$23:$A$29,0),MATCH(K$3,'D&amp;C Vols'!$A$23:$L$23,0))</f>
        <v>7058556.6727746874</v>
      </c>
      <c r="L27" s="39">
        <f>INDEX('D&amp;C Vols'!$A$23:$L$29,MATCH($C27,'D&amp;C Vols'!$A$23:$A$29,0),MATCH(L$3,'D&amp;C Vols'!$A$23:$L$23,0))</f>
        <v>7078411.0057806522</v>
      </c>
    </row>
    <row r="28" spans="2:12" s="28" customFormat="1" ht="13.15" x14ac:dyDescent="0.4">
      <c r="C28" s="56" t="str">
        <f>'D&amp;C Vols'!A29</f>
        <v>Manholes</v>
      </c>
      <c r="D28" s="39">
        <f>INDEX('D&amp;C Vols'!$A$23:$L$29,MATCH($C28,'D&amp;C Vols'!$A$23:$A$29,0),MATCH(D$3,'D&amp;C Vols'!$A$23:$L$23,0))</f>
        <v>196164.26722301039</v>
      </c>
      <c r="E28" s="39">
        <f>INDEX('D&amp;C Vols'!$A$23:$L$29,MATCH($C28,'D&amp;C Vols'!$A$23:$A$29,0),MATCH(E$3,'D&amp;C Vols'!$A$23:$L$23,0))</f>
        <v>188593.691704433</v>
      </c>
      <c r="F28" s="39">
        <f>INDEX('D&amp;C Vols'!$A$23:$L$29,MATCH($C28,'D&amp;C Vols'!$A$23:$A$29,0),MATCH(F$3,'D&amp;C Vols'!$A$23:$L$23,0))</f>
        <v>217469.67604419601</v>
      </c>
      <c r="G28" s="39">
        <f>INDEX('D&amp;C Vols'!$A$23:$L$29,MATCH($C28,'D&amp;C Vols'!$A$23:$A$29,0),MATCH(G$3,'D&amp;C Vols'!$A$23:$L$23,0))</f>
        <v>217469.67604419601</v>
      </c>
      <c r="H28" s="39">
        <f>INDEX('D&amp;C Vols'!$A$23:$L$29,MATCH($C28,'D&amp;C Vols'!$A$23:$A$29,0),MATCH(H$3,'D&amp;C Vols'!$A$23:$L$23,0))</f>
        <v>217469.67604419601</v>
      </c>
      <c r="I28" s="39">
        <f>INDEX('D&amp;C Vols'!$A$23:$L$29,MATCH($C28,'D&amp;C Vols'!$A$23:$A$29,0),MATCH(I$3,'D&amp;C Vols'!$A$23:$L$23,0))</f>
        <v>217469.67604419601</v>
      </c>
      <c r="J28" s="39">
        <f>INDEX('D&amp;C Vols'!$A$23:$L$29,MATCH($C28,'D&amp;C Vols'!$A$23:$A$29,0),MATCH(J$3,'D&amp;C Vols'!$A$23:$L$23,0))</f>
        <v>217469.67604419601</v>
      </c>
      <c r="K28" s="39">
        <f>INDEX('D&amp;C Vols'!$A$23:$L$29,MATCH($C28,'D&amp;C Vols'!$A$23:$A$29,0),MATCH(K$3,'D&amp;C Vols'!$A$23:$L$23,0))</f>
        <v>217469.67604419601</v>
      </c>
      <c r="L28" s="39">
        <f>INDEX('D&amp;C Vols'!$A$23:$L$29,MATCH($C28,'D&amp;C Vols'!$A$23:$A$29,0),MATCH(L$3,'D&amp;C Vols'!$A$23:$L$23,0))</f>
        <v>217469.67604419601</v>
      </c>
    </row>
    <row r="29" spans="2:12" s="28" customFormat="1" ht="13.15" x14ac:dyDescent="0.4">
      <c r="C29" s="56"/>
    </row>
    <row r="30" spans="2:12" s="28" customFormat="1" ht="13.15" x14ac:dyDescent="0.4">
      <c r="B30" s="28" t="s">
        <v>210</v>
      </c>
      <c r="C30" s="56"/>
      <c r="D30" s="55">
        <f>'Parameters and Assumptions'!D4</f>
        <v>7.4999999999999997E-2</v>
      </c>
      <c r="E30" s="55">
        <f>'Parameters and Assumptions'!E4</f>
        <v>7.4999999999999997E-2</v>
      </c>
      <c r="F30" s="55">
        <f>'Parameters and Assumptions'!F4</f>
        <v>7.4999999999999997E-2</v>
      </c>
      <c r="G30" s="55">
        <f>'Parameters and Assumptions'!G4</f>
        <v>7.4999999999999997E-2</v>
      </c>
      <c r="H30" s="55">
        <f>'Parameters and Assumptions'!H4</f>
        <v>7.4999999999999997E-2</v>
      </c>
      <c r="I30" s="55">
        <f>'Parameters and Assumptions'!I4</f>
        <v>7.4999999999999997E-2</v>
      </c>
      <c r="J30" s="55">
        <f>'Parameters and Assumptions'!J4</f>
        <v>7.4999999999999997E-2</v>
      </c>
      <c r="K30" s="55">
        <f>'Parameters and Assumptions'!K4</f>
        <v>7.4999999999999997E-2</v>
      </c>
      <c r="L30" s="55">
        <f>'Parameters and Assumptions'!L4</f>
        <v>7.4999999999999997E-2</v>
      </c>
    </row>
    <row r="31" spans="2:12" s="28" customFormat="1" ht="13.15" x14ac:dyDescent="0.4"/>
    <row r="32" spans="2:12" s="28" customFormat="1" ht="13.15" x14ac:dyDescent="0.4">
      <c r="B32" s="28" t="s">
        <v>211</v>
      </c>
      <c r="D32" s="18" t="s">
        <v>92</v>
      </c>
      <c r="E32" s="18" t="s">
        <v>93</v>
      </c>
      <c r="F32" s="18" t="s">
        <v>51</v>
      </c>
      <c r="G32" s="18" t="s">
        <v>138</v>
      </c>
      <c r="H32" s="18" t="s">
        <v>139</v>
      </c>
      <c r="I32" s="18" t="s">
        <v>140</v>
      </c>
      <c r="J32" s="18" t="s">
        <v>141</v>
      </c>
      <c r="K32" s="18" t="s">
        <v>142</v>
      </c>
      <c r="L32" s="18" t="s">
        <v>143</v>
      </c>
    </row>
    <row r="33" spans="2:15" s="28" customFormat="1" ht="13.15" x14ac:dyDescent="0.4">
      <c r="C33" s="56" t="str">
        <f>C5</f>
        <v>Lead-in duct</v>
      </c>
      <c r="D33" s="59">
        <f>'Parameters and Assumptions'!$D15</f>
        <v>1</v>
      </c>
      <c r="E33" s="59">
        <f>'Parameters and Assumptions'!$D15</f>
        <v>1</v>
      </c>
      <c r="F33" s="59">
        <f>'Parameters and Assumptions'!$D15</f>
        <v>1</v>
      </c>
      <c r="G33" s="59">
        <f>'Parameters and Assumptions'!$D15</f>
        <v>1</v>
      </c>
      <c r="H33" s="59">
        <f>'Parameters and Assumptions'!$D15</f>
        <v>1</v>
      </c>
      <c r="I33" s="59">
        <f>'Parameters and Assumptions'!$D15</f>
        <v>1</v>
      </c>
      <c r="J33" s="59">
        <f>'Parameters and Assumptions'!$D15</f>
        <v>1</v>
      </c>
      <c r="K33" s="59">
        <f>'Parameters and Assumptions'!$D15</f>
        <v>1</v>
      </c>
      <c r="L33" s="59">
        <f>'Parameters and Assumptions'!$D15</f>
        <v>1</v>
      </c>
      <c r="M33" s="59"/>
      <c r="O33" s="48" t="s">
        <v>212</v>
      </c>
    </row>
    <row r="34" spans="2:15" s="28" customFormat="1" ht="13.15" x14ac:dyDescent="0.4">
      <c r="C34" s="56" t="str">
        <f t="shared" ref="C34:C38" si="4">C6</f>
        <v>Spine duct – single bore</v>
      </c>
      <c r="D34" s="59">
        <f>'Parameters and Assumptions'!$D16</f>
        <v>0.34659090909090906</v>
      </c>
      <c r="E34" s="59">
        <f>'Parameters and Assumptions'!$D16</f>
        <v>0.34659090909090906</v>
      </c>
      <c r="F34" s="59">
        <f>'Parameters and Assumptions'!$D16</f>
        <v>0.34659090909090906</v>
      </c>
      <c r="G34" s="59">
        <f>'Parameters and Assumptions'!$D16</f>
        <v>0.34659090909090906</v>
      </c>
      <c r="H34" s="59">
        <f>'Parameters and Assumptions'!$D16</f>
        <v>0.34659090909090906</v>
      </c>
      <c r="I34" s="59">
        <f>'Parameters and Assumptions'!$D16</f>
        <v>0.34659090909090906</v>
      </c>
      <c r="J34" s="59">
        <f>'Parameters and Assumptions'!$D16</f>
        <v>0.34659090909090906</v>
      </c>
      <c r="K34" s="59">
        <f>'Parameters and Assumptions'!$D16</f>
        <v>0.34659090909090906</v>
      </c>
      <c r="L34" s="59">
        <f>'Parameters and Assumptions'!$D16</f>
        <v>0.34659090909090906</v>
      </c>
      <c r="M34" s="59"/>
      <c r="O34" s="48" t="s">
        <v>212</v>
      </c>
    </row>
    <row r="35" spans="2:15" s="28" customFormat="1" ht="13.15" x14ac:dyDescent="0.4">
      <c r="C35" s="56" t="str">
        <f t="shared" si="4"/>
        <v>Spine duct – 2 bores</v>
      </c>
      <c r="D35" s="59">
        <f>'Parameters and Assumptions'!$D17</f>
        <v>0.25</v>
      </c>
      <c r="E35" s="59">
        <f>'Parameters and Assumptions'!$D17</f>
        <v>0.25</v>
      </c>
      <c r="F35" s="59">
        <f>'Parameters and Assumptions'!$D17</f>
        <v>0.25</v>
      </c>
      <c r="G35" s="59">
        <f>'Parameters and Assumptions'!$D17</f>
        <v>0.25</v>
      </c>
      <c r="H35" s="59">
        <f>'Parameters and Assumptions'!$D17</f>
        <v>0.25</v>
      </c>
      <c r="I35" s="59">
        <f>'Parameters and Assumptions'!$D17</f>
        <v>0.25</v>
      </c>
      <c r="J35" s="59">
        <f>'Parameters and Assumptions'!$D17</f>
        <v>0.25</v>
      </c>
      <c r="K35" s="59">
        <f>'Parameters and Assumptions'!$D17</f>
        <v>0.25</v>
      </c>
      <c r="L35" s="59">
        <f>'Parameters and Assumptions'!$D17</f>
        <v>0.25</v>
      </c>
      <c r="M35" s="59"/>
      <c r="O35" s="48" t="s">
        <v>212</v>
      </c>
    </row>
    <row r="36" spans="2:15" s="28" customFormat="1" ht="13.15" x14ac:dyDescent="0.4">
      <c r="C36" s="56" t="str">
        <f t="shared" si="4"/>
        <v>Spine duct – 3+ bores</v>
      </c>
      <c r="D36" s="59">
        <f>'Parameters and Assumptions'!$D18</f>
        <v>0.1</v>
      </c>
      <c r="E36" s="59">
        <f>'Parameters and Assumptions'!$D18</f>
        <v>0.1</v>
      </c>
      <c r="F36" s="59">
        <f>'Parameters and Assumptions'!$D18</f>
        <v>0.1</v>
      </c>
      <c r="G36" s="59">
        <f>'Parameters and Assumptions'!$D18</f>
        <v>0.1</v>
      </c>
      <c r="H36" s="59">
        <f>'Parameters and Assumptions'!$D18</f>
        <v>0.1</v>
      </c>
      <c r="I36" s="59">
        <f>'Parameters and Assumptions'!$D18</f>
        <v>0.1</v>
      </c>
      <c r="J36" s="59">
        <f>'Parameters and Assumptions'!$D18</f>
        <v>0.1</v>
      </c>
      <c r="K36" s="59">
        <f>'Parameters and Assumptions'!$D18</f>
        <v>0.1</v>
      </c>
      <c r="L36" s="59">
        <f>'Parameters and Assumptions'!$D18</f>
        <v>0.1</v>
      </c>
      <c r="M36" s="59"/>
      <c r="O36" s="48" t="s">
        <v>212</v>
      </c>
    </row>
    <row r="37" spans="2:15" s="28" customFormat="1" ht="13.15" x14ac:dyDescent="0.4">
      <c r="C37" s="56" t="str">
        <f t="shared" si="4"/>
        <v>Joint boxes</v>
      </c>
      <c r="D37" s="59">
        <f>'Parameters and Assumptions'!$D19</f>
        <v>0.15</v>
      </c>
      <c r="E37" s="59">
        <f>'Parameters and Assumptions'!$D19</f>
        <v>0.15</v>
      </c>
      <c r="F37" s="59">
        <f>'Parameters and Assumptions'!$D19</f>
        <v>0.15</v>
      </c>
      <c r="G37" s="59">
        <f>'Parameters and Assumptions'!$D19</f>
        <v>0.15</v>
      </c>
      <c r="H37" s="59">
        <f>'Parameters and Assumptions'!$D19</f>
        <v>0.15</v>
      </c>
      <c r="I37" s="59">
        <f>'Parameters and Assumptions'!$D19</f>
        <v>0.15</v>
      </c>
      <c r="J37" s="59">
        <f>'Parameters and Assumptions'!$D19</f>
        <v>0.15</v>
      </c>
      <c r="K37" s="59">
        <f>'Parameters and Assumptions'!$D19</f>
        <v>0.15</v>
      </c>
      <c r="L37" s="59">
        <f>'Parameters and Assumptions'!$D19</f>
        <v>0.15</v>
      </c>
      <c r="M37" s="59"/>
      <c r="O37" s="48" t="s">
        <v>212</v>
      </c>
    </row>
    <row r="38" spans="2:15" s="28" customFormat="1" ht="13.15" x14ac:dyDescent="0.4">
      <c r="C38" s="56" t="str">
        <f t="shared" si="4"/>
        <v>Manholes</v>
      </c>
      <c r="D38" s="59">
        <f>'Parameters and Assumptions'!$D20</f>
        <v>3.3000000000000002E-2</v>
      </c>
      <c r="E38" s="59">
        <f>'Parameters and Assumptions'!$D20</f>
        <v>3.3000000000000002E-2</v>
      </c>
      <c r="F38" s="59">
        <f>'Parameters and Assumptions'!$D20</f>
        <v>3.3000000000000002E-2</v>
      </c>
      <c r="G38" s="59">
        <f>'Parameters and Assumptions'!$D20</f>
        <v>3.3000000000000002E-2</v>
      </c>
      <c r="H38" s="59">
        <f>'Parameters and Assumptions'!$D20</f>
        <v>3.3000000000000002E-2</v>
      </c>
      <c r="I38" s="59">
        <f>'Parameters and Assumptions'!$D20</f>
        <v>3.3000000000000002E-2</v>
      </c>
      <c r="J38" s="59">
        <f>'Parameters and Assumptions'!$D20</f>
        <v>3.3000000000000002E-2</v>
      </c>
      <c r="K38" s="59">
        <f>'Parameters and Assumptions'!$D20</f>
        <v>3.3000000000000002E-2</v>
      </c>
      <c r="L38" s="59">
        <f>'Parameters and Assumptions'!$D20</f>
        <v>3.3000000000000002E-2</v>
      </c>
      <c r="M38" s="59"/>
      <c r="O38" s="48" t="s">
        <v>212</v>
      </c>
    </row>
    <row r="39" spans="2:15" s="28" customFormat="1" ht="13.15" x14ac:dyDescent="0.4"/>
    <row r="40" spans="2:15" s="40" customFormat="1" ht="13.15" x14ac:dyDescent="0.4">
      <c r="B40" s="40" t="s">
        <v>213</v>
      </c>
      <c r="C40" s="123"/>
      <c r="D40" s="149">
        <v>44652</v>
      </c>
      <c r="E40" s="149">
        <v>45017</v>
      </c>
      <c r="F40" s="149">
        <v>45383</v>
      </c>
      <c r="G40" s="149">
        <v>45748</v>
      </c>
      <c r="H40" s="56"/>
      <c r="I40" s="56"/>
      <c r="J40" s="56"/>
      <c r="K40" s="56"/>
      <c r="L40" s="56"/>
    </row>
    <row r="41" spans="2:15" s="28" customFormat="1" ht="13.15" x14ac:dyDescent="0.4">
      <c r="C41" s="56" t="str">
        <f t="shared" ref="C41:C46" si="5">C33</f>
        <v>Lead-in duct</v>
      </c>
      <c r="D41" s="80">
        <f>'Input data'!F6</f>
        <v>9.94</v>
      </c>
      <c r="E41" s="80">
        <f>'Input data'!G6</f>
        <v>11.09</v>
      </c>
      <c r="F41" s="80">
        <f>'Input data'!H6</f>
        <v>11.64</v>
      </c>
      <c r="G41" s="80">
        <f>'Input data'!I6</f>
        <v>11.96</v>
      </c>
      <c r="H41" s="56"/>
      <c r="I41" s="56"/>
      <c r="J41" s="56"/>
      <c r="K41" s="56"/>
      <c r="L41" s="56"/>
    </row>
    <row r="42" spans="2:15" s="28" customFormat="1" ht="13.15" x14ac:dyDescent="0.4">
      <c r="C42" s="56" t="str">
        <f t="shared" si="5"/>
        <v>Spine duct – single bore</v>
      </c>
      <c r="D42" s="80">
        <f>'Input data'!F7</f>
        <v>0.31</v>
      </c>
      <c r="E42" s="80">
        <f>'Input data'!G7</f>
        <v>0.35</v>
      </c>
      <c r="F42" s="80">
        <f>'Input data'!H7</f>
        <v>0.37</v>
      </c>
      <c r="G42" s="80">
        <f>'Input data'!I7</f>
        <v>0.39</v>
      </c>
      <c r="H42" s="56"/>
      <c r="I42" s="56"/>
      <c r="J42" s="56"/>
      <c r="K42" s="56"/>
      <c r="L42" s="56"/>
    </row>
    <row r="43" spans="2:15" s="28" customFormat="1" ht="13.15" x14ac:dyDescent="0.4">
      <c r="C43" s="56" t="str">
        <f t="shared" si="5"/>
        <v>Spine duct – 2 bores</v>
      </c>
      <c r="D43" s="80">
        <f>'Input data'!F8</f>
        <v>0.2</v>
      </c>
      <c r="E43" s="80">
        <f>'Input data'!G8</f>
        <v>0.24</v>
      </c>
      <c r="F43" s="80">
        <f>'Input data'!H8</f>
        <v>0.26</v>
      </c>
      <c r="G43" s="80">
        <f>'Input data'!I8</f>
        <v>0.28000000000000003</v>
      </c>
      <c r="H43" s="56"/>
      <c r="I43" s="56"/>
      <c r="J43" s="56"/>
      <c r="K43" s="56"/>
      <c r="L43" s="56"/>
    </row>
    <row r="44" spans="2:15" s="28" customFormat="1" ht="13.15" x14ac:dyDescent="0.4">
      <c r="C44" s="56" t="str">
        <f t="shared" si="5"/>
        <v>Spine duct – 3+ bores</v>
      </c>
      <c r="D44" s="80">
        <f>'Input data'!F9</f>
        <v>0.14000000000000001</v>
      </c>
      <c r="E44" s="80">
        <f>'Input data'!G9</f>
        <v>0.16</v>
      </c>
      <c r="F44" s="80">
        <f>'Input data'!H9</f>
        <v>0.18</v>
      </c>
      <c r="G44" s="80">
        <f>'Input data'!I9</f>
        <v>0.19</v>
      </c>
      <c r="H44" s="56"/>
      <c r="I44" s="56"/>
      <c r="J44" s="56"/>
      <c r="K44" s="56"/>
      <c r="L44" s="56"/>
    </row>
    <row r="45" spans="2:15" s="28" customFormat="1" ht="13.15" x14ac:dyDescent="0.4">
      <c r="C45" s="56" t="str">
        <f t="shared" si="5"/>
        <v>Joint boxes</v>
      </c>
      <c r="D45" s="80">
        <f>'Input data'!F10</f>
        <v>2.2400000000000002</v>
      </c>
      <c r="E45" s="80">
        <f>'Input data'!G10</f>
        <v>2.5099999999999998</v>
      </c>
      <c r="F45" s="80">
        <f>'Input data'!H10</f>
        <v>2.65</v>
      </c>
      <c r="G45" s="80">
        <f>'Input data'!I10</f>
        <v>2.75</v>
      </c>
      <c r="H45" s="56"/>
      <c r="I45" s="56"/>
      <c r="J45" s="56"/>
      <c r="K45" s="56"/>
      <c r="L45" s="56"/>
    </row>
    <row r="46" spans="2:15" s="28" customFormat="1" ht="13.15" x14ac:dyDescent="0.4">
      <c r="C46" s="56" t="str">
        <f t="shared" si="5"/>
        <v>Manholes</v>
      </c>
      <c r="D46" s="80">
        <f>'Input data'!F11</f>
        <v>9.43</v>
      </c>
      <c r="E46" s="80">
        <f>'Input data'!G11</f>
        <v>10.63</v>
      </c>
      <c r="F46" s="80">
        <f>'Input data'!H11</f>
        <v>11.29</v>
      </c>
      <c r="G46" s="80">
        <f>'Input data'!I11</f>
        <v>11.73</v>
      </c>
      <c r="H46" s="56"/>
      <c r="I46" s="56"/>
      <c r="J46" s="56"/>
      <c r="K46" s="56"/>
      <c r="L46" s="56"/>
    </row>
    <row r="47" spans="2:15" s="28" customFormat="1" ht="13.15" x14ac:dyDescent="0.4">
      <c r="C47" s="56"/>
      <c r="D47" s="56"/>
      <c r="E47" s="56"/>
      <c r="F47" s="56"/>
      <c r="G47" s="56"/>
      <c r="H47" s="56"/>
      <c r="I47" s="56"/>
      <c r="J47" s="56"/>
      <c r="K47" s="56"/>
      <c r="L47" s="56"/>
      <c r="M47" s="56"/>
    </row>
    <row r="48" spans="2:15" s="28" customFormat="1" ht="13.15" x14ac:dyDescent="0.4">
      <c r="B48" s="28" t="s">
        <v>214</v>
      </c>
      <c r="C48" s="56"/>
      <c r="D48" s="18" t="str">
        <f t="shared" ref="D48:L48" si="6">D32</f>
        <v>2022/23</v>
      </c>
      <c r="E48" s="18" t="str">
        <f t="shared" si="6"/>
        <v>2023/24</v>
      </c>
      <c r="F48" s="18" t="str">
        <f t="shared" si="6"/>
        <v>2024/25</v>
      </c>
      <c r="G48" s="18" t="str">
        <f t="shared" si="6"/>
        <v>2025/26</v>
      </c>
      <c r="H48" s="18" t="str">
        <f t="shared" si="6"/>
        <v>2026/27</v>
      </c>
      <c r="I48" s="18" t="str">
        <f t="shared" si="6"/>
        <v>2027/28</v>
      </c>
      <c r="J48" s="18" t="str">
        <f t="shared" si="6"/>
        <v>2028/29</v>
      </c>
      <c r="K48" s="18" t="str">
        <f t="shared" si="6"/>
        <v>2029/30</v>
      </c>
      <c r="L48" s="18" t="str">
        <f t="shared" si="6"/>
        <v>2030/31</v>
      </c>
      <c r="M48" s="120"/>
    </row>
    <row r="49" spans="1:15" s="28" customFormat="1" ht="13.15" x14ac:dyDescent="0.4">
      <c r="C49" s="56" t="str">
        <f t="shared" ref="C49:C54" si="7">C33</f>
        <v>Lead-in duct</v>
      </c>
      <c r="D49" s="125">
        <f>'Input data'!$D22</f>
        <v>10.51</v>
      </c>
      <c r="E49" s="125">
        <f>'Input data'!$D22</f>
        <v>10.51</v>
      </c>
      <c r="F49" s="125">
        <f>'Input data'!$D22</f>
        <v>10.51</v>
      </c>
      <c r="G49" s="125">
        <f>'Input data'!$D22</f>
        <v>10.51</v>
      </c>
      <c r="H49" s="125">
        <f>'Input data'!$D22</f>
        <v>10.51</v>
      </c>
      <c r="I49" s="125">
        <f>'Input data'!$D22</f>
        <v>10.51</v>
      </c>
      <c r="J49" s="125">
        <f>'Input data'!$D22</f>
        <v>10.51</v>
      </c>
      <c r="K49" s="125">
        <f>'Input data'!$D22</f>
        <v>10.51</v>
      </c>
      <c r="L49" s="125">
        <f>'Input data'!$D22</f>
        <v>10.51</v>
      </c>
      <c r="M49" s="120"/>
      <c r="O49" s="48" t="s">
        <v>215</v>
      </c>
    </row>
    <row r="50" spans="1:15" s="28" customFormat="1" ht="13.15" x14ac:dyDescent="0.4">
      <c r="C50" s="56" t="str">
        <f t="shared" si="7"/>
        <v>Spine duct – single bore</v>
      </c>
      <c r="D50" s="125">
        <f>'Input data'!$D23</f>
        <v>8.69</v>
      </c>
      <c r="E50" s="125">
        <f>'Input data'!$D23</f>
        <v>8.69</v>
      </c>
      <c r="F50" s="125">
        <f>'Input data'!$D23</f>
        <v>8.69</v>
      </c>
      <c r="G50" s="125">
        <f>'Input data'!$D23</f>
        <v>8.69</v>
      </c>
      <c r="H50" s="125">
        <f>'Input data'!$D23</f>
        <v>8.69</v>
      </c>
      <c r="I50" s="125">
        <f>'Input data'!$D23</f>
        <v>8.69</v>
      </c>
      <c r="J50" s="125">
        <f>'Input data'!$D23</f>
        <v>8.69</v>
      </c>
      <c r="K50" s="125">
        <f>'Input data'!$D23</f>
        <v>8.69</v>
      </c>
      <c r="L50" s="125">
        <f>'Input data'!$D23</f>
        <v>8.69</v>
      </c>
      <c r="O50" s="48" t="s">
        <v>215</v>
      </c>
    </row>
    <row r="51" spans="1:15" s="28" customFormat="1" ht="13.15" x14ac:dyDescent="0.4">
      <c r="C51" s="56" t="str">
        <f t="shared" si="7"/>
        <v>Spine duct – 2 bores</v>
      </c>
      <c r="D51" s="275"/>
      <c r="E51" s="275"/>
      <c r="F51" s="275"/>
      <c r="G51" s="275"/>
      <c r="H51" s="275"/>
      <c r="I51" s="275"/>
      <c r="J51" s="275"/>
      <c r="K51" s="275"/>
      <c r="L51" s="275"/>
      <c r="O51" s="48" t="s">
        <v>216</v>
      </c>
    </row>
    <row r="52" spans="1:15" s="28" customFormat="1" ht="13.15" x14ac:dyDescent="0.4">
      <c r="C52" s="56" t="str">
        <f t="shared" si="7"/>
        <v>Spine duct – 3+ bores</v>
      </c>
      <c r="D52" s="275"/>
      <c r="E52" s="275"/>
      <c r="F52" s="275"/>
      <c r="G52" s="275"/>
      <c r="H52" s="275"/>
      <c r="I52" s="275"/>
      <c r="J52" s="275"/>
      <c r="K52" s="275"/>
      <c r="L52" s="275"/>
      <c r="O52" s="48" t="s">
        <v>216</v>
      </c>
    </row>
    <row r="53" spans="1:15" s="28" customFormat="1" ht="13.15" x14ac:dyDescent="0.4">
      <c r="C53" s="56" t="str">
        <f t="shared" si="7"/>
        <v>Joint boxes</v>
      </c>
      <c r="D53" s="125">
        <f>'Input data'!$D24</f>
        <v>0.45333333333333337</v>
      </c>
      <c r="E53" s="125">
        <f>'Input data'!$D24</f>
        <v>0.45333333333333337</v>
      </c>
      <c r="F53" s="125">
        <f>'Input data'!$D24</f>
        <v>0.45333333333333337</v>
      </c>
      <c r="G53" s="125">
        <f>'Input data'!$D24</f>
        <v>0.45333333333333337</v>
      </c>
      <c r="H53" s="125">
        <f>'Input data'!$D24</f>
        <v>0.45333333333333337</v>
      </c>
      <c r="I53" s="125">
        <f>'Input data'!$D24</f>
        <v>0.45333333333333337</v>
      </c>
      <c r="J53" s="125">
        <f>'Input data'!$D24</f>
        <v>0.45333333333333337</v>
      </c>
      <c r="K53" s="125">
        <f>'Input data'!$D24</f>
        <v>0.45333333333333337</v>
      </c>
      <c r="L53" s="125">
        <f>'Input data'!$D24</f>
        <v>0.45333333333333337</v>
      </c>
      <c r="O53" s="48" t="s">
        <v>215</v>
      </c>
    </row>
    <row r="54" spans="1:15" s="28" customFormat="1" ht="13.15" x14ac:dyDescent="0.4">
      <c r="C54" s="56" t="str">
        <f t="shared" si="7"/>
        <v>Manholes</v>
      </c>
      <c r="D54" s="275"/>
      <c r="E54" s="275"/>
      <c r="F54" s="275"/>
      <c r="G54" s="275"/>
      <c r="H54" s="275"/>
      <c r="I54" s="275"/>
      <c r="J54" s="275"/>
      <c r="K54" s="275"/>
      <c r="L54" s="275"/>
      <c r="O54" s="48" t="s">
        <v>216</v>
      </c>
    </row>
    <row r="55" spans="1:15" s="28" customFormat="1" ht="13.15" x14ac:dyDescent="0.4">
      <c r="C55" s="56"/>
      <c r="D55" s="121"/>
      <c r="E55" s="56"/>
      <c r="F55" s="56"/>
      <c r="G55" s="122"/>
      <c r="H55" s="122"/>
      <c r="I55" s="122"/>
      <c r="J55" s="122"/>
    </row>
    <row r="56" spans="1:15" s="28" customFormat="1" ht="13.15" x14ac:dyDescent="0.4">
      <c r="B56" s="28" t="s">
        <v>217</v>
      </c>
      <c r="C56" s="56"/>
      <c r="D56" s="121"/>
      <c r="E56" s="56"/>
      <c r="F56" s="56"/>
      <c r="G56" s="122"/>
      <c r="H56" s="122"/>
      <c r="I56" s="122"/>
      <c r="J56" s="122"/>
    </row>
    <row r="57" spans="1:15" s="28" customFormat="1" x14ac:dyDescent="0.45">
      <c r="C57" s="56" t="str">
        <f t="shared" ref="C57:C62" si="8">C33</f>
        <v>Lead-in duct</v>
      </c>
      <c r="D57" s="376" cm="1">
        <f t="array" ref="D57:L57">1-Leadin_discount</f>
        <v>0.9</v>
      </c>
      <c r="E57" s="376">
        <v>0.9</v>
      </c>
      <c r="F57" s="376">
        <v>0.9</v>
      </c>
      <c r="G57" s="376">
        <v>0.9</v>
      </c>
      <c r="H57" s="376">
        <v>0.81200000000000006</v>
      </c>
      <c r="I57" s="376">
        <v>0.72399999999999998</v>
      </c>
      <c r="J57" s="376">
        <v>0.63600000000000001</v>
      </c>
      <c r="K57" s="376">
        <v>0.54800000000000004</v>
      </c>
      <c r="L57" s="376">
        <v>0.45999999999999996</v>
      </c>
    </row>
    <row r="58" spans="1:15" s="28" customFormat="1" x14ac:dyDescent="0.45">
      <c r="C58" s="56" t="str">
        <f t="shared" si="8"/>
        <v>Spine duct – single bore</v>
      </c>
      <c r="D58" s="377">
        <v>1</v>
      </c>
      <c r="E58" s="377">
        <v>1</v>
      </c>
      <c r="F58" s="377">
        <v>1</v>
      </c>
      <c r="G58" s="377">
        <v>1</v>
      </c>
      <c r="H58" s="377">
        <v>1</v>
      </c>
      <c r="I58" s="377">
        <v>1</v>
      </c>
      <c r="J58" s="377">
        <v>1</v>
      </c>
      <c r="K58" s="377">
        <v>1</v>
      </c>
      <c r="L58" s="377">
        <v>1</v>
      </c>
      <c r="O58" s="48" t="s">
        <v>218</v>
      </c>
    </row>
    <row r="59" spans="1:15" s="28" customFormat="1" ht="13.15" x14ac:dyDescent="0.4">
      <c r="C59" s="56" t="str">
        <f t="shared" si="8"/>
        <v>Spine duct – 2 bores</v>
      </c>
      <c r="D59" s="275"/>
      <c r="E59" s="275"/>
      <c r="F59" s="275"/>
      <c r="G59" s="275"/>
      <c r="H59" s="275"/>
      <c r="I59" s="275"/>
      <c r="J59" s="275"/>
      <c r="K59" s="275"/>
      <c r="L59" s="275"/>
    </row>
    <row r="60" spans="1:15" s="28" customFormat="1" ht="13.15" x14ac:dyDescent="0.4">
      <c r="C60" s="56" t="str">
        <f t="shared" si="8"/>
        <v>Spine duct – 3+ bores</v>
      </c>
      <c r="D60" s="275"/>
      <c r="E60" s="275"/>
      <c r="F60" s="275"/>
      <c r="G60" s="275"/>
      <c r="H60" s="275"/>
      <c r="I60" s="275"/>
      <c r="J60" s="275"/>
      <c r="K60" s="275"/>
      <c r="L60" s="275"/>
    </row>
    <row r="61" spans="1:15" s="28" customFormat="1" x14ac:dyDescent="0.45">
      <c r="C61" s="56" t="str">
        <f t="shared" si="8"/>
        <v>Joint boxes</v>
      </c>
      <c r="D61" s="377">
        <v>1</v>
      </c>
      <c r="E61" s="377">
        <v>1</v>
      </c>
      <c r="F61" s="377">
        <v>1</v>
      </c>
      <c r="G61" s="377">
        <v>1</v>
      </c>
      <c r="H61" s="377">
        <v>1</v>
      </c>
      <c r="I61" s="377">
        <v>1</v>
      </c>
      <c r="J61" s="377">
        <v>1</v>
      </c>
      <c r="K61" s="377">
        <v>1</v>
      </c>
      <c r="L61" s="377">
        <v>1</v>
      </c>
      <c r="O61" s="48"/>
    </row>
    <row r="62" spans="1:15" s="28" customFormat="1" ht="13.15" x14ac:dyDescent="0.4">
      <c r="C62" s="56" t="str">
        <f t="shared" si="8"/>
        <v>Manholes</v>
      </c>
      <c r="D62" s="275"/>
      <c r="E62" s="275"/>
      <c r="F62" s="275"/>
      <c r="G62" s="275"/>
      <c r="H62" s="275"/>
      <c r="I62" s="275"/>
      <c r="J62" s="275"/>
      <c r="K62" s="275"/>
      <c r="L62" s="275"/>
    </row>
    <row r="63" spans="1:15" s="28" customFormat="1" ht="13.15" x14ac:dyDescent="0.4">
      <c r="C63" s="56"/>
      <c r="D63" s="121"/>
      <c r="E63" s="56"/>
      <c r="F63" s="120"/>
      <c r="G63" s="122"/>
      <c r="H63" s="122"/>
      <c r="I63" s="122"/>
      <c r="J63" s="122"/>
    </row>
    <row r="64" spans="1:15" ht="15.75" x14ac:dyDescent="0.5">
      <c r="A64" s="8" t="s">
        <v>219</v>
      </c>
      <c r="D64" s="18" t="s">
        <v>92</v>
      </c>
      <c r="E64" s="18" t="s">
        <v>93</v>
      </c>
      <c r="F64" s="18" t="s">
        <v>51</v>
      </c>
      <c r="G64" s="18" t="s">
        <v>138</v>
      </c>
      <c r="H64" s="18" t="s">
        <v>139</v>
      </c>
      <c r="I64" s="18" t="s">
        <v>140</v>
      </c>
      <c r="J64" s="18" t="s">
        <v>141</v>
      </c>
      <c r="K64" s="18" t="s">
        <v>142</v>
      </c>
      <c r="L64" s="18" t="s">
        <v>143</v>
      </c>
    </row>
    <row r="65" spans="2:16" ht="7.5" customHeight="1" x14ac:dyDescent="0.45"/>
    <row r="66" spans="2:16" s="28" customFormat="1" x14ac:dyDescent="0.45">
      <c r="B66" s="28" t="s">
        <v>220</v>
      </c>
      <c r="C66" s="56" t="str">
        <f t="shared" ref="C66:C71" si="9">C33</f>
        <v>Lead-in duct</v>
      </c>
      <c r="D66" s="51">
        <f t="shared" ref="D66:K66" si="10">D5+D14*D$30</f>
        <v>10.548901249787939</v>
      </c>
      <c r="E66" s="51">
        <f t="shared" si="10"/>
        <v>72.041155492998215</v>
      </c>
      <c r="F66" s="51">
        <f t="shared" si="10"/>
        <v>84.117568533909292</v>
      </c>
      <c r="G66" s="51">
        <f t="shared" si="10"/>
        <v>71.148057321217763</v>
      </c>
      <c r="H66" s="51">
        <f t="shared" si="10"/>
        <v>87.94074772971689</v>
      </c>
      <c r="I66" s="51">
        <f t="shared" si="10"/>
        <v>90.366887327547559</v>
      </c>
      <c r="J66" s="51">
        <f t="shared" si="10"/>
        <v>92.33519999229631</v>
      </c>
      <c r="K66" s="51">
        <f t="shared" si="10"/>
        <v>94.092991949891342</v>
      </c>
      <c r="L66" s="51">
        <f>L5+L14*L$30</f>
        <v>95.896548296523733</v>
      </c>
      <c r="N66"/>
      <c r="P66"/>
    </row>
    <row r="67" spans="2:16" s="28" customFormat="1" x14ac:dyDescent="0.45">
      <c r="C67" s="56" t="str">
        <f t="shared" si="9"/>
        <v>Spine duct – single bore</v>
      </c>
      <c r="D67" s="51">
        <f t="shared" ref="D67:L67" si="11">D6+D15*D$30</f>
        <v>42.841571830591192</v>
      </c>
      <c r="E67" s="51">
        <f t="shared" si="11"/>
        <v>281.80076981948986</v>
      </c>
      <c r="F67" s="51">
        <f t="shared" si="11"/>
        <v>363.37348205487831</v>
      </c>
      <c r="G67" s="51">
        <f t="shared" si="11"/>
        <v>312.66176420614801</v>
      </c>
      <c r="H67" s="51">
        <f t="shared" si="11"/>
        <v>392.30922911744068</v>
      </c>
      <c r="I67" s="51">
        <f t="shared" si="11"/>
        <v>406.0595686391307</v>
      </c>
      <c r="J67" s="51">
        <f t="shared" si="11"/>
        <v>417.28595270540666</v>
      </c>
      <c r="K67" s="51">
        <f t="shared" si="11"/>
        <v>427.39224674271986</v>
      </c>
      <c r="L67" s="51">
        <f t="shared" si="11"/>
        <v>437.797074691592</v>
      </c>
      <c r="N67"/>
      <c r="P67"/>
    </row>
    <row r="68" spans="2:16" s="28" customFormat="1" x14ac:dyDescent="0.45">
      <c r="C68" s="56" t="str">
        <f t="shared" si="9"/>
        <v>Spine duct – 2 bores</v>
      </c>
      <c r="D68" s="51">
        <f t="shared" ref="D68:L68" si="12">D7+D16*D$30</f>
        <v>11.03164007823375</v>
      </c>
      <c r="E68" s="51">
        <f t="shared" si="12"/>
        <v>72.671243242554283</v>
      </c>
      <c r="F68" s="51">
        <f t="shared" si="12"/>
        <v>84.142098883567712</v>
      </c>
      <c r="G68" s="51">
        <f t="shared" si="12"/>
        <v>70.603732694377101</v>
      </c>
      <c r="H68" s="51">
        <f t="shared" si="12"/>
        <v>86.629460217978874</v>
      </c>
      <c r="I68" s="51">
        <f t="shared" si="12"/>
        <v>88.663840351673031</v>
      </c>
      <c r="J68" s="51">
        <f t="shared" si="12"/>
        <v>90.295450838892606</v>
      </c>
      <c r="K68" s="51">
        <f t="shared" si="12"/>
        <v>91.720410639472746</v>
      </c>
      <c r="L68" s="51">
        <f t="shared" si="12"/>
        <v>93.171308657775995</v>
      </c>
      <c r="N68"/>
      <c r="P68"/>
    </row>
    <row r="69" spans="2:16" s="28" customFormat="1" x14ac:dyDescent="0.45">
      <c r="C69" s="56" t="str">
        <f t="shared" si="9"/>
        <v>Spine duct – 3+ bores</v>
      </c>
      <c r="D69" s="51">
        <f t="shared" ref="D69:L69" si="13">D8+D17*D$30</f>
        <v>18.092598983912154</v>
      </c>
      <c r="E69" s="51">
        <f t="shared" si="13"/>
        <v>107.24597687583116</v>
      </c>
      <c r="F69" s="51">
        <f t="shared" si="13"/>
        <v>114.55682145719526</v>
      </c>
      <c r="G69" s="51">
        <f t="shared" si="13"/>
        <v>93.204733589687265</v>
      </c>
      <c r="H69" s="51">
        <f t="shared" si="13"/>
        <v>111.13070925982674</v>
      </c>
      <c r="I69" s="51">
        <f t="shared" si="13"/>
        <v>112.13627654439026</v>
      </c>
      <c r="J69" s="51">
        <f t="shared" si="13"/>
        <v>112.89559229612777</v>
      </c>
      <c r="K69" s="51">
        <f t="shared" si="13"/>
        <v>113.50277832806523</v>
      </c>
      <c r="L69" s="51">
        <f t="shared" si="13"/>
        <v>114.09648342186205</v>
      </c>
      <c r="N69"/>
      <c r="P69"/>
    </row>
    <row r="70" spans="2:16" s="28" customFormat="1" x14ac:dyDescent="0.45">
      <c r="C70" s="56" t="str">
        <f t="shared" si="9"/>
        <v>Joint boxes</v>
      </c>
      <c r="D70" s="51">
        <f t="shared" ref="D70:L70" si="14">D9+D18*D$30</f>
        <v>20.448073135088393</v>
      </c>
      <c r="E70" s="51">
        <f t="shared" si="14"/>
        <v>117.48707804930304</v>
      </c>
      <c r="F70" s="51">
        <f t="shared" si="14"/>
        <v>138.5071708819367</v>
      </c>
      <c r="G70" s="51">
        <f>G9+G18*G$30</f>
        <v>114.2999793351748</v>
      </c>
      <c r="H70" s="51">
        <f t="shared" si="14"/>
        <v>138.13621079984978</v>
      </c>
      <c r="I70" s="51">
        <f t="shared" si="14"/>
        <v>140.38148528934283</v>
      </c>
      <c r="J70" s="51">
        <f t="shared" si="14"/>
        <v>142.17219741319678</v>
      </c>
      <c r="K70" s="51">
        <f t="shared" si="14"/>
        <v>143.72207188675807</v>
      </c>
      <c r="L70" s="51">
        <f t="shared" si="14"/>
        <v>145.29296681766328</v>
      </c>
      <c r="N70"/>
      <c r="P70"/>
    </row>
    <row r="71" spans="2:16" s="28" customFormat="1" x14ac:dyDescent="0.45">
      <c r="C71" s="57" t="str">
        <f t="shared" si="9"/>
        <v>Manholes</v>
      </c>
      <c r="D71" s="54">
        <f t="shared" ref="D71:L71" si="15">D10+D19*D$30</f>
        <v>13.487300767035535</v>
      </c>
      <c r="E71" s="54">
        <f t="shared" si="15"/>
        <v>82.785656920133832</v>
      </c>
      <c r="F71" s="54">
        <f t="shared" si="15"/>
        <v>103.11865186242748</v>
      </c>
      <c r="G71" s="54">
        <f t="shared" si="15"/>
        <v>86.747719784220692</v>
      </c>
      <c r="H71" s="54">
        <f t="shared" si="15"/>
        <v>106.68182633066772</v>
      </c>
      <c r="I71" s="54">
        <f t="shared" si="15"/>
        <v>109.30755833811274</v>
      </c>
      <c r="J71" s="54">
        <f t="shared" si="15"/>
        <v>111.41651127124321</v>
      </c>
      <c r="K71" s="54">
        <f t="shared" si="15"/>
        <v>113.26227570272401</v>
      </c>
      <c r="L71" s="54">
        <f t="shared" si="15"/>
        <v>115.14335984689407</v>
      </c>
      <c r="N71"/>
      <c r="P71"/>
    </row>
    <row r="72" spans="2:16" s="28" customFormat="1" x14ac:dyDescent="0.45">
      <c r="C72" s="56" t="s">
        <v>159</v>
      </c>
      <c r="D72" s="51">
        <f>SUM(D66:D71)</f>
        <v>116.45008604464897</v>
      </c>
      <c r="E72" s="51">
        <f t="shared" ref="E72:J72" si="16">SUM(E66:E71)</f>
        <v>734.03188040031046</v>
      </c>
      <c r="F72" s="51">
        <f t="shared" si="16"/>
        <v>887.81579367391487</v>
      </c>
      <c r="G72" s="51">
        <f t="shared" si="16"/>
        <v>748.66598693082574</v>
      </c>
      <c r="H72" s="51">
        <f t="shared" si="16"/>
        <v>922.82818345548071</v>
      </c>
      <c r="I72" s="51">
        <f t="shared" si="16"/>
        <v>946.91561649019707</v>
      </c>
      <c r="J72" s="51">
        <f t="shared" si="16"/>
        <v>966.40090451716344</v>
      </c>
      <c r="K72" s="51">
        <f t="shared" ref="K72:L72" si="17">SUM(K66:K71)</f>
        <v>983.69277524963127</v>
      </c>
      <c r="L72" s="51">
        <f t="shared" si="17"/>
        <v>1001.397741732311</v>
      </c>
      <c r="N72"/>
      <c r="P72"/>
    </row>
    <row r="73" spans="2:16" s="28" customFormat="1" x14ac:dyDescent="0.45">
      <c r="C73" s="56"/>
      <c r="D73" s="268" t="b">
        <f t="shared" ref="D73:L73" si="18">IF(ABS(SUM(D66:D71)-(D11+D20*D30))&lt;0.00001,TRUE,FALSE)</f>
        <v>1</v>
      </c>
      <c r="E73" s="268" t="b">
        <f t="shared" si="18"/>
        <v>1</v>
      </c>
      <c r="F73" s="268" t="b">
        <f t="shared" si="18"/>
        <v>1</v>
      </c>
      <c r="G73" s="268" t="b">
        <f t="shared" si="18"/>
        <v>1</v>
      </c>
      <c r="H73" s="268" t="b">
        <f t="shared" si="18"/>
        <v>1</v>
      </c>
      <c r="I73" s="268" t="b">
        <f t="shared" si="18"/>
        <v>1</v>
      </c>
      <c r="J73" s="268" t="b">
        <f t="shared" si="18"/>
        <v>1</v>
      </c>
      <c r="K73" s="268" t="b">
        <f t="shared" si="18"/>
        <v>1</v>
      </c>
      <c r="L73" s="268" t="b">
        <f t="shared" si="18"/>
        <v>1</v>
      </c>
      <c r="N73"/>
      <c r="P73"/>
    </row>
    <row r="74" spans="2:16" s="28" customFormat="1" ht="11.65" customHeight="1" x14ac:dyDescent="0.45">
      <c r="C74" s="56"/>
      <c r="D74" s="56"/>
      <c r="E74" s="56"/>
      <c r="F74" s="56"/>
      <c r="G74" s="56"/>
      <c r="H74" s="56"/>
      <c r="I74" s="56"/>
      <c r="J74" s="56"/>
      <c r="K74" s="56"/>
      <c r="L74" s="56"/>
      <c r="M74" s="74"/>
      <c r="N74"/>
      <c r="P74"/>
    </row>
    <row r="75" spans="2:16" s="28" customFormat="1" x14ac:dyDescent="0.45">
      <c r="B75" s="28" t="s">
        <v>221</v>
      </c>
      <c r="C75" s="56" t="str">
        <f t="shared" ref="C75:C80" si="19">C33</f>
        <v>Lead-in duct</v>
      </c>
      <c r="D75" s="75">
        <f t="shared" ref="D75:K75" si="20">D66*Thousand/D23</f>
        <v>9.7745466931280833E-2</v>
      </c>
      <c r="E75" s="75">
        <f t="shared" si="20"/>
        <v>0.65009259569540423</v>
      </c>
      <c r="F75" s="75">
        <f t="shared" si="20"/>
        <v>0.82419169955351801</v>
      </c>
      <c r="G75" s="75">
        <f t="shared" si="20"/>
        <v>0.69212639785750663</v>
      </c>
      <c r="H75" s="75">
        <f t="shared" si="20"/>
        <v>0.85090637904105326</v>
      </c>
      <c r="I75" s="75">
        <f t="shared" si="20"/>
        <v>0.8714026946890987</v>
      </c>
      <c r="J75" s="75">
        <f t="shared" si="20"/>
        <v>0.88789412399997514</v>
      </c>
      <c r="K75" s="75">
        <f t="shared" si="20"/>
        <v>0.90211176351873357</v>
      </c>
      <c r="L75" s="75">
        <f>L66*Thousand/L23</f>
        <v>0.91668272767188907</v>
      </c>
      <c r="M75" s="356">
        <f>L82/L57</f>
        <v>19.268340173549216</v>
      </c>
      <c r="N75"/>
      <c r="O75" s="48" t="s">
        <v>222</v>
      </c>
      <c r="P75"/>
    </row>
    <row r="76" spans="2:16" s="28" customFormat="1" x14ac:dyDescent="0.45">
      <c r="C76" s="56" t="str">
        <f t="shared" si="19"/>
        <v>Spine duct – single bore</v>
      </c>
      <c r="D76" s="281">
        <f t="shared" ref="D76:L76" si="21">D67*Thousand/D24</f>
        <v>0.15077442988425069</v>
      </c>
      <c r="E76" s="75">
        <f t="shared" si="21"/>
        <v>0.80201454217076329</v>
      </c>
      <c r="F76" s="75">
        <f t="shared" si="21"/>
        <v>0.85753249474435289</v>
      </c>
      <c r="G76" s="75">
        <f t="shared" si="21"/>
        <v>0.73257647972596895</v>
      </c>
      <c r="H76" s="75">
        <f t="shared" si="21"/>
        <v>0.91427318024825555</v>
      </c>
      <c r="I76" s="75">
        <f t="shared" si="21"/>
        <v>0.94309437323794154</v>
      </c>
      <c r="J76" s="75">
        <f t="shared" si="21"/>
        <v>0.96645910597944296</v>
      </c>
      <c r="K76" s="75">
        <f t="shared" si="21"/>
        <v>0.986928150463114</v>
      </c>
      <c r="L76" s="75">
        <f t="shared" si="21"/>
        <v>1.0079633884124326</v>
      </c>
      <c r="N76"/>
      <c r="O76" s="48" t="s">
        <v>222</v>
      </c>
      <c r="P76"/>
    </row>
    <row r="77" spans="2:16" s="28" customFormat="1" x14ac:dyDescent="0.45">
      <c r="C77" s="56" t="str">
        <f t="shared" si="19"/>
        <v>Spine duct – 2 bores</v>
      </c>
      <c r="D77" s="75">
        <f t="shared" ref="D77:L77" si="22">D68*Thousand/D25</f>
        <v>0.17798426768186013</v>
      </c>
      <c r="E77" s="75">
        <f t="shared" si="22"/>
        <v>1.2598260150907807</v>
      </c>
      <c r="F77" s="75">
        <f t="shared" si="22"/>
        <v>1.3383928130164251</v>
      </c>
      <c r="G77" s="75">
        <f t="shared" si="22"/>
        <v>1.1229904180053756</v>
      </c>
      <c r="H77" s="75">
        <f t="shared" si="22"/>
        <v>1.3778360033613442</v>
      </c>
      <c r="I77" s="75">
        <f t="shared" si="22"/>
        <v>1.4101444804510102</v>
      </c>
      <c r="J77" s="75">
        <f t="shared" si="22"/>
        <v>1.4360425346146177</v>
      </c>
      <c r="K77" s="75">
        <f t="shared" si="22"/>
        <v>1.4586532380865367</v>
      </c>
      <c r="L77" s="75">
        <f t="shared" si="22"/>
        <v>1.4816748295131124</v>
      </c>
      <c r="N77"/>
      <c r="O77" s="48" t="s">
        <v>222</v>
      </c>
      <c r="P77"/>
    </row>
    <row r="78" spans="2:16" s="28" customFormat="1" x14ac:dyDescent="0.45">
      <c r="C78" s="56" t="str">
        <f t="shared" si="19"/>
        <v>Spine duct – 3+ bores</v>
      </c>
      <c r="D78" s="75">
        <f t="shared" ref="D78:L78" si="23">D69*Thousand/D26</f>
        <v>0.29086048807431303</v>
      </c>
      <c r="E78" s="75">
        <f t="shared" si="23"/>
        <v>1.8326970972871066</v>
      </c>
      <c r="F78" s="75">
        <f t="shared" si="23"/>
        <v>2.1717236800378221</v>
      </c>
      <c r="G78" s="75">
        <f t="shared" si="23"/>
        <v>1.7669303339041795</v>
      </c>
      <c r="H78" s="75">
        <f t="shared" si="23"/>
        <v>2.1067518571830499</v>
      </c>
      <c r="I78" s="75">
        <f t="shared" si="23"/>
        <v>2.1258039259090835</v>
      </c>
      <c r="J78" s="75">
        <f t="shared" si="23"/>
        <v>2.1401867086793884</v>
      </c>
      <c r="K78" s="75">
        <f t="shared" si="23"/>
        <v>2.1516850359505293</v>
      </c>
      <c r="L78" s="75">
        <f t="shared" si="23"/>
        <v>2.1629276742644761</v>
      </c>
      <c r="N78"/>
      <c r="O78" s="48" t="s">
        <v>222</v>
      </c>
      <c r="P78"/>
    </row>
    <row r="79" spans="2:16" s="28" customFormat="1" x14ac:dyDescent="0.45">
      <c r="C79" s="56" t="str">
        <f t="shared" si="19"/>
        <v>Joint boxes</v>
      </c>
      <c r="D79" s="126">
        <f t="shared" ref="D79:K79" si="24">D70*Million/D27</f>
        <v>2.6474949613856764</v>
      </c>
      <c r="E79" s="126">
        <f t="shared" si="24"/>
        <v>17.30886480476067</v>
      </c>
      <c r="F79" s="126">
        <f t="shared" si="24"/>
        <v>19.995136979309617</v>
      </c>
      <c r="G79" s="126">
        <f t="shared" si="24"/>
        <v>16.407069874069499</v>
      </c>
      <c r="H79" s="126">
        <f t="shared" si="24"/>
        <v>19.742906203671179</v>
      </c>
      <c r="I79" s="126">
        <f t="shared" si="24"/>
        <v>20.000424426526077</v>
      </c>
      <c r="J79" s="126">
        <f t="shared" si="24"/>
        <v>20.198637554243881</v>
      </c>
      <c r="K79" s="126">
        <f t="shared" si="24"/>
        <v>20.361396606915893</v>
      </c>
      <c r="L79" s="126">
        <f>L70*Million/L27</f>
        <v>20.526212266991614</v>
      </c>
      <c r="N79"/>
      <c r="O79" s="48" t="s">
        <v>223</v>
      </c>
      <c r="P79"/>
    </row>
    <row r="80" spans="2:16" s="28" customFormat="1" x14ac:dyDescent="0.45">
      <c r="C80" s="56" t="str">
        <f t="shared" si="19"/>
        <v>Manholes</v>
      </c>
      <c r="D80" s="126">
        <f t="shared" ref="D80:L80" si="25">D71*Million/D28</f>
        <v>68.755135468695855</v>
      </c>
      <c r="E80" s="126">
        <f t="shared" si="25"/>
        <v>438.96302242111477</v>
      </c>
      <c r="F80" s="126">
        <f t="shared" si="25"/>
        <v>474.17485388386217</v>
      </c>
      <c r="G80" s="126">
        <f t="shared" si="25"/>
        <v>398.89570519519742</v>
      </c>
      <c r="H80" s="126">
        <f t="shared" si="25"/>
        <v>490.5595495943395</v>
      </c>
      <c r="I80" s="126">
        <f t="shared" si="25"/>
        <v>502.6335640280181</v>
      </c>
      <c r="J80" s="126">
        <f t="shared" si="25"/>
        <v>512.33125140904804</v>
      </c>
      <c r="K80" s="126">
        <f t="shared" si="25"/>
        <v>520.81870798255989</v>
      </c>
      <c r="L80" s="126">
        <f t="shared" si="25"/>
        <v>529.46857668327823</v>
      </c>
      <c r="N80"/>
      <c r="O80" s="48" t="s">
        <v>224</v>
      </c>
      <c r="P80"/>
    </row>
    <row r="81" spans="1:16" s="28" customFormat="1" ht="7.15" customHeight="1" x14ac:dyDescent="0.45">
      <c r="C81" s="56"/>
      <c r="D81" s="226"/>
      <c r="E81" s="226"/>
      <c r="F81" s="226"/>
      <c r="G81" s="226"/>
      <c r="H81" s="226"/>
      <c r="I81" s="226"/>
      <c r="J81" s="226"/>
      <c r="K81" s="226"/>
      <c r="L81" s="226"/>
      <c r="N81"/>
      <c r="O81"/>
      <c r="P81"/>
    </row>
    <row r="82" spans="1:16" s="28" customFormat="1" x14ac:dyDescent="0.45">
      <c r="B82" s="28" t="s">
        <v>225</v>
      </c>
      <c r="C82" s="56" t="str">
        <f t="shared" ref="C82:C87" si="26">C33</f>
        <v>Lead-in duct</v>
      </c>
      <c r="D82" s="277"/>
      <c r="E82" s="277"/>
      <c r="F82" s="277"/>
      <c r="G82" s="277"/>
      <c r="H82" s="63">
        <f>SUMPRODUCT(H75:H80,H33:H38,H49:H54,H57:H62)</f>
        <v>11.357931304111688</v>
      </c>
      <c r="I82" s="63">
        <f>SUMPRODUCT(I75:I80,I33:I38,I49:I54,I57:I62)</f>
        <v>10.831223466935874</v>
      </c>
      <c r="J82" s="63">
        <f>SUMPRODUCT(J75:J80,J33:J38,J49:J54,J57:J62)</f>
        <v>10.219365340210892</v>
      </c>
      <c r="K82" s="63">
        <f>SUMPRODUCT(K75:K80,K33:K38,K49:K54,K57:K62)</f>
        <v>9.5527738521972481</v>
      </c>
      <c r="L82" s="63">
        <f>SUMPRODUCT(L75:L80,L33:L38,L49:L54,L57:L62)</f>
        <v>8.8634364798326395</v>
      </c>
      <c r="N82"/>
      <c r="O82" s="48" t="s">
        <v>226</v>
      </c>
      <c r="P82"/>
    </row>
    <row r="83" spans="1:16" s="28" customFormat="1" x14ac:dyDescent="0.45">
      <c r="C83" s="56" t="str">
        <f t="shared" si="26"/>
        <v>Spine duct – single bore</v>
      </c>
      <c r="D83" s="277"/>
      <c r="E83" s="277"/>
      <c r="F83" s="277"/>
      <c r="G83" s="277"/>
      <c r="H83" s="63">
        <f t="shared" ref="H83:L87" si="27">H76*H34</f>
        <v>0.31687877269967946</v>
      </c>
      <c r="I83" s="63">
        <f t="shared" si="27"/>
        <v>0.32686793617905924</v>
      </c>
      <c r="J83" s="63">
        <f t="shared" si="27"/>
        <v>0.33496594014060238</v>
      </c>
      <c r="K83" s="63">
        <f t="shared" si="27"/>
        <v>0.34206032487642019</v>
      </c>
      <c r="L83" s="63">
        <f t="shared" si="27"/>
        <v>0.34935094712021808</v>
      </c>
      <c r="N83"/>
      <c r="O83"/>
      <c r="P83"/>
    </row>
    <row r="84" spans="1:16" s="28" customFormat="1" x14ac:dyDescent="0.45">
      <c r="C84" s="56" t="str">
        <f t="shared" si="26"/>
        <v>Spine duct – 2 bores</v>
      </c>
      <c r="D84" s="277"/>
      <c r="E84" s="277"/>
      <c r="F84" s="277"/>
      <c r="G84" s="277"/>
      <c r="H84" s="63">
        <f t="shared" si="27"/>
        <v>0.34445900084033604</v>
      </c>
      <c r="I84" s="63">
        <f t="shared" si="27"/>
        <v>0.35253612011275254</v>
      </c>
      <c r="J84" s="63">
        <f t="shared" si="27"/>
        <v>0.35901063365365443</v>
      </c>
      <c r="K84" s="63">
        <f t="shared" si="27"/>
        <v>0.36466330952163417</v>
      </c>
      <c r="L84" s="63">
        <f t="shared" si="27"/>
        <v>0.37041870737827809</v>
      </c>
      <c r="N84"/>
      <c r="O84"/>
      <c r="P84"/>
    </row>
    <row r="85" spans="1:16" s="28" customFormat="1" x14ac:dyDescent="0.45">
      <c r="C85" s="56" t="str">
        <f t="shared" si="26"/>
        <v>Spine duct – 3+ bores</v>
      </c>
      <c r="D85" s="277"/>
      <c r="E85" s="277"/>
      <c r="F85" s="277"/>
      <c r="G85" s="277"/>
      <c r="H85" s="63">
        <f t="shared" si="27"/>
        <v>0.21067518571830501</v>
      </c>
      <c r="I85" s="63">
        <f t="shared" si="27"/>
        <v>0.21258039259090836</v>
      </c>
      <c r="J85" s="63">
        <f t="shared" si="27"/>
        <v>0.21401867086793885</v>
      </c>
      <c r="K85" s="63">
        <f t="shared" si="27"/>
        <v>0.21516850359505293</v>
      </c>
      <c r="L85" s="63">
        <f t="shared" si="27"/>
        <v>0.21629276742644762</v>
      </c>
      <c r="N85"/>
      <c r="O85"/>
      <c r="P85"/>
    </row>
    <row r="86" spans="1:16" s="28" customFormat="1" x14ac:dyDescent="0.45">
      <c r="C86" s="56" t="str">
        <f t="shared" si="26"/>
        <v>Joint boxes</v>
      </c>
      <c r="D86" s="277"/>
      <c r="E86" s="277"/>
      <c r="F86" s="277"/>
      <c r="G86" s="277"/>
      <c r="H86" s="63">
        <f t="shared" si="27"/>
        <v>2.9614359305506768</v>
      </c>
      <c r="I86" s="63">
        <f t="shared" si="27"/>
        <v>3.0000636639789113</v>
      </c>
      <c r="J86" s="63">
        <f t="shared" si="27"/>
        <v>3.0297956331365818</v>
      </c>
      <c r="K86" s="63">
        <f t="shared" si="27"/>
        <v>3.0542094910373838</v>
      </c>
      <c r="L86" s="63">
        <f t="shared" si="27"/>
        <v>3.078931840048742</v>
      </c>
      <c r="N86"/>
      <c r="O86"/>
      <c r="P86"/>
    </row>
    <row r="87" spans="1:16" s="28" customFormat="1" x14ac:dyDescent="0.45">
      <c r="C87" s="56" t="str">
        <f t="shared" si="26"/>
        <v>Manholes</v>
      </c>
      <c r="D87" s="277"/>
      <c r="E87" s="277"/>
      <c r="F87" s="277"/>
      <c r="G87" s="277"/>
      <c r="H87" s="63">
        <f t="shared" si="27"/>
        <v>16.188465136613203</v>
      </c>
      <c r="I87" s="63">
        <f t="shared" si="27"/>
        <v>16.586907612924598</v>
      </c>
      <c r="J87" s="63">
        <f t="shared" si="27"/>
        <v>16.906931296498588</v>
      </c>
      <c r="K87" s="63">
        <f t="shared" si="27"/>
        <v>17.187017363424477</v>
      </c>
      <c r="L87" s="63">
        <f t="shared" si="27"/>
        <v>17.472463030548184</v>
      </c>
      <c r="N87"/>
      <c r="O87"/>
      <c r="P87"/>
    </row>
    <row r="88" spans="1:16" s="28" customFormat="1" ht="11.65" customHeight="1" x14ac:dyDescent="0.45">
      <c r="C88" s="56"/>
      <c r="N88"/>
      <c r="O88"/>
      <c r="P88"/>
    </row>
    <row r="89" spans="1:16" s="28" customFormat="1" x14ac:dyDescent="0.45">
      <c r="B89" s="28" t="s">
        <v>227</v>
      </c>
      <c r="C89" s="56" t="str">
        <f t="shared" ref="C89:C94" si="28">C33</f>
        <v>Lead-in duct</v>
      </c>
      <c r="D89" s="278"/>
      <c r="E89" s="278"/>
      <c r="F89" s="278"/>
      <c r="G89" s="278"/>
      <c r="H89" s="124">
        <f>ROUND(H82,2)</f>
        <v>11.36</v>
      </c>
      <c r="I89" s="124">
        <f t="shared" ref="I89" si="29">ROUND(I82,2)</f>
        <v>10.83</v>
      </c>
      <c r="J89" s="124">
        <f>ROUND(J82,2)</f>
        <v>10.220000000000001</v>
      </c>
      <c r="K89" s="124">
        <f t="shared" ref="K89" si="30">ROUND(K82,2)</f>
        <v>9.5500000000000007</v>
      </c>
      <c r="L89" s="124">
        <f>ROUND(L82,2)</f>
        <v>8.86</v>
      </c>
      <c r="M89" s="124"/>
      <c r="N89"/>
      <c r="O89"/>
      <c r="P89"/>
    </row>
    <row r="90" spans="1:16" s="28" customFormat="1" x14ac:dyDescent="0.45">
      <c r="B90" s="28" t="s">
        <v>228</v>
      </c>
      <c r="C90" s="56" t="str">
        <f t="shared" si="28"/>
        <v>Spine duct – single bore</v>
      </c>
      <c r="D90" s="278"/>
      <c r="E90" s="278"/>
      <c r="F90" s="278"/>
      <c r="G90" s="278"/>
      <c r="H90" s="124">
        <f t="shared" ref="H90:J90" si="31">ROUND(H83,2)</f>
        <v>0.32</v>
      </c>
      <c r="I90" s="124">
        <f t="shared" si="31"/>
        <v>0.33</v>
      </c>
      <c r="J90" s="124">
        <f t="shared" si="31"/>
        <v>0.33</v>
      </c>
      <c r="K90" s="124">
        <f t="shared" ref="K90:L90" si="32">ROUND(K83,2)</f>
        <v>0.34</v>
      </c>
      <c r="L90" s="124">
        <f t="shared" si="32"/>
        <v>0.35</v>
      </c>
      <c r="N90"/>
      <c r="O90"/>
      <c r="P90"/>
    </row>
    <row r="91" spans="1:16" s="28" customFormat="1" x14ac:dyDescent="0.45">
      <c r="C91" s="56" t="str">
        <f t="shared" si="28"/>
        <v>Spine duct – 2 bores</v>
      </c>
      <c r="D91" s="278"/>
      <c r="E91" s="278"/>
      <c r="F91" s="278"/>
      <c r="G91" s="278"/>
      <c r="H91" s="124">
        <f t="shared" ref="H91:J91" si="33">ROUND(H84,2)</f>
        <v>0.34</v>
      </c>
      <c r="I91" s="124">
        <f t="shared" si="33"/>
        <v>0.35</v>
      </c>
      <c r="J91" s="124">
        <f t="shared" si="33"/>
        <v>0.36</v>
      </c>
      <c r="K91" s="124">
        <f t="shared" ref="K91:L91" si="34">ROUND(K84,2)</f>
        <v>0.36</v>
      </c>
      <c r="L91" s="124">
        <f t="shared" si="34"/>
        <v>0.37</v>
      </c>
      <c r="N91"/>
      <c r="O91"/>
      <c r="P91"/>
    </row>
    <row r="92" spans="1:16" s="28" customFormat="1" x14ac:dyDescent="0.45">
      <c r="C92" s="56" t="str">
        <f t="shared" si="28"/>
        <v>Spine duct – 3+ bores</v>
      </c>
      <c r="D92" s="278"/>
      <c r="E92" s="278"/>
      <c r="F92" s="278"/>
      <c r="G92" s="278"/>
      <c r="H92" s="124">
        <f t="shared" ref="H92:J92" si="35">ROUND(H85,2)</f>
        <v>0.21</v>
      </c>
      <c r="I92" s="124">
        <f t="shared" si="35"/>
        <v>0.21</v>
      </c>
      <c r="J92" s="124">
        <f t="shared" si="35"/>
        <v>0.21</v>
      </c>
      <c r="K92" s="124">
        <f t="shared" ref="K92:L92" si="36">ROUND(K85,2)</f>
        <v>0.22</v>
      </c>
      <c r="L92" s="124">
        <f t="shared" si="36"/>
        <v>0.22</v>
      </c>
      <c r="N92"/>
      <c r="O92"/>
      <c r="P92"/>
    </row>
    <row r="93" spans="1:16" s="28" customFormat="1" x14ac:dyDescent="0.45">
      <c r="C93" s="56" t="str">
        <f t="shared" si="28"/>
        <v>Joint boxes</v>
      </c>
      <c r="D93" s="278"/>
      <c r="E93" s="278"/>
      <c r="F93" s="278"/>
      <c r="G93" s="278"/>
      <c r="H93" s="124">
        <f t="shared" ref="H93:J93" si="37">ROUND(H86,2)</f>
        <v>2.96</v>
      </c>
      <c r="I93" s="124">
        <f t="shared" si="37"/>
        <v>3</v>
      </c>
      <c r="J93" s="124">
        <f t="shared" si="37"/>
        <v>3.03</v>
      </c>
      <c r="K93" s="124">
        <f t="shared" ref="K93:L93" si="38">ROUND(K86,2)</f>
        <v>3.05</v>
      </c>
      <c r="L93" s="124">
        <f t="shared" si="38"/>
        <v>3.08</v>
      </c>
      <c r="N93"/>
      <c r="O93"/>
      <c r="P93"/>
    </row>
    <row r="94" spans="1:16" s="28" customFormat="1" x14ac:dyDescent="0.45">
      <c r="C94" s="56" t="str">
        <f t="shared" si="28"/>
        <v>Manholes</v>
      </c>
      <c r="D94" s="278"/>
      <c r="E94" s="278"/>
      <c r="F94" s="278"/>
      <c r="G94" s="278"/>
      <c r="H94" s="124">
        <f t="shared" ref="H94:J94" si="39">ROUND(H87,2)</f>
        <v>16.190000000000001</v>
      </c>
      <c r="I94" s="124">
        <f t="shared" si="39"/>
        <v>16.59</v>
      </c>
      <c r="J94" s="124">
        <f t="shared" si="39"/>
        <v>16.91</v>
      </c>
      <c r="K94" s="124">
        <f t="shared" ref="K94:L94" si="40">ROUND(K87,2)</f>
        <v>17.190000000000001</v>
      </c>
      <c r="L94" s="124">
        <f t="shared" si="40"/>
        <v>17.47</v>
      </c>
      <c r="N94"/>
      <c r="O94"/>
      <c r="P94"/>
    </row>
    <row r="95" spans="1:16" ht="11.65" customHeight="1" x14ac:dyDescent="0.45"/>
    <row r="96" spans="1:16" ht="7.5" customHeight="1" thickBot="1" x14ac:dyDescent="0.5">
      <c r="A96" s="1"/>
      <c r="B96" s="1"/>
      <c r="C96" s="1"/>
      <c r="D96" s="1"/>
      <c r="E96" s="1"/>
      <c r="F96" s="1"/>
      <c r="G96" s="1"/>
      <c r="H96" s="1"/>
      <c r="I96" s="1"/>
      <c r="J96" s="1"/>
      <c r="K96" s="1"/>
      <c r="L96" s="1"/>
      <c r="M96" s="1"/>
      <c r="N96" s="1"/>
      <c r="O96" s="1"/>
      <c r="P96" s="1"/>
    </row>
    <row r="97" spans="1:16" ht="7.5" customHeight="1" x14ac:dyDescent="0.45"/>
    <row r="98" spans="1:16" s="28" customFormat="1" ht="15.75" x14ac:dyDescent="0.5">
      <c r="A98" s="8" t="s">
        <v>229</v>
      </c>
    </row>
    <row r="99" spans="1:16" s="28" customFormat="1" ht="15.75" x14ac:dyDescent="0.5">
      <c r="A99" s="8"/>
      <c r="D99" s="149">
        <v>44652</v>
      </c>
      <c r="E99" s="149">
        <v>45017</v>
      </c>
      <c r="F99" s="149">
        <v>45383</v>
      </c>
      <c r="G99" s="149">
        <v>45748</v>
      </c>
    </row>
    <row r="100" spans="1:16" s="28" customFormat="1" ht="13.15" x14ac:dyDescent="0.4">
      <c r="C100" s="56" t="str">
        <f t="shared" ref="C100:G105" si="41">C41</f>
        <v>Lead-in duct</v>
      </c>
      <c r="D100" s="131">
        <f t="shared" si="41"/>
        <v>9.94</v>
      </c>
      <c r="E100" s="131">
        <f t="shared" si="41"/>
        <v>11.09</v>
      </c>
      <c r="F100" s="131">
        <f t="shared" si="41"/>
        <v>11.64</v>
      </c>
      <c r="G100" s="132">
        <f t="shared" si="41"/>
        <v>11.96</v>
      </c>
    </row>
    <row r="101" spans="1:16" s="28" customFormat="1" ht="13.15" x14ac:dyDescent="0.4">
      <c r="C101" s="56" t="str">
        <f t="shared" si="41"/>
        <v>Spine duct – single bore</v>
      </c>
      <c r="D101" s="132">
        <f t="shared" si="41"/>
        <v>0.31</v>
      </c>
      <c r="E101" s="132">
        <f t="shared" si="41"/>
        <v>0.35</v>
      </c>
      <c r="F101" s="131">
        <f t="shared" si="41"/>
        <v>0.37</v>
      </c>
      <c r="G101" s="132">
        <f t="shared" si="41"/>
        <v>0.39</v>
      </c>
    </row>
    <row r="102" spans="1:16" s="28" customFormat="1" ht="13.15" x14ac:dyDescent="0.4">
      <c r="C102" s="56" t="str">
        <f t="shared" si="41"/>
        <v>Spine duct – 2 bores</v>
      </c>
      <c r="D102" s="132">
        <f t="shared" si="41"/>
        <v>0.2</v>
      </c>
      <c r="E102" s="132">
        <f t="shared" si="41"/>
        <v>0.24</v>
      </c>
      <c r="F102" s="131">
        <f t="shared" si="41"/>
        <v>0.26</v>
      </c>
      <c r="G102" s="132">
        <f t="shared" si="41"/>
        <v>0.28000000000000003</v>
      </c>
    </row>
    <row r="103" spans="1:16" s="28" customFormat="1" ht="13.15" x14ac:dyDescent="0.4">
      <c r="C103" s="56" t="str">
        <f t="shared" si="41"/>
        <v>Spine duct – 3+ bores</v>
      </c>
      <c r="D103" s="132">
        <f t="shared" si="41"/>
        <v>0.14000000000000001</v>
      </c>
      <c r="E103" s="132">
        <f t="shared" si="41"/>
        <v>0.16</v>
      </c>
      <c r="F103" s="131">
        <f t="shared" si="41"/>
        <v>0.18</v>
      </c>
      <c r="G103" s="132">
        <f t="shared" si="41"/>
        <v>0.19</v>
      </c>
    </row>
    <row r="104" spans="1:16" s="28" customFormat="1" ht="13.15" x14ac:dyDescent="0.4">
      <c r="C104" s="56" t="str">
        <f t="shared" si="41"/>
        <v>Joint boxes</v>
      </c>
      <c r="D104" s="71">
        <f t="shared" si="41"/>
        <v>2.2400000000000002</v>
      </c>
      <c r="E104" s="71">
        <f t="shared" si="41"/>
        <v>2.5099999999999998</v>
      </c>
      <c r="F104" s="131">
        <f t="shared" si="41"/>
        <v>2.65</v>
      </c>
      <c r="G104" s="132">
        <f t="shared" si="41"/>
        <v>2.75</v>
      </c>
      <c r="I104" s="69"/>
      <c r="J104" s="69"/>
      <c r="K104" s="69"/>
      <c r="L104" s="69"/>
      <c r="M104" s="128"/>
      <c r="O104" s="129"/>
    </row>
    <row r="105" spans="1:16" s="28" customFormat="1" ht="13.15" x14ac:dyDescent="0.4">
      <c r="C105" s="56" t="str">
        <f t="shared" si="41"/>
        <v>Manholes</v>
      </c>
      <c r="D105" s="71">
        <f t="shared" si="41"/>
        <v>9.43</v>
      </c>
      <c r="E105" s="71">
        <f t="shared" si="41"/>
        <v>10.63</v>
      </c>
      <c r="F105" s="131">
        <f t="shared" si="41"/>
        <v>11.29</v>
      </c>
      <c r="G105" s="132">
        <f t="shared" si="41"/>
        <v>11.73</v>
      </c>
      <c r="I105" s="69"/>
      <c r="J105" s="69"/>
      <c r="K105" s="69"/>
      <c r="L105" s="69"/>
      <c r="M105" s="128"/>
      <c r="O105" s="129"/>
    </row>
    <row r="106" spans="1:16" ht="7.5" customHeight="1" thickBot="1" x14ac:dyDescent="0.5">
      <c r="A106" s="1"/>
      <c r="B106" s="1"/>
      <c r="C106" s="1"/>
      <c r="D106" s="1"/>
      <c r="E106" s="1"/>
      <c r="F106" s="1"/>
      <c r="G106" s="1"/>
      <c r="H106" s="1"/>
      <c r="I106" s="1"/>
      <c r="J106" s="1"/>
      <c r="K106" s="1"/>
      <c r="L106" s="1"/>
      <c r="M106" s="1"/>
      <c r="N106" s="1"/>
      <c r="O106" s="1"/>
      <c r="P106" s="1"/>
    </row>
    <row r="107" spans="1:16" ht="7.5" customHeight="1" x14ac:dyDescent="0.45"/>
    <row r="108" spans="1:16" s="28" customFormat="1" ht="15.75" x14ac:dyDescent="0.5">
      <c r="A108" s="8" t="s">
        <v>230</v>
      </c>
      <c r="C108" s="66" t="s">
        <v>231</v>
      </c>
      <c r="D108" s="18" t="s">
        <v>92</v>
      </c>
      <c r="E108" s="18" t="s">
        <v>93</v>
      </c>
      <c r="F108" s="18" t="s">
        <v>51</v>
      </c>
      <c r="G108" s="18" t="s">
        <v>138</v>
      </c>
      <c r="H108" s="18" t="s">
        <v>139</v>
      </c>
      <c r="I108" s="18" t="s">
        <v>140</v>
      </c>
      <c r="J108" s="18" t="s">
        <v>141</v>
      </c>
      <c r="K108" s="18" t="s">
        <v>142</v>
      </c>
      <c r="L108" s="18" t="s">
        <v>143</v>
      </c>
    </row>
    <row r="109" spans="1:16" s="28" customFormat="1" ht="13.15" x14ac:dyDescent="0.4">
      <c r="C109" s="56" t="str">
        <f>C100</f>
        <v>Lead-in duct</v>
      </c>
      <c r="D109" s="276"/>
      <c r="E109" s="276"/>
      <c r="F109" s="276"/>
      <c r="G109" s="276"/>
      <c r="H109" s="71">
        <f t="shared" ref="H109:H114" si="42">H89</f>
        <v>11.36</v>
      </c>
      <c r="I109" s="71">
        <f t="shared" ref="I109:L109" si="43">I89</f>
        <v>10.83</v>
      </c>
      <c r="J109" s="71">
        <f t="shared" si="43"/>
        <v>10.220000000000001</v>
      </c>
      <c r="K109" s="71">
        <f>K89</f>
        <v>9.5500000000000007</v>
      </c>
      <c r="L109" s="71">
        <f t="shared" si="43"/>
        <v>8.86</v>
      </c>
    </row>
    <row r="110" spans="1:16" s="28" customFormat="1" ht="13.15" x14ac:dyDescent="0.4">
      <c r="C110" s="56" t="str">
        <f t="shared" ref="C110:C114" si="44">C101</f>
        <v>Spine duct – single bore</v>
      </c>
      <c r="D110" s="276"/>
      <c r="E110" s="276"/>
      <c r="F110" s="276"/>
      <c r="G110" s="276"/>
      <c r="H110" s="71">
        <f t="shared" si="42"/>
        <v>0.32</v>
      </c>
      <c r="I110" s="71">
        <f t="shared" ref="I110:L114" si="45">I90</f>
        <v>0.33</v>
      </c>
      <c r="J110" s="71">
        <f t="shared" si="45"/>
        <v>0.33</v>
      </c>
      <c r="K110" s="71">
        <f t="shared" si="45"/>
        <v>0.34</v>
      </c>
      <c r="L110" s="71">
        <f t="shared" si="45"/>
        <v>0.35</v>
      </c>
    </row>
    <row r="111" spans="1:16" s="28" customFormat="1" ht="13.15" x14ac:dyDescent="0.4">
      <c r="C111" s="56" t="str">
        <f t="shared" si="44"/>
        <v>Spine duct – 2 bores</v>
      </c>
      <c r="D111" s="276"/>
      <c r="E111" s="276"/>
      <c r="F111" s="276"/>
      <c r="G111" s="276"/>
      <c r="H111" s="71">
        <f t="shared" si="42"/>
        <v>0.34</v>
      </c>
      <c r="I111" s="71">
        <f t="shared" si="45"/>
        <v>0.35</v>
      </c>
      <c r="J111" s="71">
        <f t="shared" si="45"/>
        <v>0.36</v>
      </c>
      <c r="K111" s="71">
        <f t="shared" si="45"/>
        <v>0.36</v>
      </c>
      <c r="L111" s="71">
        <f t="shared" si="45"/>
        <v>0.37</v>
      </c>
    </row>
    <row r="112" spans="1:16" s="28" customFormat="1" ht="13.15" x14ac:dyDescent="0.4">
      <c r="C112" s="56" t="str">
        <f t="shared" si="44"/>
        <v>Spine duct – 3+ bores</v>
      </c>
      <c r="D112" s="276"/>
      <c r="E112" s="276"/>
      <c r="F112" s="276"/>
      <c r="G112" s="276"/>
      <c r="H112" s="71">
        <f t="shared" si="42"/>
        <v>0.21</v>
      </c>
      <c r="I112" s="71">
        <f t="shared" si="45"/>
        <v>0.21</v>
      </c>
      <c r="J112" s="71">
        <f t="shared" si="45"/>
        <v>0.21</v>
      </c>
      <c r="K112" s="71">
        <f t="shared" si="45"/>
        <v>0.22</v>
      </c>
      <c r="L112" s="71">
        <f t="shared" si="45"/>
        <v>0.22</v>
      </c>
    </row>
    <row r="113" spans="3:16" s="28" customFormat="1" ht="13.15" x14ac:dyDescent="0.4">
      <c r="C113" s="56" t="str">
        <f t="shared" si="44"/>
        <v>Joint boxes</v>
      </c>
      <c r="D113" s="276"/>
      <c r="E113" s="276"/>
      <c r="F113" s="276"/>
      <c r="G113" s="276"/>
      <c r="H113" s="71">
        <f t="shared" si="42"/>
        <v>2.96</v>
      </c>
      <c r="I113" s="71">
        <f t="shared" si="45"/>
        <v>3</v>
      </c>
      <c r="J113" s="71">
        <f t="shared" si="45"/>
        <v>3.03</v>
      </c>
      <c r="K113" s="71">
        <f t="shared" si="45"/>
        <v>3.05</v>
      </c>
      <c r="L113" s="71">
        <f t="shared" si="45"/>
        <v>3.08</v>
      </c>
    </row>
    <row r="114" spans="3:16" s="28" customFormat="1" ht="13.15" x14ac:dyDescent="0.4">
      <c r="C114" s="56" t="str">
        <f t="shared" si="44"/>
        <v>Manholes</v>
      </c>
      <c r="D114" s="276"/>
      <c r="E114" s="276"/>
      <c r="F114" s="276"/>
      <c r="G114" s="276"/>
      <c r="H114" s="71">
        <f t="shared" si="42"/>
        <v>16.190000000000001</v>
      </c>
      <c r="I114" s="71">
        <f t="shared" si="45"/>
        <v>16.59</v>
      </c>
      <c r="J114" s="71">
        <f t="shared" si="45"/>
        <v>16.91</v>
      </c>
      <c r="K114" s="71">
        <f t="shared" si="45"/>
        <v>17.190000000000001</v>
      </c>
      <c r="L114" s="71">
        <f t="shared" si="45"/>
        <v>17.47</v>
      </c>
    </row>
    <row r="115" spans="3:16" s="28" customFormat="1" ht="13.15" x14ac:dyDescent="0.4">
      <c r="C115" s="56"/>
      <c r="D115" s="71"/>
      <c r="E115" s="71"/>
      <c r="F115" s="71"/>
      <c r="G115" s="71"/>
      <c r="H115" s="71"/>
      <c r="I115" s="71"/>
      <c r="J115" s="71"/>
      <c r="K115" s="71"/>
      <c r="L115" s="71"/>
      <c r="M115" s="65" t="s">
        <v>232</v>
      </c>
    </row>
    <row r="116" spans="3:16" s="28" customFormat="1" ht="13.15" x14ac:dyDescent="0.4">
      <c r="C116" s="28" t="s">
        <v>117</v>
      </c>
      <c r="D116" s="56" cm="1">
        <f t="array" ref="D116:L116">CPI</f>
        <v>0.10036409874522789</v>
      </c>
      <c r="E116" s="56">
        <v>5.6703919580784135E-2</v>
      </c>
      <c r="F116" s="56">
        <v>2.3545128743536425E-2</v>
      </c>
      <c r="G116" s="56">
        <v>3.5422237353326391E-2</v>
      </c>
      <c r="H116" s="56">
        <v>2.1823266989722256E-2</v>
      </c>
      <c r="I116" s="56">
        <v>1.9935780988294516E-2</v>
      </c>
      <c r="J116" s="56">
        <v>2.0957399820160205E-2</v>
      </c>
      <c r="K116" s="56">
        <v>2.0094840093029198E-2</v>
      </c>
      <c r="L116" s="56">
        <v>1.9998866368604373E-2</v>
      </c>
      <c r="M116" s="41">
        <f>(L117/G117)^(1/5)-1</f>
        <v>2.0561768875003938E-2</v>
      </c>
    </row>
    <row r="117" spans="3:16" s="28" customFormat="1" ht="13.15" x14ac:dyDescent="0.4">
      <c r="C117" s="28" t="s">
        <v>233</v>
      </c>
      <c r="D117" s="133"/>
      <c r="E117" s="133"/>
      <c r="F117" s="133"/>
      <c r="G117" s="133">
        <v>100</v>
      </c>
      <c r="H117" s="133">
        <f t="shared" ref="H117:J117" si="46">G117*(1+H116)</f>
        <v>102.18232669897222</v>
      </c>
      <c r="I117" s="133">
        <f t="shared" si="46"/>
        <v>104.21941118491729</v>
      </c>
      <c r="J117" s="133">
        <f t="shared" si="46"/>
        <v>106.40357905414128</v>
      </c>
      <c r="K117" s="133">
        <f t="shared" ref="K117" si="47">J117*(1+K116)</f>
        <v>108.54174196056023</v>
      </c>
      <c r="L117" s="133">
        <f>K117*(1+L116)</f>
        <v>110.71245375344502</v>
      </c>
    </row>
    <row r="118" spans="3:16" s="28" customFormat="1" ht="13.15" x14ac:dyDescent="0.4">
      <c r="D118" s="69"/>
      <c r="E118" s="69"/>
      <c r="F118" s="69"/>
      <c r="G118" s="69"/>
      <c r="H118" s="69"/>
      <c r="I118" s="69"/>
      <c r="J118" s="69"/>
      <c r="K118" s="69"/>
      <c r="L118" s="69"/>
      <c r="M118" s="69"/>
    </row>
    <row r="119" spans="3:16" s="28" customFormat="1" ht="13.15" x14ac:dyDescent="0.4">
      <c r="C119" s="66" t="s">
        <v>234</v>
      </c>
      <c r="E119" s="69"/>
      <c r="G119" s="65" t="s">
        <v>235</v>
      </c>
      <c r="L119" s="65" t="s">
        <v>236</v>
      </c>
      <c r="M119" s="65" t="s">
        <v>237</v>
      </c>
      <c r="O119" s="142" t="s">
        <v>238</v>
      </c>
    </row>
    <row r="120" spans="3:16" s="28" customFormat="1" ht="13.15" x14ac:dyDescent="0.4">
      <c r="C120" s="56" t="str">
        <f>C109</f>
        <v>Lead-in duct</v>
      </c>
      <c r="E120" s="69"/>
      <c r="G120" s="124">
        <f>G100</f>
        <v>11.96</v>
      </c>
      <c r="K120" s="71"/>
      <c r="L120" s="71">
        <f t="shared" ref="L120:L125" si="48">L109</f>
        <v>8.86</v>
      </c>
      <c r="M120" s="134">
        <f>100*L120/G120</f>
        <v>74.080267558528419</v>
      </c>
      <c r="O120" s="283">
        <f t="shared" ref="O120:O125" si="49">(M120/100)^(1/5)-1-$M$116</f>
        <v>-7.8801187662056127E-2</v>
      </c>
    </row>
    <row r="121" spans="3:16" s="28" customFormat="1" ht="13.15" x14ac:dyDescent="0.4">
      <c r="C121" s="56" t="str">
        <f t="shared" ref="C121:C124" si="50">C110</f>
        <v>Spine duct – single bore</v>
      </c>
      <c r="E121" s="69"/>
      <c r="G121" s="124">
        <f t="shared" ref="G121:G125" si="51">G101</f>
        <v>0.39</v>
      </c>
      <c r="K121" s="71"/>
      <c r="L121" s="71">
        <f t="shared" si="48"/>
        <v>0.35</v>
      </c>
      <c r="M121" s="134">
        <f t="shared" ref="M121:M125" si="52">100*L121/G121</f>
        <v>89.743589743589737</v>
      </c>
      <c r="O121" s="283">
        <f t="shared" si="49"/>
        <v>-4.1971962703303056E-2</v>
      </c>
    </row>
    <row r="122" spans="3:16" s="28" customFormat="1" ht="13.15" x14ac:dyDescent="0.4">
      <c r="C122" s="56" t="str">
        <f t="shared" si="50"/>
        <v>Spine duct – 2 bores</v>
      </c>
      <c r="E122" s="69"/>
      <c r="G122" s="124">
        <f t="shared" si="51"/>
        <v>0.28000000000000003</v>
      </c>
      <c r="K122" s="71"/>
      <c r="L122" s="71">
        <f t="shared" si="48"/>
        <v>0.37</v>
      </c>
      <c r="M122" s="134">
        <f t="shared" si="52"/>
        <v>132.14285714285714</v>
      </c>
      <c r="O122" s="283">
        <f t="shared" si="49"/>
        <v>3.6763809358402622E-2</v>
      </c>
    </row>
    <row r="123" spans="3:16" s="28" customFormat="1" ht="13.15" x14ac:dyDescent="0.4">
      <c r="C123" s="56" t="str">
        <f t="shared" si="50"/>
        <v>Spine duct – 3+ bores</v>
      </c>
      <c r="E123" s="69"/>
      <c r="G123" s="124">
        <f t="shared" si="51"/>
        <v>0.19</v>
      </c>
      <c r="K123" s="71"/>
      <c r="L123" s="71">
        <f t="shared" si="48"/>
        <v>0.22</v>
      </c>
      <c r="M123" s="134">
        <f t="shared" si="52"/>
        <v>115.78947368421052</v>
      </c>
      <c r="O123" s="283">
        <f t="shared" si="49"/>
        <v>9.1930096954091489E-3</v>
      </c>
    </row>
    <row r="124" spans="3:16" s="28" customFormat="1" ht="13.15" x14ac:dyDescent="0.4">
      <c r="C124" s="56" t="str">
        <f t="shared" si="50"/>
        <v>Joint boxes</v>
      </c>
      <c r="E124" s="69"/>
      <c r="G124" s="124">
        <f t="shared" si="51"/>
        <v>2.75</v>
      </c>
      <c r="K124" s="71"/>
      <c r="L124" s="71">
        <f t="shared" si="48"/>
        <v>3.08</v>
      </c>
      <c r="M124" s="134">
        <f t="shared" si="52"/>
        <v>112</v>
      </c>
      <c r="O124" s="283">
        <f t="shared" si="49"/>
        <v>2.3627877510263851E-3</v>
      </c>
    </row>
    <row r="125" spans="3:16" s="28" customFormat="1" ht="13.15" x14ac:dyDescent="0.4">
      <c r="C125" s="56" t="str">
        <f>C114</f>
        <v>Manholes</v>
      </c>
      <c r="E125" s="69"/>
      <c r="G125" s="124">
        <f t="shared" si="51"/>
        <v>11.73</v>
      </c>
      <c r="K125" s="71"/>
      <c r="L125" s="71">
        <f t="shared" si="48"/>
        <v>17.47</v>
      </c>
      <c r="M125" s="134">
        <f t="shared" si="52"/>
        <v>148.93435635123615</v>
      </c>
      <c r="O125" s="284">
        <f t="shared" si="49"/>
        <v>6.2364724211967149E-2</v>
      </c>
    </row>
    <row r="126" spans="3:16" s="28" customFormat="1" ht="13.15" x14ac:dyDescent="0.4"/>
    <row r="127" spans="3:16" s="28" customFormat="1" ht="13.15" x14ac:dyDescent="0.4">
      <c r="C127" s="135" t="s">
        <v>239</v>
      </c>
      <c r="D127" s="65" t="str">
        <f t="shared" ref="D127:L127" si="53">D108</f>
        <v>2022/23</v>
      </c>
      <c r="E127" s="65" t="str">
        <f t="shared" si="53"/>
        <v>2023/24</v>
      </c>
      <c r="F127" s="65" t="str">
        <f t="shared" si="53"/>
        <v>2024/25</v>
      </c>
      <c r="G127" s="65" t="str">
        <f t="shared" si="53"/>
        <v>2025/26</v>
      </c>
      <c r="H127" s="65" t="str">
        <f t="shared" si="53"/>
        <v>2026/27</v>
      </c>
      <c r="I127" s="65" t="str">
        <f t="shared" si="53"/>
        <v>2027/28</v>
      </c>
      <c r="J127" s="65" t="str">
        <f t="shared" si="53"/>
        <v>2028/29</v>
      </c>
      <c r="K127" s="65" t="str">
        <f t="shared" si="53"/>
        <v>2029/30</v>
      </c>
      <c r="L127" s="65" t="str">
        <f t="shared" si="53"/>
        <v>2030/31</v>
      </c>
      <c r="O127" s="217" t="s">
        <v>240</v>
      </c>
      <c r="P127" s="217"/>
    </row>
    <row r="128" spans="3:16" s="28" customFormat="1" ht="13.15" x14ac:dyDescent="0.4">
      <c r="C128" s="127" t="str">
        <f>C120</f>
        <v>Lead-in duct</v>
      </c>
      <c r="D128" s="136">
        <f>D100</f>
        <v>9.94</v>
      </c>
      <c r="E128" s="136">
        <f t="shared" ref="E128:G128" si="54">E100</f>
        <v>11.09</v>
      </c>
      <c r="F128" s="136">
        <f t="shared" si="54"/>
        <v>11.64</v>
      </c>
      <c r="G128" s="136">
        <f t="shared" si="54"/>
        <v>11.96</v>
      </c>
      <c r="H128" s="136">
        <f t="shared" ref="H128:K133" si="55">G128*(1+H$116+$O120)</f>
        <v>11.278544068758888</v>
      </c>
      <c r="I128" s="136">
        <f t="shared" si="55"/>
        <v>10.614627985463455</v>
      </c>
      <c r="J128" s="136">
        <f t="shared" si="55"/>
        <v>10.000637696251657</v>
      </c>
      <c r="K128" s="136">
        <f t="shared" si="55"/>
        <v>9.4135367837435933</v>
      </c>
      <c r="L128" s="136">
        <f t="shared" ref="L128:L133" si="56">K128*(1+L$116+$O120)</f>
        <v>8.8599989692781769</v>
      </c>
      <c r="O128" s="205" t="str">
        <f t="shared" ref="O128:O133" si="57">IF(ABS(L128-L109)&lt;0.00001,"ok","error")</f>
        <v>ok</v>
      </c>
    </row>
    <row r="129" spans="3:15" s="28" customFormat="1" ht="13.15" x14ac:dyDescent="0.4">
      <c r="C129" s="127" t="str">
        <f t="shared" ref="C129:C133" si="58">C121</f>
        <v>Spine duct – single bore</v>
      </c>
      <c r="D129" s="136">
        <f t="shared" ref="D129:G133" si="59">D101</f>
        <v>0.31</v>
      </c>
      <c r="E129" s="136">
        <f t="shared" si="59"/>
        <v>0.35</v>
      </c>
      <c r="F129" s="136">
        <f t="shared" si="59"/>
        <v>0.37</v>
      </c>
      <c r="G129" s="136">
        <f t="shared" si="59"/>
        <v>0.39</v>
      </c>
      <c r="H129" s="136">
        <f t="shared" si="55"/>
        <v>0.3821420086717035</v>
      </c>
      <c r="I129" s="136">
        <f t="shared" si="55"/>
        <v>0.37372105792767546</v>
      </c>
      <c r="J129" s="136">
        <f t="shared" si="55"/>
        <v>0.36586747325509966</v>
      </c>
      <c r="K129" s="136">
        <f t="shared" si="55"/>
        <v>0.35786334568358674</v>
      </c>
      <c r="L129" s="136">
        <f t="shared" si="56"/>
        <v>0.34999997991422371</v>
      </c>
      <c r="O129" s="205" t="str">
        <f t="shared" si="57"/>
        <v>ok</v>
      </c>
    </row>
    <row r="130" spans="3:15" s="28" customFormat="1" ht="13.15" x14ac:dyDescent="0.4">
      <c r="C130" s="127" t="str">
        <f t="shared" si="58"/>
        <v>Spine duct – 2 bores</v>
      </c>
      <c r="D130" s="136">
        <f t="shared" si="59"/>
        <v>0.2</v>
      </c>
      <c r="E130" s="136">
        <f t="shared" si="59"/>
        <v>0.24</v>
      </c>
      <c r="F130" s="136">
        <f t="shared" si="59"/>
        <v>0.26</v>
      </c>
      <c r="G130" s="136">
        <f t="shared" si="59"/>
        <v>0.28000000000000003</v>
      </c>
      <c r="H130" s="136">
        <f t="shared" si="55"/>
        <v>0.29640438137747499</v>
      </c>
      <c r="I130" s="136">
        <f t="shared" si="55"/>
        <v>0.31321038837854404</v>
      </c>
      <c r="J130" s="136">
        <f>I130*(1+J$116+$O122)</f>
        <v>0.33128927072304087</v>
      </c>
      <c r="K130" s="136">
        <f t="shared" si="55"/>
        <v>0.35012593123410274</v>
      </c>
      <c r="L130" s="136">
        <f t="shared" si="56"/>
        <v>0.37000001593236048</v>
      </c>
      <c r="O130" s="205" t="str">
        <f t="shared" si="57"/>
        <v>ok</v>
      </c>
    </row>
    <row r="131" spans="3:15" s="28" customFormat="1" ht="13.15" x14ac:dyDescent="0.4">
      <c r="C131" s="127" t="str">
        <f t="shared" si="58"/>
        <v>Spine duct – 3+ bores</v>
      </c>
      <c r="D131" s="136">
        <f t="shared" si="59"/>
        <v>0.14000000000000001</v>
      </c>
      <c r="E131" s="136">
        <f t="shared" si="59"/>
        <v>0.16</v>
      </c>
      <c r="F131" s="136">
        <f t="shared" si="59"/>
        <v>0.18</v>
      </c>
      <c r="G131" s="136">
        <f t="shared" si="59"/>
        <v>0.19</v>
      </c>
      <c r="H131" s="136">
        <f t="shared" si="55"/>
        <v>0.19589309257017498</v>
      </c>
      <c r="I131" s="136">
        <f t="shared" si="55"/>
        <v>0.20159922146003501</v>
      </c>
      <c r="J131" s="136">
        <f t="shared" si="55"/>
        <v>0.20767752054507502</v>
      </c>
      <c r="K131" s="136">
        <f t="shared" si="55"/>
        <v>0.21375994857123448</v>
      </c>
      <c r="L131" s="136">
        <f t="shared" si="56"/>
        <v>0.22000000249737586</v>
      </c>
      <c r="O131" s="205" t="str">
        <f t="shared" si="57"/>
        <v>ok</v>
      </c>
    </row>
    <row r="132" spans="3:15" s="28" customFormat="1" ht="13.15" x14ac:dyDescent="0.4">
      <c r="C132" s="127" t="str">
        <f t="shared" si="58"/>
        <v>Joint boxes</v>
      </c>
      <c r="D132" s="136">
        <f t="shared" si="59"/>
        <v>2.2400000000000002</v>
      </c>
      <c r="E132" s="136">
        <f t="shared" si="59"/>
        <v>2.5099999999999998</v>
      </c>
      <c r="F132" s="136">
        <f t="shared" si="59"/>
        <v>2.65</v>
      </c>
      <c r="G132" s="136">
        <f t="shared" si="59"/>
        <v>2.75</v>
      </c>
      <c r="H132" s="136">
        <f t="shared" si="55"/>
        <v>2.8165116505370587</v>
      </c>
      <c r="I132" s="136">
        <f t="shared" si="55"/>
        <v>2.8793158291816576</v>
      </c>
      <c r="J132" s="136">
        <f t="shared" si="55"/>
        <v>2.9464620143948603</v>
      </c>
      <c r="K132" s="136">
        <f t="shared" si="55"/>
        <v>3.0126325617707863</v>
      </c>
      <c r="L132" s="136">
        <f t="shared" si="56"/>
        <v>3.0800000091066417</v>
      </c>
      <c r="O132" s="205" t="str">
        <f t="shared" si="57"/>
        <v>ok</v>
      </c>
    </row>
    <row r="133" spans="3:15" s="28" customFormat="1" ht="13.15" x14ac:dyDescent="0.4">
      <c r="C133" s="127" t="str">
        <f t="shared" si="58"/>
        <v>Manholes</v>
      </c>
      <c r="D133" s="136">
        <f t="shared" si="59"/>
        <v>9.43</v>
      </c>
      <c r="E133" s="136">
        <f t="shared" si="59"/>
        <v>10.63</v>
      </c>
      <c r="F133" s="136">
        <f t="shared" si="59"/>
        <v>11.29</v>
      </c>
      <c r="G133" s="136">
        <f t="shared" si="59"/>
        <v>11.73</v>
      </c>
      <c r="H133" s="136">
        <f t="shared" si="55"/>
        <v>12.717525136795818</v>
      </c>
      <c r="I133" s="136">
        <f t="shared" si="55"/>
        <v>13.76418388045114</v>
      </c>
      <c r="J133" s="136">
        <f t="shared" si="55"/>
        <v>14.911044916939099</v>
      </c>
      <c r="K133" s="136">
        <f t="shared" si="55"/>
        <v>16.140603184122128</v>
      </c>
      <c r="L133" s="136">
        <f t="shared" si="56"/>
        <v>17.470001216502631</v>
      </c>
      <c r="N133" s="124"/>
      <c r="O133" s="205" t="str">
        <f t="shared" si="57"/>
        <v>ok</v>
      </c>
    </row>
    <row r="137" spans="3:15" x14ac:dyDescent="0.45">
      <c r="D137" s="152"/>
      <c r="E137" s="152"/>
      <c r="F137" s="152"/>
      <c r="G137" s="152"/>
      <c r="H137" s="152"/>
      <c r="I137" s="152"/>
      <c r="J137" s="152"/>
      <c r="K137" s="152"/>
      <c r="L137" s="152"/>
      <c r="M137" s="152"/>
    </row>
    <row r="138" spans="3:15" x14ac:dyDescent="0.45">
      <c r="D138" s="152"/>
      <c r="E138" s="152"/>
      <c r="F138" s="152"/>
      <c r="G138" s="152"/>
      <c r="H138" s="152"/>
      <c r="I138" s="152"/>
      <c r="J138" s="152"/>
      <c r="K138" s="152"/>
      <c r="L138" s="152"/>
      <c r="M138" s="152"/>
    </row>
    <row r="139" spans="3:15" x14ac:dyDescent="0.45">
      <c r="D139" s="152"/>
      <c r="E139" s="152"/>
      <c r="F139" s="152"/>
      <c r="G139" s="152"/>
      <c r="H139" s="152"/>
      <c r="I139" s="152"/>
      <c r="J139" s="152"/>
      <c r="K139" s="152"/>
      <c r="L139" s="152"/>
      <c r="M139" s="152"/>
    </row>
    <row r="140" spans="3:15" x14ac:dyDescent="0.45">
      <c r="D140" s="152"/>
      <c r="E140" s="152"/>
      <c r="F140" s="152"/>
      <c r="G140" s="152"/>
      <c r="H140" s="152"/>
      <c r="I140" s="152"/>
      <c r="J140" s="152"/>
      <c r="K140" s="152"/>
      <c r="L140" s="152"/>
      <c r="M140" s="152"/>
    </row>
    <row r="141" spans="3:15" x14ac:dyDescent="0.45">
      <c r="D141" s="152"/>
      <c r="E141" s="152"/>
      <c r="F141" s="152"/>
      <c r="G141" s="152"/>
      <c r="H141" s="152"/>
      <c r="I141" s="152"/>
      <c r="J141" s="152"/>
      <c r="K141" s="152"/>
      <c r="L141" s="152"/>
      <c r="M141" s="152"/>
    </row>
    <row r="142" spans="3:15" x14ac:dyDescent="0.45">
      <c r="D142" s="152"/>
      <c r="E142" s="152"/>
      <c r="F142" s="152"/>
      <c r="G142" s="152"/>
      <c r="H142" s="152"/>
      <c r="I142" s="152"/>
      <c r="J142" s="152"/>
      <c r="K142" s="152"/>
      <c r="L142" s="152"/>
      <c r="M142" s="152"/>
    </row>
    <row r="143" spans="3:15" x14ac:dyDescent="0.45">
      <c r="D143" s="152"/>
      <c r="E143" s="152"/>
      <c r="F143" s="152"/>
      <c r="G143" s="152"/>
      <c r="H143" s="152"/>
      <c r="I143" s="152"/>
      <c r="J143" s="152"/>
      <c r="K143" s="152"/>
      <c r="L143" s="152"/>
      <c r="M143" s="152"/>
    </row>
  </sheetData>
  <conditionalFormatting sqref="D12:L12">
    <cfRule type="cellIs" dxfId="8" priority="1" stopIfTrue="1" operator="notEqual">
      <formula>TRUE</formula>
    </cfRule>
  </conditionalFormatting>
  <conditionalFormatting sqref="D21:L21">
    <cfRule type="cellIs" dxfId="7" priority="2" stopIfTrue="1" operator="notEqual">
      <formula>TRUE</formula>
    </cfRule>
  </conditionalFormatting>
  <conditionalFormatting sqref="D73:L73">
    <cfRule type="cellIs" dxfId="6" priority="3" stopIfTrue="1" operator="notEqual">
      <formula>TRUE</formula>
    </cfRule>
  </conditionalFormatting>
  <printOptions horizontalCentered="1" verticalCentered="1"/>
  <pageMargins left="0.19685039370078741" right="0.19685039370078741" top="0.39370078740157483" bottom="0.19685039370078741" header="0.19685039370078741" footer="0.19685039370078741"/>
  <pageSetup paperSize="9" scale="60" orientation="landscape" r:id="rId1"/>
  <headerFooter>
    <oddHeader>&amp;CPage &amp;P of &amp;N&amp;R&amp;D &amp;T&amp;L&amp;"Calibri"&amp;12&amp;K000000Classification: HIGHLY SENSITIVE&amp;1#_x000D_&amp;"Calibri"&amp;11&amp;K000000File: &amp;F Tab: &amp;A</oddHeader>
  </headerFooter>
  <rowBreaks count="1" manualBreakCount="1">
    <brk id="10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57772-4C99-44AB-9807-95FA85C135BC}">
  <sheetPr codeName="Sheet15">
    <tabColor rgb="FF92D050"/>
  </sheetPr>
  <dimension ref="A1"/>
  <sheetViews>
    <sheetView workbookViewId="0"/>
  </sheetViews>
  <sheetFormatPr defaultRowHeight="14.25" x14ac:dyDescent="0.45"/>
  <sheetData/>
  <pageMargins left="0.7" right="0.7" top="0.75" bottom="0.75" header="0.3" footer="0.3"/>
  <pageSetup paperSize="9" orientation="portrait" r:id="rId1"/>
  <headerFooter>
    <oddHeader>&amp;L&amp;"Calibri"&amp;12&amp;K000000Classification: HIGHLY SENSITIVE&amp;1#</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4B2DF8-9F7C-4B4C-8E92-BB11C1678307}">
  <sheetPr codeName="Sheet16"/>
  <dimension ref="A1:M105"/>
  <sheetViews>
    <sheetView zoomScale="85" zoomScaleNormal="85" workbookViewId="0"/>
  </sheetViews>
  <sheetFormatPr defaultColWidth="8.796875" defaultRowHeight="13.15" x14ac:dyDescent="0.4"/>
  <cols>
    <col min="1" max="1" width="17.796875" style="28" customWidth="1"/>
    <col min="2" max="2" width="22.265625" style="28" bestFit="1" customWidth="1"/>
    <col min="3" max="3" width="12" style="28" customWidth="1"/>
    <col min="4" max="12" width="13.265625" style="28" customWidth="1"/>
    <col min="13" max="13" width="8.796875" style="28" customWidth="1"/>
    <col min="14" max="16384" width="8.796875" style="28"/>
  </cols>
  <sheetData>
    <row r="1" spans="1:12" ht="21" x14ac:dyDescent="0.65">
      <c r="A1" s="83" t="s">
        <v>241</v>
      </c>
    </row>
    <row r="2" spans="1:12" ht="6" customHeight="1" x14ac:dyDescent="0.4"/>
    <row r="3" spans="1:12" ht="15.75" x14ac:dyDescent="0.5">
      <c r="A3" s="8" t="s">
        <v>242</v>
      </c>
    </row>
    <row r="4" spans="1:12" ht="9.75" customHeight="1" x14ac:dyDescent="0.5">
      <c r="A4" s="8"/>
    </row>
    <row r="5" spans="1:12" x14ac:dyDescent="0.4">
      <c r="A5" s="60"/>
      <c r="B5" s="184"/>
      <c r="C5" s="184"/>
      <c r="D5" s="65" t="s">
        <v>92</v>
      </c>
      <c r="E5" s="65" t="s">
        <v>93</v>
      </c>
      <c r="F5" s="65" t="s">
        <v>51</v>
      </c>
      <c r="G5" s="65" t="s">
        <v>138</v>
      </c>
      <c r="H5" s="65" t="s">
        <v>139</v>
      </c>
      <c r="I5" s="65" t="s">
        <v>140</v>
      </c>
      <c r="J5" s="65" t="s">
        <v>141</v>
      </c>
      <c r="K5" s="65" t="s">
        <v>142</v>
      </c>
      <c r="L5" s="65" t="s">
        <v>143</v>
      </c>
    </row>
    <row r="7" spans="1:12" x14ac:dyDescent="0.4">
      <c r="A7" s="66" t="s">
        <v>243</v>
      </c>
    </row>
    <row r="8" spans="1:12" ht="14.25" x14ac:dyDescent="0.45">
      <c r="A8" s="28" t="str">
        <f>'Parameters and Assumptions'!B54</f>
        <v>Year Start</v>
      </c>
      <c r="D8" s="303">
        <f>'Parameters and Assumptions'!D54</f>
        <v>4111323</v>
      </c>
      <c r="E8" s="303">
        <f>'Parameters and Assumptions'!E54</f>
        <v>4117508</v>
      </c>
      <c r="F8" s="303">
        <f>'Parameters and Assumptions'!F54</f>
        <v>4170592.2414446305</v>
      </c>
      <c r="G8" s="303">
        <f>'Parameters and Assumptions'!G54</f>
        <v>4199668.1621502209</v>
      </c>
      <c r="H8" s="303">
        <f>'Parameters and Assumptions'!H54</f>
        <v>4210372.2738258988</v>
      </c>
      <c r="I8" s="303">
        <f>'Parameters and Assumptions'!I54</f>
        <v>4239435.9705517311</v>
      </c>
      <c r="J8" s="303">
        <f>'Parameters and Assumptions'!J54</f>
        <v>4257742.8870905275</v>
      </c>
      <c r="K8" s="303">
        <f>'Parameters and Assumptions'!K54</f>
        <v>4268243.2026190292</v>
      </c>
      <c r="L8" s="303">
        <f>'Parameters and Assumptions'!L54</f>
        <v>4286044.3661497645</v>
      </c>
    </row>
    <row r="9" spans="1:12" ht="14.25" x14ac:dyDescent="0.45">
      <c r="A9" s="28" t="str">
        <f>'Parameters and Assumptions'!B55</f>
        <v>Gross additions</v>
      </c>
      <c r="D9" s="304"/>
      <c r="E9" s="303">
        <f>'Parameters and Assumptions'!E55</f>
        <v>86948.05559063211</v>
      </c>
      <c r="F9" s="303">
        <f>'Parameters and Assumptions'!F55</f>
        <v>67598.572911615658</v>
      </c>
      <c r="G9" s="303">
        <f>'Parameters and Assumptions'!G55</f>
        <v>77331.791805798319</v>
      </c>
      <c r="H9" s="303">
        <f>'Parameters and Assumptions'!H55</f>
        <v>76156.9859589189</v>
      </c>
      <c r="I9" s="303">
        <f>'Parameters and Assumptions'!I55</f>
        <v>48953.985542623101</v>
      </c>
      <c r="J9" s="303">
        <f>'Parameters and Assumptions'!J55</f>
        <v>46717.059735323826</v>
      </c>
      <c r="K9" s="303">
        <f>'Parameters and Assumptions'!K55</f>
        <v>57441.88341738256</v>
      </c>
      <c r="L9" s="303">
        <f>'Parameters and Assumptions'!L55</f>
        <v>41543.688764428378</v>
      </c>
    </row>
    <row r="10" spans="1:12" ht="14.25" x14ac:dyDescent="0.45">
      <c r="A10" s="28" t="str">
        <f>'Parameters and Assumptions'!B56</f>
        <v>Retirements (poles replaced)</v>
      </c>
      <c r="D10" s="304"/>
      <c r="E10" s="303">
        <f>'Parameters and Assumptions'!E56</f>
        <v>-33863.814146001925</v>
      </c>
      <c r="F10" s="303">
        <f>'Parameters and Assumptions'!F56</f>
        <v>-38522.65220602521</v>
      </c>
      <c r="G10" s="303">
        <f>'Parameters and Assumptions'!G56</f>
        <v>-66627.680130120745</v>
      </c>
      <c r="H10" s="303">
        <f>'Parameters and Assumptions'!H56</f>
        <v>-47093.289233086427</v>
      </c>
      <c r="I10" s="303">
        <f>'Parameters and Assumptions'!I56</f>
        <v>-30647.069003826742</v>
      </c>
      <c r="J10" s="303">
        <f>'Parameters and Assumptions'!J56</f>
        <v>-36216.744206822921</v>
      </c>
      <c r="K10" s="303">
        <f>'Parameters and Assumptions'!K56</f>
        <v>-39640.719886647676</v>
      </c>
      <c r="L10" s="303">
        <f>'Parameters and Assumptions'!L56</f>
        <v>-32311.963176262307</v>
      </c>
    </row>
    <row r="11" spans="1:12" ht="14.25" x14ac:dyDescent="0.45">
      <c r="A11" s="28" t="str">
        <f>'Parameters and Assumptions'!B57</f>
        <v>Year end</v>
      </c>
      <c r="D11" s="303">
        <f>'Parameters and Assumptions'!D57</f>
        <v>4117508</v>
      </c>
      <c r="E11" s="303">
        <f>'Parameters and Assumptions'!E57</f>
        <v>4170592.2414446305</v>
      </c>
      <c r="F11" s="303">
        <f>'Parameters and Assumptions'!F57</f>
        <v>4199668.1621502209</v>
      </c>
      <c r="G11" s="303">
        <f>'Parameters and Assumptions'!G57</f>
        <v>4210372.2738258988</v>
      </c>
      <c r="H11" s="303">
        <f>'Parameters and Assumptions'!H57</f>
        <v>4239435.9705517311</v>
      </c>
      <c r="I11" s="303">
        <f>'Parameters and Assumptions'!I57</f>
        <v>4257742.8870905275</v>
      </c>
      <c r="J11" s="303">
        <f>'Parameters and Assumptions'!J57</f>
        <v>4268243.2026190292</v>
      </c>
      <c r="K11" s="303">
        <f>'Parameters and Assumptions'!K57</f>
        <v>4286044.3661497645</v>
      </c>
      <c r="L11" s="303">
        <f>'Parameters and Assumptions'!L57</f>
        <v>4295276.0917379307</v>
      </c>
    </row>
    <row r="14" spans="1:12" ht="14.25" x14ac:dyDescent="0.45">
      <c r="A14" t="s">
        <v>244</v>
      </c>
      <c r="B14"/>
      <c r="C14"/>
      <c r="D14" s="77">
        <f>AVERAGE(D8,D11)</f>
        <v>4114415.5</v>
      </c>
      <c r="E14" s="77">
        <f t="shared" ref="E14:L14" si="0">AVERAGE(E8,E11)</f>
        <v>4144050.1207223153</v>
      </c>
      <c r="F14" s="77">
        <f t="shared" si="0"/>
        <v>4185130.2017974257</v>
      </c>
      <c r="G14" s="77">
        <f t="shared" si="0"/>
        <v>4205020.2179880599</v>
      </c>
      <c r="H14" s="77">
        <f t="shared" si="0"/>
        <v>4224904.1221888149</v>
      </c>
      <c r="I14" s="77">
        <f t="shared" si="0"/>
        <v>4248589.4288211297</v>
      </c>
      <c r="J14" s="77">
        <f t="shared" si="0"/>
        <v>4262993.0448547788</v>
      </c>
      <c r="K14" s="77">
        <f t="shared" si="0"/>
        <v>4277143.7843843969</v>
      </c>
      <c r="L14" s="77">
        <f t="shared" si="0"/>
        <v>4290660.2289438471</v>
      </c>
    </row>
    <row r="15" spans="1:12" ht="14.25" x14ac:dyDescent="0.45">
      <c r="A15" t="s">
        <v>245</v>
      </c>
      <c r="B15"/>
      <c r="C15"/>
      <c r="D15"/>
      <c r="E15" s="146">
        <f>E14/D14-1</f>
        <v>7.2026319953137907E-3</v>
      </c>
      <c r="F15" s="146">
        <f t="shared" ref="F15:L15" si="1">F14/E14-1</f>
        <v>9.913027081812853E-3</v>
      </c>
      <c r="G15" s="146">
        <f t="shared" si="1"/>
        <v>4.752544181801488E-3</v>
      </c>
      <c r="H15" s="146">
        <f t="shared" si="1"/>
        <v>4.7286108436996876E-3</v>
      </c>
      <c r="I15" s="146">
        <f t="shared" si="1"/>
        <v>5.6061169549201928E-3</v>
      </c>
      <c r="J15" s="146">
        <f t="shared" si="1"/>
        <v>3.390211333658133E-3</v>
      </c>
      <c r="K15" s="146">
        <f t="shared" si="1"/>
        <v>3.3194376300231809E-3</v>
      </c>
      <c r="L15" s="146">
        <f t="shared" si="1"/>
        <v>3.1601566935388625E-3</v>
      </c>
    </row>
    <row r="16" spans="1:12" ht="8.25" customHeight="1" thickBot="1" x14ac:dyDescent="0.45">
      <c r="A16" s="81"/>
      <c r="B16" s="81"/>
      <c r="C16" s="81"/>
      <c r="D16" s="81"/>
      <c r="E16" s="81"/>
      <c r="F16" s="81"/>
      <c r="G16" s="81"/>
      <c r="H16" s="81"/>
      <c r="I16" s="81"/>
      <c r="J16" s="81"/>
      <c r="K16" s="81"/>
      <c r="L16" s="81"/>
    </row>
    <row r="17" spans="1:12" ht="8.25" customHeight="1" x14ac:dyDescent="0.4"/>
    <row r="18" spans="1:12" ht="15.75" x14ac:dyDescent="0.5">
      <c r="A18" s="8" t="s">
        <v>246</v>
      </c>
    </row>
    <row r="20" spans="1:12" x14ac:dyDescent="0.4">
      <c r="A20" s="40"/>
      <c r="B20" s="40"/>
      <c r="D20" s="390" t="s">
        <v>247</v>
      </c>
      <c r="E20" s="390"/>
      <c r="F20" s="390"/>
      <c r="G20" s="390"/>
      <c r="H20" s="390"/>
      <c r="I20" s="390"/>
      <c r="J20" s="390"/>
      <c r="K20" s="390"/>
      <c r="L20" s="390"/>
    </row>
    <row r="21" spans="1:12" ht="14.25" x14ac:dyDescent="0.4">
      <c r="A21" s="40" t="s">
        <v>248</v>
      </c>
      <c r="B21" s="40"/>
      <c r="D21" s="368">
        <f>IF(D$5&lt;=selected_year, 'Input data'!E127, C21)</f>
        <v>0.27393680838021445</v>
      </c>
      <c r="E21" s="368">
        <f>IF(E$5&lt;=selected_year, 'Input data'!F127, D21)</f>
        <v>0.272742239054244</v>
      </c>
      <c r="F21" s="368">
        <f>IF(F$5&lt;=selected_year, 'Input data'!G127, E21)</f>
        <v>0.2711116968698517</v>
      </c>
      <c r="G21" s="123">
        <f>F21</f>
        <v>0.2711116968698517</v>
      </c>
      <c r="H21" s="123">
        <f t="shared" ref="H21:K21" si="2">G21</f>
        <v>0.2711116968698517</v>
      </c>
      <c r="I21" s="123">
        <f t="shared" si="2"/>
        <v>0.2711116968698517</v>
      </c>
      <c r="J21" s="123">
        <f t="shared" si="2"/>
        <v>0.2711116968698517</v>
      </c>
      <c r="K21" s="123">
        <f t="shared" si="2"/>
        <v>0.2711116968698517</v>
      </c>
      <c r="L21" s="123">
        <f t="shared" ref="L21" si="3">K21</f>
        <v>0.2711116968698517</v>
      </c>
    </row>
    <row r="22" spans="1:12" ht="14.25" x14ac:dyDescent="0.4">
      <c r="A22" s="40" t="s">
        <v>249</v>
      </c>
      <c r="B22" s="40"/>
      <c r="D22" s="368">
        <f>IF(D$5&lt;=selected_year, 'Input data'!E128, C22)</f>
        <v>9.1562663630526037E-2</v>
      </c>
      <c r="E22" s="368">
        <f>IF(E$5&lt;=selected_year, 'Input data'!F128, D22)</f>
        <v>9.1187899097023559E-2</v>
      </c>
      <c r="F22" s="368">
        <f>IF(F$5&lt;=selected_year, 'Input data'!G128, E22)</f>
        <v>9.068431930507713E-2</v>
      </c>
      <c r="G22" s="123">
        <f t="shared" ref="G22:K27" si="4">F22</f>
        <v>9.068431930507713E-2</v>
      </c>
      <c r="H22" s="123">
        <f t="shared" si="4"/>
        <v>9.068431930507713E-2</v>
      </c>
      <c r="I22" s="123">
        <f t="shared" si="4"/>
        <v>9.068431930507713E-2</v>
      </c>
      <c r="J22" s="123">
        <f t="shared" si="4"/>
        <v>9.068431930507713E-2</v>
      </c>
      <c r="K22" s="123">
        <f t="shared" si="4"/>
        <v>9.068431930507713E-2</v>
      </c>
      <c r="L22" s="123">
        <f t="shared" ref="L22" si="5">K22</f>
        <v>9.068431930507713E-2</v>
      </c>
    </row>
    <row r="23" spans="1:12" ht="14.25" x14ac:dyDescent="0.4">
      <c r="A23" s="40" t="s">
        <v>250</v>
      </c>
      <c r="B23" s="40"/>
      <c r="D23" s="368">
        <f>IF(D$5&lt;=selected_year, 'Input data'!E129, C23)</f>
        <v>0.34239933474324763</v>
      </c>
      <c r="E23" s="368">
        <f>IF(E$5&lt;=selected_year, 'Input data'!F129, D23)</f>
        <v>0.34647191773927355</v>
      </c>
      <c r="F23" s="368">
        <f>IF(F$5&lt;=selected_year, 'Input data'!G129, E23)</f>
        <v>0.35109660026958217</v>
      </c>
      <c r="G23" s="123">
        <f t="shared" si="4"/>
        <v>0.35109660026958217</v>
      </c>
      <c r="H23" s="123">
        <f t="shared" si="4"/>
        <v>0.35109660026958217</v>
      </c>
      <c r="I23" s="123">
        <f t="shared" si="4"/>
        <v>0.35109660026958217</v>
      </c>
      <c r="J23" s="123">
        <f t="shared" si="4"/>
        <v>0.35109660026958217</v>
      </c>
      <c r="K23" s="123">
        <f t="shared" si="4"/>
        <v>0.35109660026958217</v>
      </c>
      <c r="L23" s="123">
        <f t="shared" ref="L23" si="6">K23</f>
        <v>0.35109660026958217</v>
      </c>
    </row>
    <row r="24" spans="1:12" ht="14.25" x14ac:dyDescent="0.4">
      <c r="A24" s="40" t="s">
        <v>251</v>
      </c>
      <c r="B24" s="40"/>
      <c r="D24" s="368">
        <f>IF(D$5&lt;=selected_year, 'Input data'!E130, C24)</f>
        <v>0.13031207225341154</v>
      </c>
      <c r="E24" s="368">
        <f>IF(E$5&lt;=selected_year, 'Input data'!F130, D24)</f>
        <v>0.13783238824197075</v>
      </c>
      <c r="F24" s="368">
        <f>IF(F$5&lt;=selected_year, 'Input data'!G130, E24)</f>
        <v>0.14468006589785831</v>
      </c>
      <c r="G24" s="123">
        <f t="shared" si="4"/>
        <v>0.14468006589785831</v>
      </c>
      <c r="H24" s="123">
        <f t="shared" si="4"/>
        <v>0.14468006589785831</v>
      </c>
      <c r="I24" s="123">
        <f t="shared" si="4"/>
        <v>0.14468006589785831</v>
      </c>
      <c r="J24" s="123">
        <f t="shared" si="4"/>
        <v>0.14468006589785831</v>
      </c>
      <c r="K24" s="123">
        <f t="shared" si="4"/>
        <v>0.14468006589785831</v>
      </c>
      <c r="L24" s="123">
        <f t="shared" ref="L24" si="7">K24</f>
        <v>0.14468006589785831</v>
      </c>
    </row>
    <row r="25" spans="1:12" ht="14.25" x14ac:dyDescent="0.4">
      <c r="A25" s="76" t="s">
        <v>252</v>
      </c>
      <c r="B25" s="40"/>
      <c r="C25" s="40"/>
      <c r="D25" s="368">
        <f>IF(D$5&lt;=selected_year, 'Input data'!E131, C25)</f>
        <v>0.16178912099260037</v>
      </c>
      <c r="E25" s="368">
        <f>IF(E$5&lt;=selected_year, 'Input data'!F131, D25)</f>
        <v>0.15176555586748813</v>
      </c>
      <c r="F25" s="368">
        <f>IF(F$5&lt;=selected_year, 'Input data'!G131, E25)</f>
        <v>0.14242731765763067</v>
      </c>
      <c r="G25" s="123">
        <f t="shared" si="4"/>
        <v>0.14242731765763067</v>
      </c>
      <c r="H25" s="123">
        <f t="shared" si="4"/>
        <v>0.14242731765763067</v>
      </c>
      <c r="I25" s="123">
        <f t="shared" si="4"/>
        <v>0.14242731765763067</v>
      </c>
      <c r="J25" s="123">
        <f t="shared" si="4"/>
        <v>0.14242731765763067</v>
      </c>
      <c r="K25" s="123">
        <f t="shared" si="4"/>
        <v>0.14242731765763067</v>
      </c>
      <c r="L25" s="123">
        <f t="shared" ref="L25" si="8">K25</f>
        <v>0.14242731765763067</v>
      </c>
    </row>
    <row r="26" spans="1:12" x14ac:dyDescent="0.4">
      <c r="A26" s="40" t="s">
        <v>146</v>
      </c>
      <c r="B26" s="78"/>
      <c r="C26" s="78"/>
      <c r="D26" s="103">
        <f>SUM(D21:D25)</f>
        <v>1.0000000000000002</v>
      </c>
      <c r="E26" s="103">
        <f t="shared" ref="E26:F26" si="9">SUM(E21:E25)</f>
        <v>1</v>
      </c>
      <c r="F26" s="103">
        <f t="shared" si="9"/>
        <v>1</v>
      </c>
      <c r="G26" s="103">
        <f t="shared" ref="G26" si="10">SUM(G21:G25)</f>
        <v>1</v>
      </c>
      <c r="H26" s="103">
        <f t="shared" ref="H26" si="11">SUM(H21:H25)</f>
        <v>1</v>
      </c>
      <c r="I26" s="103">
        <f t="shared" ref="I26" si="12">SUM(I21:I25)</f>
        <v>1</v>
      </c>
      <c r="J26" s="103">
        <f t="shared" ref="J26" si="13">SUM(J21:J25)</f>
        <v>1</v>
      </c>
      <c r="K26" s="103">
        <f t="shared" ref="K26:L26" si="14">SUM(K21:K25)</f>
        <v>1</v>
      </c>
      <c r="L26" s="103">
        <f t="shared" si="14"/>
        <v>1</v>
      </c>
    </row>
    <row r="27" spans="1:12" ht="14.25" x14ac:dyDescent="0.45">
      <c r="D27" s="272" t="b">
        <f>IF(ABS(D26-1)&lt;0.000001,TRUE,FALSE)</f>
        <v>1</v>
      </c>
      <c r="E27" s="272" t="b">
        <f t="shared" ref="E27:F27" si="15">IF(ABS(E26-1)&lt;0.000001,TRUE,FALSE)</f>
        <v>1</v>
      </c>
      <c r="F27" s="272" t="b">
        <f t="shared" si="15"/>
        <v>1</v>
      </c>
      <c r="G27" s="272" t="b">
        <f t="shared" si="4"/>
        <v>1</v>
      </c>
      <c r="H27" s="272" t="b">
        <f t="shared" si="4"/>
        <v>1</v>
      </c>
      <c r="I27" s="272" t="b">
        <f t="shared" si="4"/>
        <v>1</v>
      </c>
      <c r="J27" s="272" t="b">
        <f t="shared" si="4"/>
        <v>1</v>
      </c>
      <c r="K27" s="272" t="b">
        <f t="shared" si="4"/>
        <v>1</v>
      </c>
      <c r="L27" s="272" t="b">
        <f t="shared" ref="L27" si="16">K27</f>
        <v>1</v>
      </c>
    </row>
    <row r="29" spans="1:12" x14ac:dyDescent="0.4">
      <c r="A29" s="66" t="s">
        <v>253</v>
      </c>
    </row>
    <row r="31" spans="1:12" x14ac:dyDescent="0.4">
      <c r="D31" s="65" t="s">
        <v>92</v>
      </c>
      <c r="E31" s="65" t="s">
        <v>93</v>
      </c>
      <c r="F31" s="65" t="s">
        <v>51</v>
      </c>
      <c r="G31" s="65" t="s">
        <v>138</v>
      </c>
      <c r="H31" s="65" t="s">
        <v>139</v>
      </c>
      <c r="I31" s="65" t="s">
        <v>140</v>
      </c>
      <c r="J31" s="65" t="s">
        <v>141</v>
      </c>
      <c r="K31" s="65" t="s">
        <v>142</v>
      </c>
      <c r="L31" s="65" t="s">
        <v>143</v>
      </c>
    </row>
    <row r="32" spans="1:12" x14ac:dyDescent="0.4">
      <c r="A32" s="28" t="str">
        <f>A21</f>
        <v>DP poles - pure</v>
      </c>
      <c r="D32" s="77">
        <f>D$14 * D21</f>
        <v>1127089.8504200843</v>
      </c>
      <c r="E32" s="77">
        <f t="shared" ref="E32:L32" si="17">E$14 * E21</f>
        <v>1130257.5086788144</v>
      </c>
      <c r="F32" s="77">
        <f t="shared" si="17"/>
        <v>1134637.750630565</v>
      </c>
      <c r="G32" s="77">
        <f t="shared" si="17"/>
        <v>1140030.1666707767</v>
      </c>
      <c r="H32" s="77">
        <f t="shared" si="17"/>
        <v>1145420.9256790408</v>
      </c>
      <c r="I32" s="77">
        <f t="shared" si="17"/>
        <v>1151842.2893510105</v>
      </c>
      <c r="J32" s="77">
        <f t="shared" si="17"/>
        <v>1155747.2781349549</v>
      </c>
      <c r="K32" s="77">
        <f t="shared" si="17"/>
        <v>1159583.709140793</v>
      </c>
      <c r="L32" s="77">
        <f t="shared" si="17"/>
        <v>1163248.1753609527</v>
      </c>
    </row>
    <row r="33" spans="1:12" x14ac:dyDescent="0.4">
      <c r="A33" s="28" t="str">
        <f>A22</f>
        <v>DP poles - mixed</v>
      </c>
      <c r="D33" s="77">
        <f t="shared" ref="D33:E36" si="18">D$14 * D22</f>
        <v>376726.84246272262</v>
      </c>
      <c r="E33" s="77">
        <f t="shared" si="18"/>
        <v>377887.22426143481</v>
      </c>
      <c r="F33" s="77">
        <f t="shared" ref="F33:L33" si="19">F$14 * F22</f>
        <v>379525.68355311966</v>
      </c>
      <c r="G33" s="77">
        <f t="shared" si="19"/>
        <v>381329.39613233425</v>
      </c>
      <c r="H33" s="77">
        <f t="shared" si="19"/>
        <v>383132.5544499071</v>
      </c>
      <c r="I33" s="77">
        <f t="shared" si="19"/>
        <v>385280.44035939057</v>
      </c>
      <c r="J33" s="77">
        <f t="shared" si="19"/>
        <v>386586.62247493374</v>
      </c>
      <c r="K33" s="77">
        <f t="shared" si="19"/>
        <v>387869.8726568406</v>
      </c>
      <c r="L33" s="77">
        <f t="shared" si="19"/>
        <v>389095.6022311392</v>
      </c>
    </row>
    <row r="34" spans="1:12" x14ac:dyDescent="0.4">
      <c r="A34" s="28" t="str">
        <f>A23</f>
        <v>Feeder poles - pure</v>
      </c>
      <c r="D34" s="77">
        <f t="shared" si="18"/>
        <v>1408773.1300573065</v>
      </c>
      <c r="E34" s="77">
        <f t="shared" si="18"/>
        <v>1435796.9925343287</v>
      </c>
      <c r="F34" s="77">
        <f t="shared" ref="F34:L34" si="20">F$14 * F23</f>
        <v>1469384.9855366265</v>
      </c>
      <c r="G34" s="77">
        <f t="shared" si="20"/>
        <v>1476368.3026004652</v>
      </c>
      <c r="H34" s="77">
        <f t="shared" si="20"/>
        <v>1483349.4737654363</v>
      </c>
      <c r="I34" s="77">
        <f t="shared" si="20"/>
        <v>1491665.3044003847</v>
      </c>
      <c r="J34" s="77">
        <f t="shared" si="20"/>
        <v>1496722.3650213873</v>
      </c>
      <c r="K34" s="77">
        <f t="shared" si="20"/>
        <v>1501690.6415615366</v>
      </c>
      <c r="L34" s="77">
        <f t="shared" si="20"/>
        <v>1506436.2192940919</v>
      </c>
    </row>
    <row r="35" spans="1:12" x14ac:dyDescent="0.4">
      <c r="A35" s="28" t="str">
        <f>A24</f>
        <v>Feeder poles - mixed</v>
      </c>
      <c r="D35" s="77">
        <f t="shared" si="18"/>
        <v>536158.00991655642</v>
      </c>
      <c r="E35" s="77">
        <f t="shared" si="18"/>
        <v>571184.32513358386</v>
      </c>
      <c r="F35" s="77">
        <f t="shared" ref="F35:L35" si="21">F$14 * F24</f>
        <v>605504.91338716866</v>
      </c>
      <c r="G35" s="77">
        <f t="shared" si="21"/>
        <v>608382.60224033904</v>
      </c>
      <c r="H35" s="77">
        <f t="shared" si="21"/>
        <v>611259.40681041102</v>
      </c>
      <c r="I35" s="77">
        <f t="shared" si="21"/>
        <v>614686.1985347853</v>
      </c>
      <c r="J35" s="77">
        <f t="shared" si="21"/>
        <v>616770.11465170106</v>
      </c>
      <c r="K35" s="77">
        <f t="shared" si="21"/>
        <v>618817.4445793496</v>
      </c>
      <c r="L35" s="77">
        <f t="shared" si="21"/>
        <v>620773.00466891564</v>
      </c>
    </row>
    <row r="36" spans="1:12" x14ac:dyDescent="0.4">
      <c r="A36" s="60" t="str">
        <f>A25</f>
        <v>Cable poles</v>
      </c>
      <c r="B36" s="60"/>
      <c r="C36" s="60"/>
      <c r="D36" s="359">
        <f t="shared" si="18"/>
        <v>665667.66714333033</v>
      </c>
      <c r="E36" s="359">
        <f t="shared" si="18"/>
        <v>628924.07011415344</v>
      </c>
      <c r="F36" s="359">
        <f t="shared" ref="F36:L36" si="22">F$14 * F25</f>
        <v>596076.8686899459</v>
      </c>
      <c r="G36" s="359">
        <f t="shared" si="22"/>
        <v>598909.75034414476</v>
      </c>
      <c r="H36" s="359">
        <f t="shared" si="22"/>
        <v>601741.76148401957</v>
      </c>
      <c r="I36" s="359">
        <f t="shared" si="22"/>
        <v>605115.19617555873</v>
      </c>
      <c r="J36" s="359">
        <f t="shared" si="22"/>
        <v>607166.66457180178</v>
      </c>
      <c r="K36" s="359">
        <f t="shared" si="22"/>
        <v>609182.11644587712</v>
      </c>
      <c r="L36" s="359">
        <f t="shared" si="22"/>
        <v>611107.22738874762</v>
      </c>
    </row>
    <row r="37" spans="1:12" x14ac:dyDescent="0.4">
      <c r="A37" s="40" t="s">
        <v>146</v>
      </c>
      <c r="B37" s="40"/>
      <c r="D37" s="39">
        <f>SUM(D32:D36)</f>
        <v>4114415.5000000005</v>
      </c>
      <c r="E37" s="39">
        <f t="shared" ref="E37" si="23">SUM(E32:E36)</f>
        <v>4144050.1207223153</v>
      </c>
      <c r="F37" s="39">
        <f t="shared" ref="F37:L37" si="24">SUM(F32:F36)</f>
        <v>4185130.2017974257</v>
      </c>
      <c r="G37" s="39">
        <f t="shared" si="24"/>
        <v>4205020.2179880599</v>
      </c>
      <c r="H37" s="39">
        <f t="shared" si="24"/>
        <v>4224904.1221888149</v>
      </c>
      <c r="I37" s="39">
        <f t="shared" si="24"/>
        <v>4248589.4288211297</v>
      </c>
      <c r="J37" s="39">
        <f t="shared" si="24"/>
        <v>4262993.0448547788</v>
      </c>
      <c r="K37" s="39">
        <f t="shared" si="24"/>
        <v>4277143.7843843978</v>
      </c>
      <c r="L37" s="39">
        <f t="shared" si="24"/>
        <v>4290660.2289438471</v>
      </c>
    </row>
    <row r="38" spans="1:12" ht="14.25" x14ac:dyDescent="0.45">
      <c r="D38" s="272" t="b">
        <f t="shared" ref="D38:E38" si="25">ROUND(D37,0)=ROUND(D14,0)</f>
        <v>1</v>
      </c>
      <c r="E38" s="272" t="b">
        <f t="shared" si="25"/>
        <v>1</v>
      </c>
      <c r="F38" s="272" t="b">
        <f t="shared" ref="F38:L38" si="26">ROUND(F37,0)=ROUND(F14,0)</f>
        <v>1</v>
      </c>
      <c r="G38" s="272" t="b">
        <f t="shared" si="26"/>
        <v>1</v>
      </c>
      <c r="H38" s="272" t="b">
        <f t="shared" si="26"/>
        <v>1</v>
      </c>
      <c r="I38" s="272" t="b">
        <f t="shared" si="26"/>
        <v>1</v>
      </c>
      <c r="J38" s="272" t="b">
        <f t="shared" si="26"/>
        <v>1</v>
      </c>
      <c r="K38" s="272" t="b">
        <f t="shared" si="26"/>
        <v>1</v>
      </c>
      <c r="L38" s="272" t="b">
        <f t="shared" si="26"/>
        <v>1</v>
      </c>
    </row>
    <row r="40" spans="1:12" x14ac:dyDescent="0.4">
      <c r="A40" s="98" t="s">
        <v>254</v>
      </c>
      <c r="B40" s="98"/>
      <c r="C40" s="107"/>
      <c r="D40" s="107">
        <f>D32+D33</f>
        <v>1503816.692882807</v>
      </c>
      <c r="E40" s="107">
        <f t="shared" ref="E40:L40" si="27">E32+E33</f>
        <v>1508144.7329402491</v>
      </c>
      <c r="F40" s="107">
        <f t="shared" si="27"/>
        <v>1514163.4341836846</v>
      </c>
      <c r="G40" s="107">
        <f t="shared" si="27"/>
        <v>1521359.562803111</v>
      </c>
      <c r="H40" s="107">
        <f t="shared" si="27"/>
        <v>1528553.4801289479</v>
      </c>
      <c r="I40" s="107">
        <f t="shared" si="27"/>
        <v>1537122.729710401</v>
      </c>
      <c r="J40" s="107">
        <f t="shared" si="27"/>
        <v>1542333.9006098886</v>
      </c>
      <c r="K40" s="107">
        <f t="shared" si="27"/>
        <v>1547453.5817976336</v>
      </c>
      <c r="L40" s="107">
        <f t="shared" si="27"/>
        <v>1552343.7775920918</v>
      </c>
    </row>
    <row r="41" spans="1:12" ht="8.25" customHeight="1" thickBot="1" x14ac:dyDescent="0.45">
      <c r="A41" s="81"/>
      <c r="B41" s="81"/>
      <c r="C41" s="81"/>
      <c r="D41" s="81"/>
      <c r="E41" s="81"/>
      <c r="F41" s="81"/>
      <c r="G41" s="81"/>
      <c r="H41" s="81"/>
      <c r="I41" s="81"/>
      <c r="J41" s="81"/>
      <c r="K41" s="81"/>
      <c r="L41" s="81"/>
    </row>
    <row r="42" spans="1:12" ht="8.25" customHeight="1" x14ac:dyDescent="0.4"/>
    <row r="43" spans="1:12" ht="15.75" x14ac:dyDescent="0.5">
      <c r="A43" s="8" t="s">
        <v>255</v>
      </c>
    </row>
    <row r="44" spans="1:12" ht="8.25" customHeight="1" x14ac:dyDescent="0.4"/>
    <row r="45" spans="1:12" ht="14.25" x14ac:dyDescent="0.4">
      <c r="A45" s="28" t="str">
        <f>'Input data'!A155</f>
        <v>Ratio of manifolds to poles</v>
      </c>
      <c r="D45" s="368">
        <f>IF(D$31&lt;=selected_year,'Input data'!E155, C45)</f>
        <v>0.54755336515333619</v>
      </c>
      <c r="E45" s="368">
        <f>IF(E$31&lt;=selected_year,'Input data'!F155, D45)</f>
        <v>0.62702717186244927</v>
      </c>
      <c r="F45" s="368">
        <f>IF(F$31&lt;=selected_year,'Input data'!G155, E45)</f>
        <v>0.72346391134977894</v>
      </c>
      <c r="G45" s="56">
        <f>F45</f>
        <v>0.72346391134977894</v>
      </c>
      <c r="H45" s="56">
        <f t="shared" ref="H45:L45" si="28">G45</f>
        <v>0.72346391134977894</v>
      </c>
      <c r="I45" s="56">
        <f t="shared" si="28"/>
        <v>0.72346391134977894</v>
      </c>
      <c r="J45" s="56">
        <f t="shared" si="28"/>
        <v>0.72346391134977894</v>
      </c>
      <c r="K45" s="56">
        <f t="shared" si="28"/>
        <v>0.72346391134977894</v>
      </c>
      <c r="L45" s="56">
        <f t="shared" si="28"/>
        <v>0.72346391134977894</v>
      </c>
    </row>
    <row r="47" spans="1:12" x14ac:dyDescent="0.4">
      <c r="A47" s="28" t="s">
        <v>256</v>
      </c>
      <c r="D47" s="77">
        <f>D14*D$45</f>
        <v>2252862.0526640462</v>
      </c>
      <c r="E47" s="77">
        <f t="shared" ref="E47:L47" si="29">E14*E$45</f>
        <v>2598432.0272527547</v>
      </c>
      <c r="F47" s="77">
        <f t="shared" si="29"/>
        <v>3027790.6653004554</v>
      </c>
      <c r="G47" s="77">
        <f t="shared" si="29"/>
        <v>3042180.3742105421</v>
      </c>
      <c r="H47" s="77">
        <f t="shared" si="29"/>
        <v>3056565.6613165243</v>
      </c>
      <c r="I47" s="77">
        <f t="shared" si="29"/>
        <v>3073701.1258942578</v>
      </c>
      <c r="J47" s="77">
        <f t="shared" si="29"/>
        <v>3084121.6222875421</v>
      </c>
      <c r="K47" s="77">
        <f t="shared" si="29"/>
        <v>3094359.1716561313</v>
      </c>
      <c r="L47" s="77">
        <f t="shared" si="29"/>
        <v>3104137.8315046537</v>
      </c>
    </row>
    <row r="49" spans="1:7" x14ac:dyDescent="0.4">
      <c r="A49" s="66" t="s">
        <v>257</v>
      </c>
    </row>
    <row r="50" spans="1:7" ht="7.15" customHeight="1" x14ac:dyDescent="0.4">
      <c r="A50" s="66"/>
    </row>
    <row r="51" spans="1:7" s="40" customFormat="1" ht="39.4" x14ac:dyDescent="0.45">
      <c r="A51" s="82" t="s">
        <v>258</v>
      </c>
      <c r="D51" s="94" t="s">
        <v>259</v>
      </c>
      <c r="E51" s="94" t="s">
        <v>260</v>
      </c>
      <c r="F51" s="94" t="s">
        <v>261</v>
      </c>
    </row>
    <row r="52" spans="1:7" x14ac:dyDescent="0.4">
      <c r="A52" s="28" t="s">
        <v>262</v>
      </c>
      <c r="D52" s="39">
        <f>IF($A52="","",'Input data'!E138 * D$14/D$11)</f>
        <v>11241980.066460734</v>
      </c>
      <c r="E52" s="39">
        <f>IF($A52="","",'Input data'!F138 * E$14/E$11)</f>
        <v>12590293.978822738</v>
      </c>
      <c r="F52" s="39">
        <f>IF($A52="","",'Input data'!G138 * F$14/F$11)</f>
        <v>12325780.859506443</v>
      </c>
      <c r="G52" s="40"/>
    </row>
    <row r="53" spans="1:7" x14ac:dyDescent="0.4">
      <c r="A53" s="28" t="s">
        <v>263</v>
      </c>
      <c r="D53" s="39">
        <f>IF($A53="","",'Input data'!E139 * D$14/D$11)</f>
        <v>0</v>
      </c>
      <c r="E53" s="39">
        <f>IF($A53="","",'Input data'!F139 * E$14/E$11)</f>
        <v>0</v>
      </c>
      <c r="F53" s="39">
        <f>IF($A53="","",'Input data'!G139 * F$14/F$11)</f>
        <v>0</v>
      </c>
      <c r="G53" s="40"/>
    </row>
    <row r="54" spans="1:7" x14ac:dyDescent="0.4">
      <c r="D54" s="39"/>
      <c r="E54" s="39"/>
      <c r="F54" s="39"/>
      <c r="G54" s="40"/>
    </row>
    <row r="55" spans="1:7" x14ac:dyDescent="0.4">
      <c r="A55" s="28" t="s">
        <v>264</v>
      </c>
      <c r="D55" s="39">
        <f>IF($A55="","",'Input data'!E141 * D$14/D$11)</f>
        <v>2842132.7743004318</v>
      </c>
      <c r="E55" s="39">
        <f>IF($A55="","",'Input data'!F141 * E$14/E$11)</f>
        <v>2962425.4875098844</v>
      </c>
      <c r="F55" s="39">
        <f>IF($A55="","",'Input data'!G141 * F$14/F$11)</f>
        <v>3396808.191501874</v>
      </c>
      <c r="G55" s="40"/>
    </row>
    <row r="56" spans="1:7" x14ac:dyDescent="0.4">
      <c r="A56" s="28" t="s">
        <v>265</v>
      </c>
      <c r="D56" s="39">
        <f>IF($A56="","",'Input data'!E142 * D$14/D$11)</f>
        <v>526390.65114537615</v>
      </c>
      <c r="E56" s="39">
        <f>IF($A56="","",'Input data'!F142 * E$14/E$11)</f>
        <v>573556.99890139</v>
      </c>
      <c r="F56" s="39">
        <f>IF($A56="","",'Input data'!G142 * F$14/F$11)</f>
        <v>589512.92300295946</v>
      </c>
      <c r="G56" s="40"/>
    </row>
    <row r="57" spans="1:7" x14ac:dyDescent="0.4">
      <c r="D57" s="39"/>
      <c r="E57" s="39"/>
      <c r="F57" s="39"/>
      <c r="G57" s="40"/>
    </row>
    <row r="58" spans="1:7" x14ac:dyDescent="0.4">
      <c r="A58" s="28" t="s">
        <v>266</v>
      </c>
      <c r="D58" s="39">
        <f>IF($A58="","",'Input data'!E144 * D$14/D$11)</f>
        <v>3772358.1948485561</v>
      </c>
      <c r="E58" s="39">
        <f>IF($A58="","",'Input data'!F144 * E$14/E$11)</f>
        <v>3977492.7380822748</v>
      </c>
      <c r="F58" s="39">
        <f>IF($A58="","",'Input data'!G144 * F$14/F$11)</f>
        <v>4270853.4777533738</v>
      </c>
      <c r="G58" s="40"/>
    </row>
    <row r="59" spans="1:7" x14ac:dyDescent="0.4">
      <c r="A59" s="28" t="s">
        <v>267</v>
      </c>
      <c r="D59" s="39">
        <f>IF($A59="","",'Input data'!E145 * D$14/D$11)</f>
        <v>0</v>
      </c>
      <c r="E59" s="39">
        <f>IF($A59="","",'Input data'!F145 * E$14/E$11)</f>
        <v>0</v>
      </c>
      <c r="F59" s="39">
        <f>IF($A59="","",'Input data'!G145 * F$14/F$11)</f>
        <v>0</v>
      </c>
      <c r="G59" s="40"/>
    </row>
    <row r="60" spans="1:7" x14ac:dyDescent="0.4">
      <c r="D60" s="39"/>
      <c r="E60" s="39"/>
      <c r="F60" s="39"/>
      <c r="G60" s="40"/>
    </row>
    <row r="61" spans="1:7" x14ac:dyDescent="0.4">
      <c r="A61" s="28" t="s">
        <v>268</v>
      </c>
      <c r="D61" s="39">
        <f>IF($A61="","",'Input data'!E147 * D$14/D$11)</f>
        <v>1903320.744914409</v>
      </c>
      <c r="E61" s="39">
        <f>IF($A61="","",'Input data'!F147 * E$14/E$11)</f>
        <v>1918338.0103543787</v>
      </c>
      <c r="F61" s="39">
        <f>IF($A61="","",'Input data'!G147 * F$14/F$11)</f>
        <v>2180594.3025756748</v>
      </c>
      <c r="G61" s="40"/>
    </row>
    <row r="62" spans="1:7" x14ac:dyDescent="0.4">
      <c r="A62" s="28" t="s">
        <v>269</v>
      </c>
      <c r="D62" s="39">
        <f>IF($A62="","",'Input data'!E148 * D$14/D$11)</f>
        <v>884828.11247930571</v>
      </c>
      <c r="E62" s="39">
        <f>IF($A62="","",'Input data'!F148 * E$14/E$11)</f>
        <v>1140385.8844329941</v>
      </c>
      <c r="F62" s="39">
        <f>IF($A62="","",'Input data'!G148 * F$14/F$11)</f>
        <v>1110380.6008168811</v>
      </c>
      <c r="G62" s="40"/>
    </row>
    <row r="63" spans="1:7" x14ac:dyDescent="0.4">
      <c r="D63" s="39"/>
      <c r="E63" s="39"/>
      <c r="F63" s="39"/>
      <c r="G63" s="40"/>
    </row>
    <row r="64" spans="1:7" x14ac:dyDescent="0.4">
      <c r="A64" s="28" t="s">
        <v>270</v>
      </c>
      <c r="D64" s="39">
        <f>IF($A64="","",'Input data'!E150 * D$14/D$11)</f>
        <v>0</v>
      </c>
      <c r="E64" s="39">
        <f>IF($A64="","",'Input data'!F150 * E$14/E$11)</f>
        <v>0</v>
      </c>
      <c r="F64" s="39">
        <f>IF($A64="","",'Input data'!G150 * F$14/F$11)</f>
        <v>0</v>
      </c>
      <c r="G64" s="40"/>
    </row>
    <row r="65" spans="1:12" x14ac:dyDescent="0.4">
      <c r="A65" s="28" t="s">
        <v>271</v>
      </c>
      <c r="D65" s="39">
        <f>IF($A65="","",'Input data'!E151 * D$14/D$11)</f>
        <v>1107869.4011672402</v>
      </c>
      <c r="E65" s="39">
        <f>IF($A65="","",'Input data'!F151 * E$14/E$11)</f>
        <v>1197018.4250774714</v>
      </c>
      <c r="F65" s="39">
        <f>IF($A65="","",'Input data'!G151 * F$14/F$11)</f>
        <v>923199.32915074611</v>
      </c>
      <c r="G65" s="40"/>
    </row>
    <row r="67" spans="1:12" x14ac:dyDescent="0.4">
      <c r="A67" s="66" t="s">
        <v>272</v>
      </c>
      <c r="F67" s="39"/>
    </row>
    <row r="68" spans="1:12" ht="7.5" customHeight="1" x14ac:dyDescent="0.4"/>
    <row r="69" spans="1:12" x14ac:dyDescent="0.4">
      <c r="D69" s="65" t="s">
        <v>92</v>
      </c>
      <c r="E69" s="65" t="s">
        <v>93</v>
      </c>
      <c r="F69" s="65" t="s">
        <v>51</v>
      </c>
      <c r="G69" s="65" t="s">
        <v>138</v>
      </c>
      <c r="H69" s="65" t="s">
        <v>139</v>
      </c>
      <c r="I69" s="65" t="s">
        <v>140</v>
      </c>
      <c r="J69" s="65" t="s">
        <v>141</v>
      </c>
      <c r="K69" s="65" t="s">
        <v>142</v>
      </c>
      <c r="L69" s="65" t="s">
        <v>143</v>
      </c>
    </row>
    <row r="70" spans="1:12" ht="14.25" x14ac:dyDescent="0.45">
      <c r="A70" s="28" t="str">
        <f>A52</f>
        <v>DP poles - pure: single premises</v>
      </c>
      <c r="B70" s="28" t="s">
        <v>273</v>
      </c>
      <c r="D70" s="369">
        <f t="shared" ref="D70:F71" si="30">IF(D$69&lt;=selected_year, D52, C70*D$14/C$14)</f>
        <v>11241980.066460734</v>
      </c>
      <c r="E70" s="369">
        <f t="shared" si="30"/>
        <v>12590293.978822738</v>
      </c>
      <c r="F70" s="369">
        <f t="shared" si="30"/>
        <v>12325780.859506443</v>
      </c>
      <c r="G70" s="30">
        <f t="shared" ref="G70:J71" si="31">F70*G$14/F$14</f>
        <v>12384359.677616451</v>
      </c>
      <c r="H70" s="30">
        <f t="shared" si="31"/>
        <v>12442920.495080307</v>
      </c>
      <c r="I70" s="30">
        <f t="shared" si="31"/>
        <v>12512676.962636501</v>
      </c>
      <c r="J70" s="30">
        <f t="shared" si="31"/>
        <v>12555097.581889633</v>
      </c>
      <c r="K70" s="30">
        <f t="shared" ref="K70:K71" si="32">J70*K$14/J$14</f>
        <v>12596773.445251569</v>
      </c>
      <c r="L70" s="30">
        <f t="shared" ref="L70:L71" si="33">K70*L$14/K$14</f>
        <v>12636581.223171573</v>
      </c>
    </row>
    <row r="71" spans="1:12" ht="14.25" x14ac:dyDescent="0.45">
      <c r="B71" s="28" t="s">
        <v>274</v>
      </c>
      <c r="D71" s="369">
        <f t="shared" si="30"/>
        <v>0</v>
      </c>
      <c r="E71" s="369">
        <f t="shared" si="30"/>
        <v>0</v>
      </c>
      <c r="F71" s="369">
        <f t="shared" si="30"/>
        <v>0</v>
      </c>
      <c r="G71" s="30">
        <f t="shared" si="31"/>
        <v>0</v>
      </c>
      <c r="H71" s="30">
        <f t="shared" si="31"/>
        <v>0</v>
      </c>
      <c r="I71" s="30">
        <f t="shared" si="31"/>
        <v>0</v>
      </c>
      <c r="J71" s="30">
        <f t="shared" si="31"/>
        <v>0</v>
      </c>
      <c r="K71" s="30">
        <f t="shared" si="32"/>
        <v>0</v>
      </c>
      <c r="L71" s="30">
        <f t="shared" si="33"/>
        <v>0</v>
      </c>
    </row>
    <row r="73" spans="1:12" ht="14.25" x14ac:dyDescent="0.45">
      <c r="A73" s="28" t="str">
        <f>A55</f>
        <v>DP poles - mixed: single premises</v>
      </c>
      <c r="B73" s="28" t="str">
        <f>B70</f>
        <v>Single</v>
      </c>
      <c r="D73" s="369">
        <f t="shared" ref="D73:F74" si="34">IF(D$69&lt;=selected_year, D55, C73*D$14/C$14)</f>
        <v>2842132.7743004318</v>
      </c>
      <c r="E73" s="369">
        <f t="shared" si="34"/>
        <v>2962425.4875098844</v>
      </c>
      <c r="F73" s="369">
        <f t="shared" si="34"/>
        <v>3396808.191501874</v>
      </c>
      <c r="G73" s="30">
        <f t="shared" ref="G73:J73" si="35">F73*G$14/F$14</f>
        <v>3412951.6725090919</v>
      </c>
      <c r="H73" s="30">
        <f t="shared" si="35"/>
        <v>3429090.1927967416</v>
      </c>
      <c r="I73" s="30">
        <f t="shared" si="35"/>
        <v>3448314.0734665296</v>
      </c>
      <c r="J73" s="30">
        <f t="shared" si="35"/>
        <v>3460004.5869204081</v>
      </c>
      <c r="K73" s="30">
        <f t="shared" ref="K73:K74" si="36">J73*K$14/J$14</f>
        <v>3471489.856346284</v>
      </c>
      <c r="L73" s="30">
        <f t="shared" ref="L73:L74" si="37">K73*L$14/K$14</f>
        <v>3482460.3082523691</v>
      </c>
    </row>
    <row r="74" spans="1:12" ht="14.25" x14ac:dyDescent="0.45">
      <c r="B74" s="28" t="str">
        <f>B71</f>
        <v>Multi</v>
      </c>
      <c r="D74" s="369">
        <f t="shared" si="34"/>
        <v>526390.65114537615</v>
      </c>
      <c r="E74" s="369">
        <f t="shared" si="34"/>
        <v>573556.99890139</v>
      </c>
      <c r="F74" s="369">
        <f t="shared" si="34"/>
        <v>589512.92300295946</v>
      </c>
      <c r="G74" s="30">
        <f t="shared" ref="G74:J74" si="38">F74*G$14/F$14</f>
        <v>592314.60921527399</v>
      </c>
      <c r="H74" s="30">
        <f t="shared" si="38"/>
        <v>595115.43449929112</v>
      </c>
      <c r="I74" s="30">
        <f t="shared" si="38"/>
        <v>598451.72122677229</v>
      </c>
      <c r="J74" s="30">
        <f t="shared" si="38"/>
        <v>600480.59903472243</v>
      </c>
      <c r="K74" s="30">
        <f t="shared" si="36"/>
        <v>602473.85693125718</v>
      </c>
      <c r="L74" s="30">
        <f t="shared" si="37"/>
        <v>604377.76872292068</v>
      </c>
    </row>
    <row r="76" spans="1:12" ht="14.25" x14ac:dyDescent="0.45">
      <c r="A76" s="28" t="str">
        <f>A58</f>
        <v>Feeder poles - pure: single premises</v>
      </c>
      <c r="B76" s="28" t="str">
        <f>B73</f>
        <v>Single</v>
      </c>
      <c r="D76" s="369">
        <f t="shared" ref="D76:F77" si="39">IF(D$69&lt;=selected_year, D58, C76*D$14/C$14)</f>
        <v>3772358.1948485561</v>
      </c>
      <c r="E76" s="369">
        <f t="shared" si="39"/>
        <v>3977492.7380822748</v>
      </c>
      <c r="F76" s="369">
        <f t="shared" si="39"/>
        <v>4270853.4777533738</v>
      </c>
      <c r="G76" s="30">
        <f t="shared" ref="G76:J76" si="40">F76*G$14/F$14</f>
        <v>4291150.8976003975</v>
      </c>
      <c r="H76" s="30">
        <f t="shared" si="40"/>
        <v>4311442.080266743</v>
      </c>
      <c r="I76" s="30">
        <f t="shared" si="40"/>
        <v>4335612.5288130818</v>
      </c>
      <c r="J76" s="30">
        <f t="shared" si="40"/>
        <v>4350311.1715466138</v>
      </c>
      <c r="K76" s="30">
        <f t="shared" ref="K76:K77" si="41">J76*K$14/J$14</f>
        <v>4364751.7581517557</v>
      </c>
      <c r="L76" s="30">
        <f t="shared" ref="L76:L77" si="42">K76*L$14/K$14</f>
        <v>4378545.0576359145</v>
      </c>
    </row>
    <row r="77" spans="1:12" ht="14.25" x14ac:dyDescent="0.45">
      <c r="B77" s="28" t="str">
        <f>B74</f>
        <v>Multi</v>
      </c>
      <c r="D77" s="369">
        <f t="shared" si="39"/>
        <v>0</v>
      </c>
      <c r="E77" s="369">
        <f t="shared" si="39"/>
        <v>0</v>
      </c>
      <c r="F77" s="369">
        <f t="shared" si="39"/>
        <v>0</v>
      </c>
      <c r="G77" s="30">
        <f t="shared" ref="G77:J77" si="43">F77*G$14/F$14</f>
        <v>0</v>
      </c>
      <c r="H77" s="30">
        <f t="shared" si="43"/>
        <v>0</v>
      </c>
      <c r="I77" s="30">
        <f t="shared" si="43"/>
        <v>0</v>
      </c>
      <c r="J77" s="30">
        <f t="shared" si="43"/>
        <v>0</v>
      </c>
      <c r="K77" s="30">
        <f t="shared" si="41"/>
        <v>0</v>
      </c>
      <c r="L77" s="30">
        <f t="shared" si="42"/>
        <v>0</v>
      </c>
    </row>
    <row r="79" spans="1:12" ht="14.25" x14ac:dyDescent="0.45">
      <c r="A79" s="28" t="str">
        <f>A61</f>
        <v>Feeder poles - mixed: single premises</v>
      </c>
      <c r="B79" s="28" t="str">
        <f>B76</f>
        <v>Single</v>
      </c>
      <c r="D79" s="369">
        <f t="shared" ref="D79:F80" si="44">IF(D$69&lt;=selected_year, D61, C79*D$14/C$14)</f>
        <v>1903320.744914409</v>
      </c>
      <c r="E79" s="369">
        <f t="shared" si="44"/>
        <v>1918338.0103543787</v>
      </c>
      <c r="F79" s="369">
        <f t="shared" si="44"/>
        <v>2180594.3025756748</v>
      </c>
      <c r="G79" s="30">
        <f t="shared" ref="G79:J79" si="45">F79*G$14/F$14</f>
        <v>2190957.67334125</v>
      </c>
      <c r="H79" s="30">
        <f t="shared" si="45"/>
        <v>2201317.8595534987</v>
      </c>
      <c r="I79" s="30">
        <f t="shared" si="45"/>
        <v>2213658.7049291101</v>
      </c>
      <c r="J79" s="30">
        <f t="shared" si="45"/>
        <v>2221163.4757594117</v>
      </c>
      <c r="K79" s="30">
        <f t="shared" ref="K79:K80" si="46">J79*K$14/J$14</f>
        <v>2228536.4893832803</v>
      </c>
      <c r="L79" s="30">
        <f t="shared" ref="L79:L80" si="47">K79*L$14/K$14</f>
        <v>2235579.0138870003</v>
      </c>
    </row>
    <row r="80" spans="1:12" ht="14.25" x14ac:dyDescent="0.45">
      <c r="B80" s="28" t="str">
        <f>B77</f>
        <v>Multi</v>
      </c>
      <c r="D80" s="369">
        <f t="shared" si="44"/>
        <v>884828.11247930571</v>
      </c>
      <c r="E80" s="369">
        <f t="shared" si="44"/>
        <v>1140385.8844329941</v>
      </c>
      <c r="F80" s="369">
        <f t="shared" si="44"/>
        <v>1110380.6008168811</v>
      </c>
      <c r="G80" s="30">
        <f t="shared" ref="G80:J80" si="48">F80*G$14/F$14</f>
        <v>1115657.7336808785</v>
      </c>
      <c r="H80" s="30">
        <f t="shared" si="48"/>
        <v>1120933.2449382194</v>
      </c>
      <c r="I80" s="30">
        <f t="shared" si="48"/>
        <v>1127217.3278080013</v>
      </c>
      <c r="J80" s="30">
        <f t="shared" si="48"/>
        <v>1131038.8327682316</v>
      </c>
      <c r="K80" s="30">
        <f t="shared" si="46"/>
        <v>1134793.24563074</v>
      </c>
      <c r="L80" s="30">
        <f t="shared" si="47"/>
        <v>1138379.3701017026</v>
      </c>
    </row>
    <row r="82" spans="1:13" ht="14.25" x14ac:dyDescent="0.45">
      <c r="A82" s="28" t="str">
        <f>A64</f>
        <v>Cable poles: single premises</v>
      </c>
      <c r="B82" s="28" t="str">
        <f>B79</f>
        <v>Single</v>
      </c>
      <c r="D82" s="369">
        <f t="shared" ref="D82:F83" si="49">IF(D$69&lt;=selected_year, D64, C82*D$14/C$14)</f>
        <v>0</v>
      </c>
      <c r="E82" s="369">
        <f t="shared" si="49"/>
        <v>0</v>
      </c>
      <c r="F82" s="369">
        <f t="shared" si="49"/>
        <v>0</v>
      </c>
      <c r="G82" s="30">
        <f t="shared" ref="G82:J82" si="50">F82*G$14/F$14</f>
        <v>0</v>
      </c>
      <c r="H82" s="30">
        <f t="shared" si="50"/>
        <v>0</v>
      </c>
      <c r="I82" s="30">
        <f t="shared" si="50"/>
        <v>0</v>
      </c>
      <c r="J82" s="30">
        <f t="shared" si="50"/>
        <v>0</v>
      </c>
      <c r="K82" s="30">
        <f t="shared" ref="K82:K83" si="51">J82*K$14/J$14</f>
        <v>0</v>
      </c>
      <c r="L82" s="30">
        <f t="shared" ref="L82:L83" si="52">K82*L$14/K$14</f>
        <v>0</v>
      </c>
    </row>
    <row r="83" spans="1:13" ht="14.25" x14ac:dyDescent="0.45">
      <c r="B83" s="28" t="str">
        <f>B80</f>
        <v>Multi</v>
      </c>
      <c r="D83" s="369">
        <f t="shared" si="49"/>
        <v>1107869.4011672402</v>
      </c>
      <c r="E83" s="369">
        <f t="shared" si="49"/>
        <v>1197018.4250774714</v>
      </c>
      <c r="F83" s="369">
        <f t="shared" si="49"/>
        <v>923199.32915074611</v>
      </c>
      <c r="G83" s="30">
        <f t="shared" ref="G83:J83" si="53">F83*G$14/F$14</f>
        <v>927586.87475114455</v>
      </c>
      <c r="H83" s="30">
        <f t="shared" si="53"/>
        <v>931973.07210556639</v>
      </c>
      <c r="I83" s="30">
        <f t="shared" si="53"/>
        <v>937197.82214662642</v>
      </c>
      <c r="J83" s="30">
        <f t="shared" si="53"/>
        <v>940375.12082514749</v>
      </c>
      <c r="K83" s="30">
        <f t="shared" si="51"/>
        <v>943496.63738755207</v>
      </c>
      <c r="L83" s="30">
        <f t="shared" si="52"/>
        <v>946478.23460152361</v>
      </c>
    </row>
    <row r="85" spans="1:13" x14ac:dyDescent="0.4">
      <c r="A85" s="98" t="s">
        <v>275</v>
      </c>
      <c r="B85" s="98" t="str">
        <f>B82</f>
        <v>Single</v>
      </c>
      <c r="D85" s="106">
        <f>SUMIF($B$70:$B$83,$B85,D$70:D$83)</f>
        <v>19759791.780524131</v>
      </c>
      <c r="E85" s="106">
        <f t="shared" ref="E85:L86" si="54">SUMIF($B$70:$B$83,$B85,E$70:E$83)</f>
        <v>21448550.214769274</v>
      </c>
      <c r="F85" s="106">
        <f t="shared" si="54"/>
        <v>22174036.831337366</v>
      </c>
      <c r="G85" s="106">
        <f t="shared" si="54"/>
        <v>22279419.921067193</v>
      </c>
      <c r="H85" s="106">
        <f t="shared" si="54"/>
        <v>22384770.627697289</v>
      </c>
      <c r="I85" s="106">
        <f t="shared" si="54"/>
        <v>22510262.269845221</v>
      </c>
      <c r="J85" s="106">
        <f t="shared" si="54"/>
        <v>22586576.816116069</v>
      </c>
      <c r="K85" s="106">
        <f t="shared" si="54"/>
        <v>22661551.549132887</v>
      </c>
      <c r="L85" s="106">
        <f t="shared" si="54"/>
        <v>22733165.602946855</v>
      </c>
    </row>
    <row r="86" spans="1:13" x14ac:dyDescent="0.4">
      <c r="A86" s="98"/>
      <c r="B86" s="98" t="str">
        <f>B83</f>
        <v>Multi</v>
      </c>
      <c r="D86" s="106">
        <f>SUMIF($B$70:$B$83,$B86,D$70:D$83)</f>
        <v>2519088.1647919221</v>
      </c>
      <c r="E86" s="106">
        <f t="shared" si="54"/>
        <v>2910961.3084118553</v>
      </c>
      <c r="F86" s="106">
        <f t="shared" si="54"/>
        <v>2623092.8529705866</v>
      </c>
      <c r="G86" s="106">
        <f t="shared" si="54"/>
        <v>2635559.2176472973</v>
      </c>
      <c r="H86" s="106">
        <f t="shared" si="54"/>
        <v>2648021.7515430772</v>
      </c>
      <c r="I86" s="106">
        <f t="shared" si="54"/>
        <v>2662866.8711814</v>
      </c>
      <c r="J86" s="106">
        <f t="shared" si="54"/>
        <v>2671894.5526281018</v>
      </c>
      <c r="K86" s="106">
        <f t="shared" si="54"/>
        <v>2680763.7399495495</v>
      </c>
      <c r="L86" s="106">
        <f t="shared" si="54"/>
        <v>2689235.3734261468</v>
      </c>
      <c r="M86" s="30"/>
    </row>
    <row r="88" spans="1:13" x14ac:dyDescent="0.4">
      <c r="A88" s="28" t="s">
        <v>276</v>
      </c>
      <c r="B88" s="28" t="str">
        <f>B82</f>
        <v>Single</v>
      </c>
    </row>
    <row r="89" spans="1:13" x14ac:dyDescent="0.4">
      <c r="A89" s="28" t="s">
        <v>277</v>
      </c>
      <c r="B89" s="28" t="str">
        <f>B88</f>
        <v>Single</v>
      </c>
      <c r="D89" s="30">
        <f>D70+D76</f>
        <v>15014338.26130929</v>
      </c>
      <c r="E89" s="30">
        <f t="shared" ref="E89:J89" si="55">E70+E76</f>
        <v>16567786.716905013</v>
      </c>
      <c r="F89" s="30">
        <f t="shared" si="55"/>
        <v>16596634.337259818</v>
      </c>
      <c r="G89" s="30">
        <f t="shared" si="55"/>
        <v>16675510.575216848</v>
      </c>
      <c r="H89" s="30">
        <f t="shared" si="55"/>
        <v>16754362.575347051</v>
      </c>
      <c r="I89" s="30">
        <f t="shared" si="55"/>
        <v>16848289.491449583</v>
      </c>
      <c r="J89" s="30">
        <f t="shared" si="55"/>
        <v>16905408.753436245</v>
      </c>
      <c r="K89" s="30">
        <f t="shared" ref="K89:L89" si="56">K70+K76</f>
        <v>16961525.203403324</v>
      </c>
      <c r="L89" s="30">
        <f t="shared" si="56"/>
        <v>17015126.280807488</v>
      </c>
    </row>
    <row r="90" spans="1:13" x14ac:dyDescent="0.4">
      <c r="A90" s="28" t="s">
        <v>278</v>
      </c>
      <c r="B90" s="28" t="str">
        <f t="shared" ref="B90:B91" si="57">B89</f>
        <v>Single</v>
      </c>
      <c r="D90" s="77">
        <f t="shared" ref="D90:J90" si="58">D32+D34</f>
        <v>2535862.9804773908</v>
      </c>
      <c r="E90" s="77">
        <f t="shared" si="58"/>
        <v>2566054.5012131431</v>
      </c>
      <c r="F90" s="77">
        <f t="shared" si="58"/>
        <v>2604022.7361671915</v>
      </c>
      <c r="G90" s="77">
        <f t="shared" si="58"/>
        <v>2616398.4692712417</v>
      </c>
      <c r="H90" s="77">
        <f t="shared" si="58"/>
        <v>2628770.3994444772</v>
      </c>
      <c r="I90" s="77">
        <f t="shared" si="58"/>
        <v>2643507.5937513951</v>
      </c>
      <c r="J90" s="77">
        <f t="shared" si="58"/>
        <v>2652469.6431563422</v>
      </c>
      <c r="K90" s="77">
        <f t="shared" ref="K90:L90" si="59">K32+K34</f>
        <v>2661274.3507023295</v>
      </c>
      <c r="L90" s="77">
        <f t="shared" si="59"/>
        <v>2669684.3946550447</v>
      </c>
    </row>
    <row r="91" spans="1:13" x14ac:dyDescent="0.4">
      <c r="A91" s="98" t="s">
        <v>279</v>
      </c>
      <c r="B91" s="98" t="str">
        <f t="shared" si="57"/>
        <v>Single</v>
      </c>
      <c r="D91" s="105">
        <f>D89/D90</f>
        <v>5.9208002864897518</v>
      </c>
      <c r="E91" s="105">
        <f t="shared" ref="E91:J91" si="60">E89/E90</f>
        <v>6.4565217570680309</v>
      </c>
      <c r="F91" s="105">
        <f t="shared" si="60"/>
        <v>6.3734598422470263</v>
      </c>
      <c r="G91" s="105">
        <f t="shared" si="60"/>
        <v>6.3734598422470263</v>
      </c>
      <c r="H91" s="105">
        <f t="shared" si="60"/>
        <v>6.3734598422470272</v>
      </c>
      <c r="I91" s="105">
        <f t="shared" si="60"/>
        <v>6.3734598422470263</v>
      </c>
      <c r="J91" s="105">
        <f t="shared" si="60"/>
        <v>6.3734598422470254</v>
      </c>
      <c r="K91" s="105">
        <f t="shared" ref="K91:L91" si="61">K89/K90</f>
        <v>6.3734598422470254</v>
      </c>
      <c r="L91" s="105">
        <f t="shared" si="61"/>
        <v>6.3734598422470254</v>
      </c>
    </row>
    <row r="93" spans="1:13" x14ac:dyDescent="0.4">
      <c r="A93" s="28" t="s">
        <v>276</v>
      </c>
      <c r="B93" s="28" t="str">
        <f>B83</f>
        <v>Multi</v>
      </c>
    </row>
    <row r="94" spans="1:13" x14ac:dyDescent="0.4">
      <c r="A94" s="28" t="s">
        <v>280</v>
      </c>
      <c r="B94" s="28" t="str">
        <f>B93</f>
        <v>Multi</v>
      </c>
      <c r="D94" s="30">
        <f>D83</f>
        <v>1107869.4011672402</v>
      </c>
      <c r="E94" s="30">
        <f t="shared" ref="E94:J94" si="62">E83</f>
        <v>1197018.4250774714</v>
      </c>
      <c r="F94" s="30">
        <f t="shared" si="62"/>
        <v>923199.32915074611</v>
      </c>
      <c r="G94" s="30">
        <f t="shared" si="62"/>
        <v>927586.87475114455</v>
      </c>
      <c r="H94" s="30">
        <f t="shared" si="62"/>
        <v>931973.07210556639</v>
      </c>
      <c r="I94" s="30">
        <f t="shared" si="62"/>
        <v>937197.82214662642</v>
      </c>
      <c r="J94" s="30">
        <f t="shared" si="62"/>
        <v>940375.12082514749</v>
      </c>
      <c r="K94" s="30">
        <f t="shared" ref="K94:L94" si="63">K83</f>
        <v>943496.63738755207</v>
      </c>
      <c r="L94" s="30">
        <f t="shared" si="63"/>
        <v>946478.23460152361</v>
      </c>
    </row>
    <row r="95" spans="1:13" x14ac:dyDescent="0.4">
      <c r="A95" s="28" t="s">
        <v>252</v>
      </c>
      <c r="B95" s="28" t="str">
        <f t="shared" ref="B95:B96" si="64">B94</f>
        <v>Multi</v>
      </c>
      <c r="D95" s="77">
        <f t="shared" ref="D95:J95" si="65">D36</f>
        <v>665667.66714333033</v>
      </c>
      <c r="E95" s="77">
        <f t="shared" si="65"/>
        <v>628924.07011415344</v>
      </c>
      <c r="F95" s="77">
        <f t="shared" si="65"/>
        <v>596076.8686899459</v>
      </c>
      <c r="G95" s="77">
        <f t="shared" si="65"/>
        <v>598909.75034414476</v>
      </c>
      <c r="H95" s="77">
        <f t="shared" si="65"/>
        <v>601741.76148401957</v>
      </c>
      <c r="I95" s="77">
        <f t="shared" si="65"/>
        <v>605115.19617555873</v>
      </c>
      <c r="J95" s="77">
        <f t="shared" si="65"/>
        <v>607166.66457180178</v>
      </c>
      <c r="K95" s="77">
        <f t="shared" ref="K95:L95" si="66">K36</f>
        <v>609182.11644587712</v>
      </c>
      <c r="L95" s="77">
        <f t="shared" si="66"/>
        <v>611107.22738874762</v>
      </c>
    </row>
    <row r="96" spans="1:13" x14ac:dyDescent="0.4">
      <c r="A96" s="98" t="s">
        <v>279</v>
      </c>
      <c r="B96" s="98" t="str">
        <f t="shared" si="64"/>
        <v>Multi</v>
      </c>
      <c r="D96" s="105">
        <f>D94/D95</f>
        <v>1.6642980511906038</v>
      </c>
      <c r="E96" s="105">
        <f t="shared" ref="E96:J96" si="67">E94/E95</f>
        <v>1.9032797152448078</v>
      </c>
      <c r="F96" s="105">
        <f t="shared" si="67"/>
        <v>1.5487924085692975</v>
      </c>
      <c r="G96" s="105">
        <f t="shared" si="67"/>
        <v>1.5487924085692975</v>
      </c>
      <c r="H96" s="105">
        <f t="shared" si="67"/>
        <v>1.5487924085692975</v>
      </c>
      <c r="I96" s="105">
        <f t="shared" si="67"/>
        <v>1.5487924085692972</v>
      </c>
      <c r="J96" s="105">
        <f t="shared" si="67"/>
        <v>1.5487924085692972</v>
      </c>
      <c r="K96" s="105">
        <f t="shared" ref="K96:L96" si="68">K94/K95</f>
        <v>1.5487924085692972</v>
      </c>
      <c r="L96" s="105">
        <f t="shared" si="68"/>
        <v>1.5487924085692972</v>
      </c>
    </row>
    <row r="98" spans="1:12" x14ac:dyDescent="0.4">
      <c r="A98" s="28" t="s">
        <v>281</v>
      </c>
      <c r="B98" s="28" t="str">
        <f>B82</f>
        <v>Single</v>
      </c>
      <c r="D98" s="104">
        <f>'Parameters and Assumptions'!D32</f>
        <v>0</v>
      </c>
      <c r="E98" s="104">
        <f t="shared" ref="E98:L99" si="69">$D98</f>
        <v>0</v>
      </c>
      <c r="F98" s="104">
        <f t="shared" si="69"/>
        <v>0</v>
      </c>
      <c r="G98" s="104">
        <f t="shared" si="69"/>
        <v>0</v>
      </c>
      <c r="H98" s="104">
        <f t="shared" si="69"/>
        <v>0</v>
      </c>
      <c r="I98" s="104">
        <f t="shared" si="69"/>
        <v>0</v>
      </c>
      <c r="J98" s="104">
        <f t="shared" si="69"/>
        <v>0</v>
      </c>
      <c r="K98" s="104">
        <f t="shared" si="69"/>
        <v>0</v>
      </c>
      <c r="L98" s="104">
        <f t="shared" si="69"/>
        <v>0</v>
      </c>
    </row>
    <row r="99" spans="1:12" x14ac:dyDescent="0.4">
      <c r="B99" s="28" t="str">
        <f>B83</f>
        <v>Multi</v>
      </c>
      <c r="D99" s="104">
        <f>'Parameters and Assumptions'!D33</f>
        <v>2</v>
      </c>
      <c r="E99" s="104">
        <f t="shared" si="69"/>
        <v>2</v>
      </c>
      <c r="F99" s="104">
        <f t="shared" si="69"/>
        <v>2</v>
      </c>
      <c r="G99" s="104">
        <f t="shared" si="69"/>
        <v>2</v>
      </c>
      <c r="H99" s="104">
        <f t="shared" si="69"/>
        <v>2</v>
      </c>
      <c r="I99" s="104">
        <f t="shared" si="69"/>
        <v>2</v>
      </c>
      <c r="J99" s="104">
        <f t="shared" si="69"/>
        <v>2</v>
      </c>
      <c r="K99" s="104">
        <f t="shared" si="69"/>
        <v>2</v>
      </c>
      <c r="L99" s="104">
        <f t="shared" si="69"/>
        <v>2</v>
      </c>
    </row>
    <row r="101" spans="1:12" x14ac:dyDescent="0.4">
      <c r="A101" s="98" t="s">
        <v>282</v>
      </c>
      <c r="B101" s="98" t="str">
        <f>B98</f>
        <v>Single</v>
      </c>
      <c r="D101" s="105">
        <f>D91+D98</f>
        <v>5.9208002864897518</v>
      </c>
      <c r="E101" s="105">
        <f t="shared" ref="E101:J101" si="70">E91+E98</f>
        <v>6.4565217570680309</v>
      </c>
      <c r="F101" s="105">
        <f t="shared" si="70"/>
        <v>6.3734598422470263</v>
      </c>
      <c r="G101" s="105">
        <f t="shared" si="70"/>
        <v>6.3734598422470263</v>
      </c>
      <c r="H101" s="105">
        <f t="shared" si="70"/>
        <v>6.3734598422470272</v>
      </c>
      <c r="I101" s="105">
        <f t="shared" si="70"/>
        <v>6.3734598422470263</v>
      </c>
      <c r="J101" s="105">
        <f t="shared" si="70"/>
        <v>6.3734598422470254</v>
      </c>
      <c r="K101" s="105">
        <f t="shared" ref="K101:L101" si="71">K91+K98</f>
        <v>6.3734598422470254</v>
      </c>
      <c r="L101" s="105">
        <f t="shared" si="71"/>
        <v>6.3734598422470254</v>
      </c>
    </row>
    <row r="102" spans="1:12" x14ac:dyDescent="0.4">
      <c r="A102" s="98"/>
      <c r="B102" s="98" t="str">
        <f>B99</f>
        <v>Multi</v>
      </c>
      <c r="D102" s="105">
        <f>D96+D99</f>
        <v>3.6642980511906038</v>
      </c>
      <c r="E102" s="105">
        <f t="shared" ref="E102:J102" si="72">E96+E99</f>
        <v>3.9032797152448078</v>
      </c>
      <c r="F102" s="105">
        <f t="shared" si="72"/>
        <v>3.5487924085692972</v>
      </c>
      <c r="G102" s="105">
        <f t="shared" si="72"/>
        <v>3.5487924085692972</v>
      </c>
      <c r="H102" s="105">
        <f t="shared" si="72"/>
        <v>3.5487924085692972</v>
      </c>
      <c r="I102" s="105">
        <f t="shared" si="72"/>
        <v>3.5487924085692972</v>
      </c>
      <c r="J102" s="105">
        <f t="shared" si="72"/>
        <v>3.5487924085692972</v>
      </c>
      <c r="K102" s="105">
        <f t="shared" ref="K102:L102" si="73">K96+K99</f>
        <v>3.5487924085692972</v>
      </c>
      <c r="L102" s="105">
        <f t="shared" si="73"/>
        <v>3.5487924085692972</v>
      </c>
    </row>
    <row r="103" spans="1:12" ht="8.25" customHeight="1" thickBot="1" x14ac:dyDescent="0.45">
      <c r="A103" s="81"/>
      <c r="B103" s="81"/>
      <c r="C103" s="81"/>
      <c r="D103" s="81"/>
      <c r="E103" s="81"/>
      <c r="F103" s="81"/>
      <c r="G103" s="81"/>
      <c r="H103" s="81"/>
      <c r="I103" s="81"/>
      <c r="J103" s="81"/>
      <c r="K103" s="81"/>
      <c r="L103" s="81"/>
    </row>
    <row r="104" spans="1:12" ht="8.25" customHeight="1" x14ac:dyDescent="0.4"/>
    <row r="105" spans="1:12" x14ac:dyDescent="0.4">
      <c r="K105" s="28">
        <f>K96/K102</f>
        <v>0.43642800994203435</v>
      </c>
    </row>
  </sheetData>
  <mergeCells count="1">
    <mergeCell ref="D20:L20"/>
  </mergeCells>
  <conditionalFormatting sqref="D27:L27">
    <cfRule type="cellIs" dxfId="5" priority="2" stopIfTrue="1" operator="notEqual">
      <formula>TRUE</formula>
    </cfRule>
  </conditionalFormatting>
  <conditionalFormatting sqref="D38:L38">
    <cfRule type="cellIs" dxfId="4" priority="1" stopIfTrue="1" operator="notEqual">
      <formula>TRUE</formula>
    </cfRule>
  </conditionalFormatting>
  <pageMargins left="0.19685039370078741" right="0.19685039370078741" top="0.39370078740157483" bottom="0.39370078740157483" header="0.19685039370078741" footer="0.19685039370078741"/>
  <pageSetup paperSize="9" scale="65" orientation="landscape" r:id="rId1"/>
  <headerFooter>
    <oddHeader>&amp;Cpage &amp;P of &amp;N&amp;R&amp;D &amp;T&amp;L&amp;"Calibri"&amp;12&amp;K000000Classification: HIGHLY SENSITIVE&amp;1#_x000D_&amp;"Calibri"&amp;11&amp;K000000File: &amp;F Tab: &amp;A</oddHeader>
  </headerFooter>
  <rowBreaks count="1" manualBreakCount="1">
    <brk id="66" max="16383" man="1"/>
  </rowBreaks>
  <ignoredErrors>
    <ignoredError sqref="G26:L26"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9D9969-3ABE-4C08-846E-5EFC68D019D7}">
  <sheetPr codeName="Sheet17"/>
  <dimension ref="A1:O46"/>
  <sheetViews>
    <sheetView zoomScaleNormal="100" workbookViewId="0"/>
  </sheetViews>
  <sheetFormatPr defaultColWidth="8.796875" defaultRowHeight="14.25" x14ac:dyDescent="0.45"/>
  <cols>
    <col min="1" max="1" width="16.73046875" customWidth="1"/>
    <col min="3" max="3" width="10.59765625" customWidth="1"/>
    <col min="4" max="12" width="13.59765625" customWidth="1"/>
    <col min="15" max="15" width="23.73046875" customWidth="1"/>
  </cols>
  <sheetData>
    <row r="1" spans="1:15" s="28" customFormat="1" ht="21" x14ac:dyDescent="0.65">
      <c r="A1" s="83" t="s">
        <v>283</v>
      </c>
    </row>
    <row r="2" spans="1:15" s="28" customFormat="1" ht="9" customHeight="1" x14ac:dyDescent="0.4"/>
    <row r="3" spans="1:15" s="28" customFormat="1" ht="15.75" x14ac:dyDescent="0.5">
      <c r="A3" s="8" t="s">
        <v>284</v>
      </c>
    </row>
    <row r="4" spans="1:15" s="28" customFormat="1" ht="10.15" customHeight="1" x14ac:dyDescent="0.4"/>
    <row r="5" spans="1:15" s="28" customFormat="1" x14ac:dyDescent="0.4">
      <c r="A5" s="66" t="s">
        <v>285</v>
      </c>
      <c r="D5" s="307" t="str">
        <f>'Parameters and Assumptions'!D36</f>
        <v>2022/23</v>
      </c>
      <c r="E5" s="307" t="str">
        <f>'Parameters and Assumptions'!E36</f>
        <v>2023/24</v>
      </c>
      <c r="F5" s="307" t="str">
        <f>'Parameters and Assumptions'!F36</f>
        <v>2024/25</v>
      </c>
      <c r="G5" s="307" t="str">
        <f>'Parameters and Assumptions'!G36</f>
        <v>2025/26</v>
      </c>
      <c r="H5" s="307" t="str">
        <f>'Parameters and Assumptions'!H36</f>
        <v>2026/27</v>
      </c>
      <c r="I5" s="307" t="str">
        <f>'Parameters and Assumptions'!I36</f>
        <v>2027/28</v>
      </c>
      <c r="J5" s="307" t="str">
        <f>'Parameters and Assumptions'!J36</f>
        <v>2028/29</v>
      </c>
      <c r="K5" s="307" t="str">
        <f>'Parameters and Assumptions'!K36</f>
        <v>2029/30</v>
      </c>
      <c r="L5" s="307" t="str">
        <f>'Parameters and Assumptions'!L36</f>
        <v>2030/31</v>
      </c>
    </row>
    <row r="6" spans="1:15" s="28" customFormat="1" x14ac:dyDescent="0.45">
      <c r="A6" s="28" t="str">
        <f>'Parameters and Assumptions'!A38</f>
        <v>PIA Asset Inflation value</v>
      </c>
      <c r="D6" s="308" cm="1">
        <f t="array" ref="D6:L6">asset_inflation</f>
        <v>0.12873938663127604</v>
      </c>
      <c r="E6" s="308">
        <v>7.4787643228200862E-2</v>
      </c>
      <c r="F6" s="308">
        <v>3.3025740878852572E-2</v>
      </c>
      <c r="G6" s="308">
        <v>4.5646370047441875E-2</v>
      </c>
      <c r="H6" s="308">
        <v>0.03</v>
      </c>
      <c r="I6" s="308">
        <v>0.03</v>
      </c>
      <c r="J6" s="308">
        <v>0.03</v>
      </c>
      <c r="K6" s="308">
        <v>0.03</v>
      </c>
      <c r="L6" s="308">
        <v>0.03</v>
      </c>
    </row>
    <row r="7" spans="1:15" s="28" customFormat="1" x14ac:dyDescent="0.4">
      <c r="A7" s="28" t="s">
        <v>286</v>
      </c>
      <c r="D7" s="309">
        <v>1</v>
      </c>
      <c r="E7" s="309">
        <f t="shared" ref="E7" si="0">D7*(1+E6)</f>
        <v>1.0747876432282009</v>
      </c>
      <c r="F7" s="309">
        <f t="shared" ref="F7" si="1">E7*(1+F6)</f>
        <v>1.110283301433248</v>
      </c>
      <c r="G7" s="309">
        <f t="shared" ref="G7" si="2">F7*(1+G6)</f>
        <v>1.1609637038679654</v>
      </c>
      <c r="H7" s="309">
        <f t="shared" ref="H7" si="3">G7*(1+H6)</f>
        <v>1.1957926149840044</v>
      </c>
      <c r="I7" s="309">
        <f t="shared" ref="I7" si="4">H7*(1+I6)</f>
        <v>1.2316663934335246</v>
      </c>
      <c r="J7" s="309">
        <f t="shared" ref="J7" si="5">I7*(1+J6)</f>
        <v>1.2686163852365304</v>
      </c>
      <c r="K7" s="309">
        <f t="shared" ref="K7" si="6">J7*(1+K6)</f>
        <v>1.3066748767936263</v>
      </c>
      <c r="L7" s="309">
        <f t="shared" ref="L7" si="7">K7*(1+L6)</f>
        <v>1.3458751230974351</v>
      </c>
    </row>
    <row r="8" spans="1:15" s="28" customFormat="1" x14ac:dyDescent="0.45">
      <c r="D8" s="310"/>
      <c r="E8" s="310"/>
      <c r="F8" s="310"/>
      <c r="G8" s="310"/>
      <c r="H8" s="310"/>
      <c r="I8" s="310"/>
      <c r="J8" s="310"/>
      <c r="K8" s="310"/>
      <c r="L8" s="310"/>
    </row>
    <row r="9" spans="1:15" s="28" customFormat="1" x14ac:dyDescent="0.4">
      <c r="A9" s="66" t="s">
        <v>287</v>
      </c>
      <c r="D9" s="307" t="s">
        <v>92</v>
      </c>
      <c r="E9" s="307" t="s">
        <v>93</v>
      </c>
      <c r="F9" s="307" t="s">
        <v>51</v>
      </c>
      <c r="G9" s="307" t="s">
        <v>138</v>
      </c>
      <c r="H9" s="307" t="s">
        <v>139</v>
      </c>
      <c r="I9" s="307" t="s">
        <v>140</v>
      </c>
      <c r="J9" s="307" t="s">
        <v>141</v>
      </c>
      <c r="K9" s="307" t="s">
        <v>142</v>
      </c>
      <c r="L9" s="307" t="s">
        <v>143</v>
      </c>
    </row>
    <row r="10" spans="1:15" s="28" customFormat="1" x14ac:dyDescent="0.45">
      <c r="A10" s="28" t="s">
        <v>288</v>
      </c>
      <c r="D10" s="311">
        <f>'Input data'!E174</f>
        <v>460.12545391303627</v>
      </c>
      <c r="E10" s="311">
        <f t="shared" ref="E10" si="8">D10*(1+E6)</f>
        <v>494.53715220049838</v>
      </c>
      <c r="F10" s="311">
        <f t="shared" ref="F10" si="9">E10*(1+F6)</f>
        <v>510.8696080440377</v>
      </c>
      <c r="G10" s="311">
        <f t="shared" ref="G10" si="10">F10*(1+G6)</f>
        <v>534.18895121880746</v>
      </c>
      <c r="H10" s="311">
        <f t="shared" ref="H10" si="11">G10*(1+H6)</f>
        <v>550.2146197553717</v>
      </c>
      <c r="I10" s="311">
        <f t="shared" ref="I10" si="12">H10*(1+I6)</f>
        <v>566.7210583480329</v>
      </c>
      <c r="J10" s="311">
        <f t="shared" ref="J10" si="13">I10*(1+J6)</f>
        <v>583.72269009847389</v>
      </c>
      <c r="K10" s="311">
        <f t="shared" ref="K10" si="14">J10*(1+K6)</f>
        <v>601.2343708014281</v>
      </c>
      <c r="L10" s="311">
        <f t="shared" ref="L10" si="15">K10*(1+L6)</f>
        <v>619.27140192547097</v>
      </c>
    </row>
    <row r="11" spans="1:15" x14ac:dyDescent="0.45">
      <c r="A11" s="28" t="s">
        <v>289</v>
      </c>
      <c r="D11" s="312"/>
      <c r="E11" s="303">
        <f>'Parameters and Assumptions'!E55</f>
        <v>86948.05559063211</v>
      </c>
      <c r="F11" s="303">
        <f>'Parameters and Assumptions'!F55</f>
        <v>67598.572911615658</v>
      </c>
      <c r="G11" s="303">
        <f>'Parameters and Assumptions'!G55</f>
        <v>77331.791805798319</v>
      </c>
      <c r="H11" s="303">
        <f>'Parameters and Assumptions'!H55</f>
        <v>76156.9859589189</v>
      </c>
      <c r="I11" s="303">
        <f>'Parameters and Assumptions'!I55</f>
        <v>48953.985542623101</v>
      </c>
      <c r="J11" s="303">
        <f>'Parameters and Assumptions'!J55</f>
        <v>46717.059735323826</v>
      </c>
      <c r="K11" s="303">
        <f>'Parameters and Assumptions'!K55</f>
        <v>57441.88341738256</v>
      </c>
      <c r="L11" s="303">
        <f>'Parameters and Assumptions'!L55</f>
        <v>41543.688764428378</v>
      </c>
    </row>
    <row r="12" spans="1:15" x14ac:dyDescent="0.45">
      <c r="A12" s="28" t="s">
        <v>290</v>
      </c>
      <c r="D12" s="313"/>
      <c r="E12" s="314">
        <f>'Parameters and Assumptions'!E70 + 'Network Adjs'!F6/Million</f>
        <v>92.260303739912786</v>
      </c>
      <c r="F12" s="314">
        <f>'Parameters and Assumptions'!F70 + 'Network Adjs'!G6/Million</f>
        <v>80.122773155491998</v>
      </c>
      <c r="G12" s="314">
        <f>'Parameters and Assumptions'!G70 + 'Network Adjs'!H6/Million</f>
        <v>106.45050045104558</v>
      </c>
      <c r="H12" s="314">
        <f>'Parameters and Assumptions'!H70 + 'Network Adjs'!I6/Million</f>
        <v>111.72249601616859</v>
      </c>
      <c r="I12" s="314">
        <f>'Parameters and Assumptions'!I70 + 'Network Adjs'!J6/Million</f>
        <v>66.239145438640563</v>
      </c>
      <c r="J12" s="314">
        <f>'Parameters and Assumptions'!J70 + 'Network Adjs'!K6/Million</f>
        <v>62.626285072766784</v>
      </c>
      <c r="K12" s="314">
        <f>'Parameters and Assumptions'!K70 + 'Network Adjs'!L6/Million</f>
        <v>54.850534409663538</v>
      </c>
      <c r="L12" s="314">
        <f>'Parameters and Assumptions'!L70 + 'Network Adjs'!M6/Million</f>
        <v>58.109899482939149</v>
      </c>
      <c r="M12" s="305" t="s">
        <v>291</v>
      </c>
    </row>
    <row r="13" spans="1:15" s="28" customFormat="1" ht="10.15" customHeight="1" thickBot="1" x14ac:dyDescent="0.5">
      <c r="A13" s="81"/>
      <c r="B13" s="81"/>
      <c r="C13" s="81"/>
      <c r="D13" s="315"/>
      <c r="E13" s="315"/>
      <c r="F13" s="315"/>
      <c r="G13" s="315"/>
      <c r="H13" s="315"/>
      <c r="I13" s="315"/>
      <c r="J13" s="315"/>
      <c r="K13" s="315"/>
      <c r="L13" s="315"/>
      <c r="M13" s="81"/>
      <c r="N13" s="81"/>
      <c r="O13" s="81"/>
    </row>
    <row r="14" spans="1:15" s="28" customFormat="1" ht="10.15" customHeight="1" x14ac:dyDescent="0.45">
      <c r="D14" s="310"/>
      <c r="E14" s="310"/>
      <c r="F14" s="310"/>
      <c r="G14" s="310"/>
      <c r="H14" s="310"/>
      <c r="I14" s="310"/>
      <c r="J14" s="310"/>
      <c r="K14" s="310"/>
      <c r="L14" s="310"/>
    </row>
    <row r="15" spans="1:15" ht="15.75" x14ac:dyDescent="0.5">
      <c r="A15" s="8" t="s">
        <v>292</v>
      </c>
      <c r="D15" s="310"/>
      <c r="E15" s="316"/>
      <c r="F15" s="316"/>
      <c r="G15" s="316"/>
      <c r="H15" s="316"/>
      <c r="I15" s="316"/>
      <c r="J15" s="316"/>
      <c r="K15" s="316"/>
      <c r="L15" s="316"/>
    </row>
    <row r="16" spans="1:15" ht="8.65" customHeight="1" x14ac:dyDescent="0.5">
      <c r="A16" s="8"/>
      <c r="D16" s="310"/>
      <c r="E16" s="310"/>
      <c r="F16" s="310"/>
      <c r="G16" s="310"/>
      <c r="H16" s="310"/>
      <c r="I16" s="310"/>
      <c r="J16" s="310"/>
      <c r="K16" s="310"/>
      <c r="L16" s="310"/>
    </row>
    <row r="17" spans="1:13" x14ac:dyDescent="0.45">
      <c r="A17" s="189"/>
      <c r="B17" s="190"/>
      <c r="C17" s="190"/>
      <c r="D17" s="317" t="s">
        <v>92</v>
      </c>
      <c r="E17" s="317" t="s">
        <v>93</v>
      </c>
      <c r="F17" s="317" t="s">
        <v>51</v>
      </c>
      <c r="G17" s="317" t="s">
        <v>138</v>
      </c>
      <c r="H17" s="317" t="s">
        <v>139</v>
      </c>
      <c r="I17" s="317" t="s">
        <v>140</v>
      </c>
      <c r="J17" s="317" t="s">
        <v>141</v>
      </c>
      <c r="K17" s="317" t="s">
        <v>142</v>
      </c>
      <c r="L17" s="317" t="s">
        <v>143</v>
      </c>
    </row>
    <row r="18" spans="1:13" x14ac:dyDescent="0.45">
      <c r="A18" s="89" t="s">
        <v>293</v>
      </c>
      <c r="D18" s="310">
        <f t="shared" ref="D18:L18" si="16">pole_asset_life</f>
        <v>40</v>
      </c>
      <c r="E18" s="310">
        <f t="shared" si="16"/>
        <v>40</v>
      </c>
      <c r="F18" s="310">
        <f t="shared" si="16"/>
        <v>40</v>
      </c>
      <c r="G18" s="310">
        <f t="shared" si="16"/>
        <v>40</v>
      </c>
      <c r="H18" s="310">
        <f t="shared" si="16"/>
        <v>40</v>
      </c>
      <c r="I18" s="310">
        <f t="shared" si="16"/>
        <v>40</v>
      </c>
      <c r="J18" s="310">
        <f t="shared" si="16"/>
        <v>40</v>
      </c>
      <c r="K18" s="310">
        <f t="shared" si="16"/>
        <v>40</v>
      </c>
      <c r="L18" s="310">
        <f t="shared" si="16"/>
        <v>40</v>
      </c>
    </row>
    <row r="19" spans="1:13" s="28" customFormat="1" x14ac:dyDescent="0.45">
      <c r="A19" s="28" t="s">
        <v>294</v>
      </c>
      <c r="D19" s="318">
        <f>D$6</f>
        <v>0.12873938663127604</v>
      </c>
      <c r="E19" s="318">
        <f t="shared" ref="E19:L19" si="17">E$6</f>
        <v>7.4787643228200862E-2</v>
      </c>
      <c r="F19" s="318">
        <f t="shared" si="17"/>
        <v>3.3025740878852572E-2</v>
      </c>
      <c r="G19" s="318">
        <f t="shared" si="17"/>
        <v>4.5646370047441875E-2</v>
      </c>
      <c r="H19" s="318">
        <f t="shared" si="17"/>
        <v>0.03</v>
      </c>
      <c r="I19" s="318">
        <f t="shared" si="17"/>
        <v>0.03</v>
      </c>
      <c r="J19" s="318">
        <f t="shared" si="17"/>
        <v>0.03</v>
      </c>
      <c r="K19" s="318">
        <f t="shared" si="17"/>
        <v>0.03</v>
      </c>
      <c r="L19" s="318">
        <f t="shared" si="17"/>
        <v>0.03</v>
      </c>
    </row>
    <row r="20" spans="1:13" s="28" customFormat="1" x14ac:dyDescent="0.45">
      <c r="D20" s="310"/>
      <c r="E20" s="318"/>
      <c r="F20" s="318"/>
      <c r="G20" s="318"/>
      <c r="H20" s="318"/>
      <c r="I20" s="318"/>
      <c r="J20" s="318"/>
      <c r="K20" s="318"/>
      <c r="L20" s="318"/>
    </row>
    <row r="21" spans="1:13" s="28" customFormat="1" x14ac:dyDescent="0.45">
      <c r="A21" s="28" t="s">
        <v>95</v>
      </c>
      <c r="D21" s="370">
        <f>IF(D$17&lt;=selected_year, 'Input data'!E178, C25)</f>
        <v>321.3303782131145</v>
      </c>
      <c r="E21" s="370">
        <f>IF(E$17&lt;=selected_year, 'Input data'!F178, D25)</f>
        <v>445.74886782559793</v>
      </c>
      <c r="F21" s="370">
        <f>IF(F$17&lt;=selected_year, 'Input data'!G178, E25)</f>
        <v>488.92914515443027</v>
      </c>
      <c r="G21" s="319">
        <f t="shared" ref="G21:L21" si="18">F25</f>
        <v>569.63222249021203</v>
      </c>
      <c r="H21" s="319">
        <f t="shared" si="18"/>
        <v>670.6603115668853</v>
      </c>
      <c r="I21" s="319">
        <f t="shared" si="18"/>
        <v>768.85280683692395</v>
      </c>
      <c r="J21" s="319">
        <f t="shared" si="18"/>
        <v>831.1693939838068</v>
      </c>
      <c r="K21" s="319">
        <f t="shared" si="18"/>
        <v>897.3817899412353</v>
      </c>
      <c r="L21" s="319">
        <f t="shared" si="18"/>
        <v>953.99698836892276</v>
      </c>
    </row>
    <row r="22" spans="1:13" s="28" customFormat="1" x14ac:dyDescent="0.45">
      <c r="A22" s="28" t="s">
        <v>295</v>
      </c>
      <c r="D22" s="355"/>
      <c r="E22" s="355"/>
      <c r="F22" s="355"/>
      <c r="G22" s="319">
        <f t="shared" ref="G22:L22" si="19">G12</f>
        <v>106.45050045104558</v>
      </c>
      <c r="H22" s="319">
        <f t="shared" si="19"/>
        <v>111.72249601616859</v>
      </c>
      <c r="I22" s="319">
        <f t="shared" si="19"/>
        <v>66.239145438640563</v>
      </c>
      <c r="J22" s="319">
        <f t="shared" si="19"/>
        <v>62.626285072766784</v>
      </c>
      <c r="K22" s="319">
        <f t="shared" si="19"/>
        <v>54.850534409663538</v>
      </c>
      <c r="L22" s="319">
        <f t="shared" si="19"/>
        <v>58.109899482939149</v>
      </c>
    </row>
    <row r="23" spans="1:13" s="28" customFormat="1" x14ac:dyDescent="0.45">
      <c r="A23" s="28" t="s">
        <v>182</v>
      </c>
      <c r="D23" s="355"/>
      <c r="E23" s="355"/>
      <c r="F23" s="355"/>
      <c r="G23" s="319">
        <f t="shared" ref="G23:L23" si="20">(G21+0.5*G22)*G6</f>
        <v>28.431182686396863</v>
      </c>
      <c r="H23" s="319">
        <f t="shared" si="20"/>
        <v>21.795646787249087</v>
      </c>
      <c r="I23" s="319">
        <f t="shared" si="20"/>
        <v>24.059171386687328</v>
      </c>
      <c r="J23" s="319">
        <f t="shared" si="20"/>
        <v>25.874476095605704</v>
      </c>
      <c r="K23" s="319">
        <f t="shared" si="20"/>
        <v>27.744211714382011</v>
      </c>
      <c r="L23" s="319">
        <f t="shared" si="20"/>
        <v>29.491558143311771</v>
      </c>
    </row>
    <row r="24" spans="1:13" s="28" customFormat="1" x14ac:dyDescent="0.45">
      <c r="A24" s="28" t="s">
        <v>183</v>
      </c>
      <c r="D24" s="355"/>
      <c r="E24" s="355"/>
      <c r="F24" s="355"/>
      <c r="G24" s="306">
        <f>-SUM('Parameters and Assumptions'!G71)</f>
        <v>-33.853594060769176</v>
      </c>
      <c r="H24" s="306">
        <f>-SUM('Parameters and Assumptions'!H71)</f>
        <v>-35.325647533379104</v>
      </c>
      <c r="I24" s="306">
        <f>-SUM('Parameters and Assumptions'!I71)</f>
        <v>-27.981729678445092</v>
      </c>
      <c r="J24" s="306">
        <f>-SUM('Parameters and Assumptions'!J71)</f>
        <v>-22.28836521094404</v>
      </c>
      <c r="K24" s="306">
        <f>-SUM('Parameters and Assumptions'!K71)</f>
        <v>-25.979547696358019</v>
      </c>
      <c r="L24" s="306">
        <f>-SUM('Parameters and Assumptions'!L71)</f>
        <v>-28.408693717729161</v>
      </c>
      <c r="M24" s="305" t="s">
        <v>296</v>
      </c>
    </row>
    <row r="25" spans="1:13" s="28" customFormat="1" x14ac:dyDescent="0.45">
      <c r="A25" s="28" t="s">
        <v>96</v>
      </c>
      <c r="D25" s="370">
        <f>IF(D$17&lt;=selected_year, 'Input data'!E179, SUM(D21:D24))</f>
        <v>316.9996142006292</v>
      </c>
      <c r="E25" s="370">
        <f>IF(E$17&lt;=selected_year, 'Input data'!F179, SUM(E21:E24))</f>
        <v>569.27800509436315</v>
      </c>
      <c r="F25" s="370">
        <f>IF(F$17&lt;=selected_year, 'Input data'!G179, SUM(F21:F24))</f>
        <v>569.63222249021203</v>
      </c>
      <c r="G25" s="319">
        <f t="shared" ref="G25:L25" si="21">SUM(G21:G24)</f>
        <v>670.6603115668853</v>
      </c>
      <c r="H25" s="319">
        <f t="shared" si="21"/>
        <v>768.85280683692395</v>
      </c>
      <c r="I25" s="319">
        <f t="shared" si="21"/>
        <v>831.1693939838068</v>
      </c>
      <c r="J25" s="319">
        <f t="shared" si="21"/>
        <v>897.3817899412353</v>
      </c>
      <c r="K25" s="319">
        <f t="shared" si="21"/>
        <v>953.99698836892276</v>
      </c>
      <c r="L25" s="319">
        <f t="shared" si="21"/>
        <v>1013.1897522774445</v>
      </c>
    </row>
    <row r="26" spans="1:13" s="28" customFormat="1" x14ac:dyDescent="0.45">
      <c r="A26" s="48" t="s">
        <v>168</v>
      </c>
      <c r="G26" s="335" t="b">
        <f t="shared" ref="G26:L26" si="22">IF(ABS(G25-SUM(G21:G24))&lt;0.000001,TRUE,FALSE)</f>
        <v>1</v>
      </c>
      <c r="H26" s="335" t="b">
        <f t="shared" si="22"/>
        <v>1</v>
      </c>
      <c r="I26" s="335" t="b">
        <f t="shared" si="22"/>
        <v>1</v>
      </c>
      <c r="J26" s="335" t="b">
        <f t="shared" si="22"/>
        <v>1</v>
      </c>
      <c r="K26" s="335" t="b">
        <f t="shared" si="22"/>
        <v>1</v>
      </c>
      <c r="L26" s="335" t="b">
        <f t="shared" si="22"/>
        <v>1</v>
      </c>
    </row>
    <row r="27" spans="1:13" s="28" customFormat="1" x14ac:dyDescent="0.45">
      <c r="D27" s="319"/>
      <c r="E27" s="319"/>
      <c r="F27" s="319"/>
      <c r="G27" s="319"/>
      <c r="H27" s="319"/>
      <c r="I27" s="319"/>
      <c r="J27" s="319"/>
      <c r="K27" s="319"/>
      <c r="L27" s="319"/>
    </row>
    <row r="28" spans="1:13" s="28" customFormat="1" x14ac:dyDescent="0.45">
      <c r="A28" s="28" t="s">
        <v>98</v>
      </c>
      <c r="D28" s="370">
        <f>IF(D$17&lt;=selected_year, 'Input data'!E182, C32)</f>
        <v>221.66467141537458</v>
      </c>
      <c r="E28" s="370">
        <f>IF(E$17&lt;=selected_year, 'Input data'!F182, D32)</f>
        <v>331.12113333950566</v>
      </c>
      <c r="F28" s="370">
        <f>IF(F$17&lt;=selected_year, 'Input data'!G182, E32)</f>
        <v>371.6305163352431</v>
      </c>
      <c r="G28" s="319">
        <f t="shared" ref="G28:L28" si="23">F32</f>
        <v>451.6926397103972</v>
      </c>
      <c r="H28" s="319">
        <f t="shared" si="23"/>
        <v>565.68715233331761</v>
      </c>
      <c r="I28" s="319">
        <f t="shared" si="23"/>
        <v>678.06218637968072</v>
      </c>
      <c r="J28" s="319">
        <f t="shared" si="23"/>
        <v>745.63650708103216</v>
      </c>
      <c r="K28" s="319">
        <f t="shared" si="23"/>
        <v>809.96439184325845</v>
      </c>
      <c r="L28" s="319">
        <f t="shared" si="23"/>
        <v>866.79438129548771</v>
      </c>
    </row>
    <row r="29" spans="1:13" s="28" customFormat="1" x14ac:dyDescent="0.45">
      <c r="A29" s="28" t="s">
        <v>185</v>
      </c>
      <c r="D29" s="319">
        <f>D32-D28 - SUM(D30:D31)</f>
        <v>24.788918822295486</v>
      </c>
      <c r="E29" s="319">
        <f t="shared" ref="E29:F29" si="24">E32-E28 - SUM(E30:E31)</f>
        <v>114.67611030731797</v>
      </c>
      <c r="F29" s="319">
        <f t="shared" si="24"/>
        <v>93.863694915386958</v>
      </c>
      <c r="G29" s="306">
        <f t="shared" ref="G29:L29" si="25">G22</f>
        <v>106.45050045104558</v>
      </c>
      <c r="H29" s="306">
        <f t="shared" si="25"/>
        <v>111.72249601616859</v>
      </c>
      <c r="I29" s="306">
        <f t="shared" si="25"/>
        <v>66.239145438640563</v>
      </c>
      <c r="J29" s="306">
        <f t="shared" si="25"/>
        <v>62.626285072766784</v>
      </c>
      <c r="K29" s="306">
        <f t="shared" si="25"/>
        <v>54.850534409663538</v>
      </c>
      <c r="L29" s="306">
        <f t="shared" si="25"/>
        <v>58.109899482939149</v>
      </c>
    </row>
    <row r="30" spans="1:13" s="28" customFormat="1" x14ac:dyDescent="0.45">
      <c r="A30" s="28" t="s">
        <v>182</v>
      </c>
      <c r="D30" s="370">
        <f>IF(D$17&lt;=selected_year, D28*D6, (D28+0.5*D29)*D6)</f>
        <v>28.536973835838673</v>
      </c>
      <c r="E30" s="370">
        <f>IF(E$17&lt;=selected_year, E28*E6, (E28+0.5*E29)*E6)</f>
        <v>24.763769185512476</v>
      </c>
      <c r="F30" s="370">
        <f>IF(F$17&lt;=selected_year, F28*F6, (F28+0.5*F29)*F6)</f>
        <v>12.273373135161927</v>
      </c>
      <c r="G30" s="319">
        <f t="shared" ref="G30:L30" si="26">(G28+0.5*G29)*G6</f>
        <v>23.047668847588533</v>
      </c>
      <c r="H30" s="319">
        <f t="shared" si="26"/>
        <v>18.646452010242058</v>
      </c>
      <c r="I30" s="319">
        <f t="shared" si="26"/>
        <v>21.335452772970029</v>
      </c>
      <c r="J30" s="319">
        <f t="shared" si="26"/>
        <v>23.308489488522465</v>
      </c>
      <c r="K30" s="319">
        <f t="shared" si="26"/>
        <v>25.121689771442707</v>
      </c>
      <c r="L30" s="319">
        <f t="shared" si="26"/>
        <v>26.875479931108718</v>
      </c>
    </row>
    <row r="31" spans="1:13" s="28" customFormat="1" x14ac:dyDescent="0.45">
      <c r="A31" s="28" t="s">
        <v>101</v>
      </c>
      <c r="D31" s="370">
        <f>-IF(D$17&lt;=selected_year, 'Input data'!E185, AVERAGE(D25,D21)/D18)</f>
        <v>-9.0754167756557749</v>
      </c>
      <c r="E31" s="370">
        <f>-IF(E$17&lt;=selected_year, 'Input data'!F185, AVERAGE(E25,E21)/E18)</f>
        <v>-22.955680328522401</v>
      </c>
      <c r="F31" s="370">
        <f>-IF(F$17&lt;=selected_year, 'Input data'!G185, AVERAGE(F25,F21)/F18)</f>
        <v>-26.074944675394786</v>
      </c>
      <c r="G31" s="319">
        <f t="shared" ref="G31:L31" si="27">-AVERAGE(G25,G21)/G18</f>
        <v>-15.503656675713717</v>
      </c>
      <c r="H31" s="319">
        <f t="shared" si="27"/>
        <v>-17.993913980047616</v>
      </c>
      <c r="I31" s="319">
        <f t="shared" si="27"/>
        <v>-20.000277510259131</v>
      </c>
      <c r="J31" s="319">
        <f t="shared" si="27"/>
        <v>-21.606889799063026</v>
      </c>
      <c r="K31" s="319">
        <f t="shared" si="27"/>
        <v>-23.142234728876975</v>
      </c>
      <c r="L31" s="319">
        <f t="shared" si="27"/>
        <v>-24.589834258079591</v>
      </c>
    </row>
    <row r="32" spans="1:13" s="28" customFormat="1" x14ac:dyDescent="0.45">
      <c r="A32" s="28" t="s">
        <v>99</v>
      </c>
      <c r="D32" s="370">
        <f>IF(D$17&lt;=selected_year, 'Input data'!E183, SUM(D28:D31))</f>
        <v>265.91514729785297</v>
      </c>
      <c r="E32" s="370">
        <f>IF(E$17&lt;=selected_year, 'Input data'!F183, SUM(E28:E31))</f>
        <v>447.60533250381371</v>
      </c>
      <c r="F32" s="370">
        <f>IF(F$17&lt;=selected_year, 'Input data'!G183, SUM(F28:F31))</f>
        <v>451.6926397103972</v>
      </c>
      <c r="G32" s="319">
        <f t="shared" ref="G32:L32" si="28">SUM(G28:G31)</f>
        <v>565.68715233331761</v>
      </c>
      <c r="H32" s="319">
        <f t="shared" si="28"/>
        <v>678.06218637968072</v>
      </c>
      <c r="I32" s="319">
        <f t="shared" si="28"/>
        <v>745.63650708103216</v>
      </c>
      <c r="J32" s="319">
        <f t="shared" si="28"/>
        <v>809.96439184325845</v>
      </c>
      <c r="K32" s="319">
        <f t="shared" si="28"/>
        <v>866.79438129548771</v>
      </c>
      <c r="L32" s="319">
        <f t="shared" si="28"/>
        <v>927.18992645145602</v>
      </c>
    </row>
    <row r="33" spans="1:15" s="28" customFormat="1" x14ac:dyDescent="0.45">
      <c r="A33" s="48" t="s">
        <v>168</v>
      </c>
      <c r="D33" s="272" t="b">
        <f>IF(ABS(D32-SUM(D28:D31))&lt;0.000001,TRUE,FALSE)</f>
        <v>1</v>
      </c>
      <c r="E33" s="272" t="b">
        <f t="shared" ref="E33:L33" si="29">IF(ABS(E32-SUM(E28:E31))&lt;0.000001,TRUE,FALSE)</f>
        <v>1</v>
      </c>
      <c r="F33" s="272" t="b">
        <f t="shared" si="29"/>
        <v>1</v>
      </c>
      <c r="G33" s="272" t="b">
        <f t="shared" si="29"/>
        <v>1</v>
      </c>
      <c r="H33" s="272" t="b">
        <f t="shared" si="29"/>
        <v>1</v>
      </c>
      <c r="I33" s="272" t="b">
        <f t="shared" si="29"/>
        <v>1</v>
      </c>
      <c r="J33" s="272" t="b">
        <f t="shared" si="29"/>
        <v>1</v>
      </c>
      <c r="K33" s="272" t="b">
        <f t="shared" si="29"/>
        <v>1</v>
      </c>
      <c r="L33" s="272" t="b">
        <f t="shared" si="29"/>
        <v>1</v>
      </c>
    </row>
    <row r="34" spans="1:15" s="28" customFormat="1" ht="10.15" customHeight="1" thickBot="1" x14ac:dyDescent="0.5">
      <c r="A34" s="81"/>
      <c r="B34" s="81"/>
      <c r="C34" s="81"/>
      <c r="D34" s="315"/>
      <c r="E34" s="315"/>
      <c r="F34" s="315"/>
      <c r="G34" s="315"/>
      <c r="H34" s="315"/>
      <c r="I34" s="315"/>
      <c r="J34" s="315"/>
      <c r="K34" s="315"/>
      <c r="L34" s="315"/>
      <c r="M34" s="81"/>
      <c r="N34" s="81"/>
      <c r="O34" s="81"/>
    </row>
    <row r="35" spans="1:15" s="28" customFormat="1" ht="10.15" customHeight="1" x14ac:dyDescent="0.45">
      <c r="D35" s="310"/>
      <c r="E35" s="310"/>
      <c r="F35" s="310"/>
      <c r="G35" s="310"/>
      <c r="H35" s="310"/>
      <c r="I35" s="310"/>
      <c r="J35" s="310"/>
      <c r="K35" s="310"/>
      <c r="L35" s="310"/>
    </row>
    <row r="36" spans="1:15" s="28" customFormat="1" ht="15.75" x14ac:dyDescent="0.5">
      <c r="A36" s="8" t="s">
        <v>297</v>
      </c>
      <c r="D36" s="310"/>
      <c r="E36" s="310"/>
      <c r="F36" s="310"/>
      <c r="G36" s="310"/>
      <c r="H36" s="310"/>
      <c r="I36" s="310"/>
      <c r="J36" s="310"/>
      <c r="K36" s="310"/>
      <c r="L36" s="310"/>
    </row>
    <row r="37" spans="1:15" s="28" customFormat="1" ht="10.15" customHeight="1" x14ac:dyDescent="0.45">
      <c r="D37" s="310"/>
      <c r="E37" s="310"/>
      <c r="F37" s="310"/>
      <c r="G37" s="310"/>
      <c r="H37" s="310"/>
      <c r="I37" s="310"/>
      <c r="J37" s="310"/>
      <c r="K37" s="310"/>
      <c r="L37" s="310"/>
    </row>
    <row r="38" spans="1:15" s="14" customFormat="1" ht="15.75" x14ac:dyDescent="0.5">
      <c r="A38" s="37" t="s">
        <v>298</v>
      </c>
      <c r="D38" s="317" t="s">
        <v>92</v>
      </c>
      <c r="E38" s="317" t="s">
        <v>93</v>
      </c>
      <c r="F38" s="317" t="s">
        <v>51</v>
      </c>
      <c r="G38" s="317" t="s">
        <v>138</v>
      </c>
      <c r="H38" s="317" t="s">
        <v>139</v>
      </c>
      <c r="I38" s="317" t="s">
        <v>140</v>
      </c>
      <c r="J38" s="317" t="s">
        <v>141</v>
      </c>
      <c r="K38" s="317" t="s">
        <v>142</v>
      </c>
      <c r="L38" s="317" t="s">
        <v>143</v>
      </c>
      <c r="M38"/>
    </row>
    <row r="39" spans="1:15" s="14" customFormat="1" x14ac:dyDescent="0.45">
      <c r="A39" s="14" t="s">
        <v>97</v>
      </c>
      <c r="D39" s="324">
        <f>AVERAGE(D25,D21)</f>
        <v>319.16499620687182</v>
      </c>
      <c r="E39" s="324">
        <f t="shared" ref="E39:L39" si="30">AVERAGE(E25,E21)</f>
        <v>507.51343645998054</v>
      </c>
      <c r="F39" s="324">
        <f t="shared" si="30"/>
        <v>529.28068382232118</v>
      </c>
      <c r="G39" s="324">
        <f t="shared" si="30"/>
        <v>620.14626702854866</v>
      </c>
      <c r="H39" s="324">
        <f t="shared" si="30"/>
        <v>719.75655920190457</v>
      </c>
      <c r="I39" s="324">
        <f t="shared" si="30"/>
        <v>800.01110041036532</v>
      </c>
      <c r="J39" s="324">
        <f t="shared" si="30"/>
        <v>864.27559196252105</v>
      </c>
      <c r="K39" s="324">
        <f t="shared" si="30"/>
        <v>925.68938915507897</v>
      </c>
      <c r="L39" s="324">
        <f t="shared" si="30"/>
        <v>983.59337032318365</v>
      </c>
      <c r="M39"/>
    </row>
    <row r="40" spans="1:15" s="14" customFormat="1" x14ac:dyDescent="0.45">
      <c r="A40" s="14" t="s">
        <v>100</v>
      </c>
      <c r="D40" s="324">
        <f t="shared" ref="D40:L40" si="31">AVERAGE(D32,D28)</f>
        <v>243.78990935661378</v>
      </c>
      <c r="E40" s="324">
        <f t="shared" si="31"/>
        <v>389.36323292165969</v>
      </c>
      <c r="F40" s="324">
        <f t="shared" si="31"/>
        <v>411.66157802282015</v>
      </c>
      <c r="G40" s="324">
        <f t="shared" si="31"/>
        <v>508.68989602185741</v>
      </c>
      <c r="H40" s="324">
        <f t="shared" si="31"/>
        <v>621.87466935649923</v>
      </c>
      <c r="I40" s="324">
        <f t="shared" si="31"/>
        <v>711.8493467303565</v>
      </c>
      <c r="J40" s="324">
        <f t="shared" si="31"/>
        <v>777.80044946214525</v>
      </c>
      <c r="K40" s="324">
        <f t="shared" si="31"/>
        <v>838.37938656937308</v>
      </c>
      <c r="L40" s="324">
        <f t="shared" si="31"/>
        <v>896.99215387347181</v>
      </c>
      <c r="M40"/>
    </row>
    <row r="41" spans="1:15" s="14" customFormat="1" x14ac:dyDescent="0.45">
      <c r="A41" s="14" t="s">
        <v>78</v>
      </c>
      <c r="D41" s="324">
        <f>-D31</f>
        <v>9.0754167756557749</v>
      </c>
      <c r="E41" s="324">
        <f t="shared" ref="E41:L41" si="32">-E31</f>
        <v>22.955680328522401</v>
      </c>
      <c r="F41" s="324">
        <f t="shared" si="32"/>
        <v>26.074944675394786</v>
      </c>
      <c r="G41" s="324">
        <f t="shared" si="32"/>
        <v>15.503656675713717</v>
      </c>
      <c r="H41" s="324">
        <f t="shared" si="32"/>
        <v>17.993913980047616</v>
      </c>
      <c r="I41" s="324">
        <f t="shared" si="32"/>
        <v>20.000277510259131</v>
      </c>
      <c r="J41" s="324">
        <f t="shared" si="32"/>
        <v>21.606889799063026</v>
      </c>
      <c r="K41" s="324">
        <f t="shared" si="32"/>
        <v>23.142234728876975</v>
      </c>
      <c r="L41" s="324">
        <f t="shared" si="32"/>
        <v>24.589834258079591</v>
      </c>
      <c r="M41"/>
    </row>
    <row r="42" spans="1:15" x14ac:dyDescent="0.45">
      <c r="A42" s="14" t="s">
        <v>182</v>
      </c>
      <c r="B42" s="14"/>
      <c r="C42" s="14"/>
      <c r="D42" s="324">
        <f>-D30</f>
        <v>-28.536973835838673</v>
      </c>
      <c r="E42" s="324">
        <f t="shared" ref="E42:L42" si="33">-E30</f>
        <v>-24.763769185512476</v>
      </c>
      <c r="F42" s="324">
        <f t="shared" si="33"/>
        <v>-12.273373135161927</v>
      </c>
      <c r="G42" s="324">
        <f t="shared" si="33"/>
        <v>-23.047668847588533</v>
      </c>
      <c r="H42" s="324">
        <f t="shared" si="33"/>
        <v>-18.646452010242058</v>
      </c>
      <c r="I42" s="324">
        <f t="shared" si="33"/>
        <v>-21.335452772970029</v>
      </c>
      <c r="J42" s="324">
        <f t="shared" si="33"/>
        <v>-23.308489488522465</v>
      </c>
      <c r="K42" s="324">
        <f t="shared" si="33"/>
        <v>-25.121689771442707</v>
      </c>
      <c r="L42" s="324">
        <f t="shared" si="33"/>
        <v>-26.875479931108718</v>
      </c>
    </row>
    <row r="43" spans="1:15" x14ac:dyDescent="0.45">
      <c r="D43" s="310"/>
      <c r="E43" s="310"/>
      <c r="F43" s="310"/>
      <c r="G43" s="310"/>
      <c r="H43" s="310"/>
      <c r="I43" s="310"/>
      <c r="J43" s="310"/>
      <c r="K43" s="310"/>
      <c r="L43" s="310"/>
    </row>
    <row r="44" spans="1:15" x14ac:dyDescent="0.45">
      <c r="D44" s="331"/>
      <c r="E44" s="331"/>
      <c r="F44" s="331"/>
      <c r="G44" s="331"/>
      <c r="H44" s="331"/>
      <c r="I44" s="331"/>
      <c r="J44" s="331"/>
      <c r="K44" s="331"/>
      <c r="L44" s="331"/>
    </row>
    <row r="45" spans="1:15" x14ac:dyDescent="0.45">
      <c r="D45" s="310"/>
      <c r="E45" s="310"/>
      <c r="F45" s="310"/>
      <c r="G45" s="310"/>
      <c r="H45" s="310"/>
      <c r="I45" s="310"/>
      <c r="J45" s="310"/>
      <c r="K45" s="310"/>
      <c r="L45" s="310"/>
    </row>
    <row r="46" spans="1:15" x14ac:dyDescent="0.45">
      <c r="D46" s="310"/>
      <c r="E46" s="310"/>
      <c r="F46" s="310"/>
      <c r="G46" s="310"/>
      <c r="H46" s="310"/>
      <c r="I46" s="310"/>
      <c r="J46" s="310"/>
      <c r="K46" s="310"/>
      <c r="L46" s="310"/>
    </row>
  </sheetData>
  <conditionalFormatting sqref="G26:L26 D33:L33">
    <cfRule type="cellIs" dxfId="3" priority="1" stopIfTrue="1" operator="notEqual">
      <formula>TRUE</formula>
    </cfRule>
  </conditionalFormatting>
  <pageMargins left="0.19685039370078741" right="0.19685039370078741" top="0.39370078740157483" bottom="0.39370078740157483" header="0.19685039370078741" footer="0.19685039370078741"/>
  <pageSetup paperSize="9" scale="70" orientation="landscape" r:id="rId1"/>
  <headerFooter>
    <oddHeader>&amp;CPage &amp;P of &amp;N&amp;R&amp;D &amp;T&amp;L&amp;"Calibri"&amp;12&amp;K000000Classification: HIGHLY SENSITIVE&amp;1#_x000D_&amp;"Calibri"&amp;11&amp;K000000File: &amp;F Sheet: &amp;A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F70EA9-534D-4DAE-9CE6-B7A561733A2C}">
  <sheetPr codeName="Sheet18"/>
  <dimension ref="A1:O53"/>
  <sheetViews>
    <sheetView zoomScaleNormal="100" workbookViewId="0"/>
  </sheetViews>
  <sheetFormatPr defaultColWidth="8.796875" defaultRowHeight="14.25" x14ac:dyDescent="0.45"/>
  <cols>
    <col min="1" max="1" width="11.796875" customWidth="1"/>
    <col min="2" max="2" width="19" customWidth="1"/>
    <col min="3" max="3" width="10.73046875" customWidth="1"/>
    <col min="4" max="12" width="12" customWidth="1"/>
    <col min="13" max="13" width="2" customWidth="1"/>
    <col min="14" max="14" width="37.73046875" bestFit="1" customWidth="1"/>
  </cols>
  <sheetData>
    <row r="1" spans="1:14" ht="18" x14ac:dyDescent="0.55000000000000004">
      <c r="A1" s="7" t="s">
        <v>299</v>
      </c>
      <c r="B1" s="7"/>
    </row>
    <row r="2" spans="1:14" ht="7.5" customHeight="1" x14ac:dyDescent="0.45"/>
    <row r="3" spans="1:14" ht="15.75" x14ac:dyDescent="0.5">
      <c r="A3" s="8" t="s">
        <v>300</v>
      </c>
      <c r="B3" s="8"/>
      <c r="C3" s="28"/>
      <c r="D3" s="65" t="s">
        <v>92</v>
      </c>
      <c r="E3" s="65" t="s">
        <v>93</v>
      </c>
      <c r="F3" s="65" t="s">
        <v>51</v>
      </c>
      <c r="G3" s="28"/>
      <c r="I3" s="28"/>
      <c r="J3" s="28"/>
      <c r="K3" s="28"/>
      <c r="L3" s="28"/>
      <c r="M3" s="28"/>
      <c r="N3" s="50"/>
    </row>
    <row r="4" spans="1:14" ht="7.5" customHeight="1" x14ac:dyDescent="0.45">
      <c r="A4" s="28"/>
      <c r="B4" s="28"/>
      <c r="C4" s="28"/>
      <c r="D4" s="28"/>
      <c r="E4" s="28"/>
      <c r="F4" s="28"/>
      <c r="G4" s="28"/>
      <c r="H4" s="28"/>
      <c r="I4" s="28"/>
      <c r="J4" s="28"/>
      <c r="K4" s="28"/>
      <c r="L4" s="28"/>
      <c r="M4" s="28"/>
    </row>
    <row r="5" spans="1:14" x14ac:dyDescent="0.45">
      <c r="A5" s="70" t="str">
        <f>'D&amp;C Cost Forecasts'!A6</f>
        <v>Opex</v>
      </c>
      <c r="B5" s="44" t="str">
        <f>'Input data'!A160</f>
        <v>Pay &amp; non-pay costs</v>
      </c>
      <c r="D5" s="371">
        <f>'Input data'!E160 + (SUM('Input data'!E195:E196) * 'Input data'!E160/SUM('Input data'!E42,'Input data'!E160))</f>
        <v>52.380717242568252</v>
      </c>
      <c r="E5" s="371">
        <f>'Input data'!F160 + (SUM('Input data'!F195:F196) * 'Input data'!F160/SUM('Input data'!F42,'Input data'!F160))</f>
        <v>43.76828740786614</v>
      </c>
      <c r="F5" s="371">
        <f>'Input data'!G160 + (SUM('Input data'!G195:G196) * 'Input data'!G160/SUM('Input data'!G42,'Input data'!G160))</f>
        <v>56.991650232317227</v>
      </c>
      <c r="G5" s="42"/>
      <c r="H5" s="42"/>
      <c r="I5" s="42"/>
      <c r="J5" s="42"/>
      <c r="K5" s="42"/>
      <c r="L5" s="42"/>
      <c r="M5" s="42"/>
      <c r="N5" s="50"/>
    </row>
    <row r="6" spans="1:14" x14ac:dyDescent="0.45">
      <c r="A6" s="70"/>
      <c r="B6" s="44" t="str">
        <f>'Input data'!A161</f>
        <v>OCM Dep</v>
      </c>
      <c r="D6" s="372">
        <f>'Input data'!E161</f>
        <v>12.556003168574685</v>
      </c>
      <c r="E6" s="372">
        <f>'Input data'!F161</f>
        <v>23.510688132929992</v>
      </c>
      <c r="F6" s="372">
        <f>'Input data'!G161</f>
        <v>27.030847562404059</v>
      </c>
      <c r="G6" s="41"/>
      <c r="H6" s="42"/>
      <c r="I6" s="42"/>
      <c r="J6" s="42"/>
      <c r="K6" s="42"/>
      <c r="L6" s="42"/>
      <c r="M6" s="42"/>
    </row>
    <row r="7" spans="1:14" x14ac:dyDescent="0.45">
      <c r="A7" s="70"/>
      <c r="B7" s="44" t="str">
        <f>'Input data'!A162</f>
        <v>HG/L</v>
      </c>
      <c r="D7" s="372">
        <f>'Input data'!E162</f>
        <v>-34.91711669763346</v>
      </c>
      <c r="E7" s="372">
        <f>'Input data'!F162</f>
        <v>-15.689617393834055</v>
      </c>
      <c r="F7" s="372">
        <f>'Input data'!G162</f>
        <v>-12.303506768345287</v>
      </c>
      <c r="G7" s="42"/>
      <c r="H7" s="42"/>
      <c r="I7" s="42"/>
      <c r="J7" s="42"/>
      <c r="K7" s="42"/>
      <c r="L7" s="42"/>
      <c r="M7" s="42"/>
      <c r="N7" s="50"/>
    </row>
    <row r="8" spans="1:14" x14ac:dyDescent="0.45">
      <c r="A8" s="70"/>
      <c r="B8" s="44" t="str">
        <f>'Input data'!A163</f>
        <v>Other CCA</v>
      </c>
      <c r="D8" s="372">
        <f>'Input data'!E163</f>
        <v>14.150411302140501</v>
      </c>
      <c r="E8" s="372">
        <f>'Input data'!F163</f>
        <v>40.384336291771511</v>
      </c>
      <c r="F8" s="372">
        <f>'Input data'!G163</f>
        <v>8.0986703585532709</v>
      </c>
      <c r="G8" s="42"/>
      <c r="H8" s="42"/>
      <c r="I8" s="42"/>
      <c r="J8" s="42"/>
      <c r="K8" s="42"/>
      <c r="L8" s="42"/>
      <c r="M8" s="42"/>
    </row>
    <row r="9" spans="1:14" x14ac:dyDescent="0.45">
      <c r="A9" s="70"/>
      <c r="B9" s="91" t="str">
        <f>'Input data'!A164</f>
        <v>Other Dep</v>
      </c>
      <c r="C9" s="5"/>
      <c r="D9" s="372">
        <f>'Input data'!E164</f>
        <v>0</v>
      </c>
      <c r="E9" s="372">
        <f>'Input data'!F164</f>
        <v>0</v>
      </c>
      <c r="F9" s="372">
        <f>'Input data'!G164</f>
        <v>0</v>
      </c>
      <c r="J9" s="42"/>
      <c r="K9" s="42"/>
      <c r="L9" s="42"/>
      <c r="M9" s="42"/>
      <c r="N9" s="53"/>
    </row>
    <row r="10" spans="1:14" x14ac:dyDescent="0.45">
      <c r="A10" s="70"/>
      <c r="B10" s="44" t="str">
        <f>'Input data'!A165</f>
        <v>Total CCA Costs</v>
      </c>
      <c r="D10" s="373">
        <f>SUM(D5:D9)</f>
        <v>44.17001501564998</v>
      </c>
      <c r="E10" s="373">
        <f t="shared" ref="E10:F10" si="0">SUM(E5:E9)</f>
        <v>91.973694438733588</v>
      </c>
      <c r="F10" s="373">
        <f t="shared" si="0"/>
        <v>79.817661384929266</v>
      </c>
      <c r="G10" s="42"/>
      <c r="H10" s="42"/>
      <c r="I10" s="42"/>
      <c r="J10" s="42"/>
      <c r="K10" s="42"/>
      <c r="L10" s="42"/>
      <c r="M10" s="42"/>
      <c r="N10" s="53"/>
    </row>
    <row r="11" spans="1:14" x14ac:dyDescent="0.45">
      <c r="A11" s="70"/>
      <c r="B11" s="70"/>
      <c r="D11" s="334" t="b">
        <f>D10+'D&amp;C Cost Forecasts'!D11=SUM('Input data'!E195:E196,'Input data'!E165,'Input data'!E47)</f>
        <v>1</v>
      </c>
      <c r="E11" s="334" t="b">
        <f>E10+'D&amp;C Cost Forecasts'!E11=SUM('Input data'!F195:F196,'Input data'!F165,'Input data'!F47)</f>
        <v>1</v>
      </c>
      <c r="F11" s="334" t="b">
        <f>F10+'D&amp;C Cost Forecasts'!F11=SUM('Input data'!G195:G196,'Input data'!G165,'Input data'!G47)</f>
        <v>1</v>
      </c>
      <c r="G11" s="42"/>
      <c r="H11" s="42"/>
      <c r="I11" s="42"/>
      <c r="J11" s="42"/>
      <c r="K11" s="42"/>
      <c r="L11" s="42"/>
      <c r="M11" s="42"/>
      <c r="N11" s="53"/>
    </row>
    <row r="12" spans="1:14" x14ac:dyDescent="0.45">
      <c r="A12" s="70"/>
      <c r="B12" s="70"/>
      <c r="D12" s="28"/>
      <c r="E12" s="28"/>
      <c r="F12" s="28"/>
      <c r="G12" s="28"/>
      <c r="H12" s="28"/>
      <c r="I12" s="28"/>
      <c r="J12" s="50"/>
      <c r="K12" s="50"/>
      <c r="L12" s="50"/>
      <c r="M12" s="28"/>
      <c r="N12" s="10"/>
    </row>
    <row r="13" spans="1:14" x14ac:dyDescent="0.45">
      <c r="A13" s="70" t="str">
        <f>'D&amp;C Cost Forecasts'!A14</f>
        <v>MCE</v>
      </c>
      <c r="B13" s="44" t="str">
        <f>'Input data'!A167</f>
        <v>NRC (main COW)</v>
      </c>
      <c r="D13" s="372">
        <f>'Input data'!E167</f>
        <v>264.2306242258046</v>
      </c>
      <c r="E13" s="372">
        <f>'Input data'!F167</f>
        <v>339.77139188853891</v>
      </c>
      <c r="F13" s="372">
        <f>'Input data'!G167</f>
        <v>399.22772863337104</v>
      </c>
      <c r="G13" s="41"/>
      <c r="M13" s="28"/>
      <c r="N13" s="45"/>
    </row>
    <row r="14" spans="1:14" x14ac:dyDescent="0.45">
      <c r="B14" s="44" t="str">
        <f>'Input data'!A168</f>
        <v>Other COWs</v>
      </c>
      <c r="D14" s="372">
        <f>'Input data'!E168</f>
        <v>42.991295737548981</v>
      </c>
      <c r="E14" s="372">
        <f>'Input data'!F168</f>
        <v>71.031561395775597</v>
      </c>
      <c r="F14" s="372">
        <f>'Input data'!G168</f>
        <v>81.517003621347413</v>
      </c>
      <c r="M14" s="28"/>
    </row>
    <row r="15" spans="1:14" x14ac:dyDescent="0.45">
      <c r="B15" s="44" t="str">
        <f>'Input data'!A169</f>
        <v>Other non-COW</v>
      </c>
      <c r="D15" s="372">
        <f>'Input data'!E169</f>
        <v>0</v>
      </c>
      <c r="E15" s="372">
        <f>'Input data'!F169</f>
        <v>0</v>
      </c>
      <c r="F15" s="372">
        <f>'Input data'!G169</f>
        <v>0</v>
      </c>
      <c r="M15" s="28"/>
    </row>
    <row r="16" spans="1:14" x14ac:dyDescent="0.45">
      <c r="A16" s="28"/>
      <c r="B16" s="91" t="str">
        <f>'Input data'!A170</f>
        <v>NCA</v>
      </c>
      <c r="C16" s="5"/>
      <c r="D16" s="372">
        <f>'Input data'!E170</f>
        <v>2.5757803449188321</v>
      </c>
      <c r="E16" s="372">
        <f>'Input data'!F170</f>
        <v>0.50610350561659911</v>
      </c>
      <c r="F16" s="372">
        <f>'Input data'!G170</f>
        <v>-3.071594152926135</v>
      </c>
      <c r="M16" s="28"/>
    </row>
    <row r="17" spans="1:14" x14ac:dyDescent="0.45">
      <c r="A17" s="28"/>
      <c r="B17" s="44" t="str">
        <f>'Input data'!A171</f>
        <v>Total MCE</v>
      </c>
      <c r="D17" s="372">
        <f>'Input data'!E171</f>
        <v>309.7977003082724</v>
      </c>
      <c r="E17" s="372">
        <f>'Input data'!F171</f>
        <v>411.30905678993111</v>
      </c>
      <c r="F17" s="372">
        <f>'Input data'!G171</f>
        <v>477.67313810179229</v>
      </c>
      <c r="M17" s="28"/>
    </row>
    <row r="18" spans="1:14" x14ac:dyDescent="0.45">
      <c r="A18" s="28"/>
      <c r="B18" s="44"/>
      <c r="D18" s="334" t="b">
        <f>SUM(D13:D16)=D17</f>
        <v>1</v>
      </c>
      <c r="E18" s="334" t="b">
        <f t="shared" ref="E18:F18" si="1">SUM(E13:E16)=E17</f>
        <v>1</v>
      </c>
      <c r="F18" s="334" t="b">
        <f t="shared" si="1"/>
        <v>1</v>
      </c>
      <c r="M18" s="28"/>
    </row>
    <row r="19" spans="1:14" ht="7.5" customHeight="1" x14ac:dyDescent="0.45">
      <c r="A19" s="5"/>
      <c r="B19" s="5"/>
      <c r="C19" s="117"/>
      <c r="D19" s="5"/>
      <c r="E19" s="5"/>
      <c r="F19" s="5"/>
      <c r="G19" s="5"/>
      <c r="H19" s="117"/>
      <c r="I19" s="5"/>
      <c r="J19" s="5"/>
      <c r="K19" s="5"/>
      <c r="L19" s="5"/>
      <c r="M19" s="5"/>
      <c r="N19" s="118"/>
    </row>
    <row r="20" spans="1:14" ht="7.5" customHeight="1" x14ac:dyDescent="0.45"/>
    <row r="21" spans="1:14" ht="15.75" x14ac:dyDescent="0.5">
      <c r="A21" s="8" t="s">
        <v>190</v>
      </c>
      <c r="B21" s="8"/>
    </row>
    <row r="22" spans="1:14" ht="7.5" customHeight="1" x14ac:dyDescent="0.45"/>
    <row r="23" spans="1:14" s="14" customFormat="1" x14ac:dyDescent="0.45">
      <c r="A23" s="113"/>
      <c r="B23" s="113"/>
      <c r="C23"/>
      <c r="D23" s="31" t="s">
        <v>92</v>
      </c>
      <c r="E23" s="31" t="s">
        <v>93</v>
      </c>
      <c r="F23" s="31" t="s">
        <v>51</v>
      </c>
      <c r="G23" s="31" t="s">
        <v>138</v>
      </c>
      <c r="H23" s="31" t="s">
        <v>139</v>
      </c>
      <c r="I23" s="31" t="s">
        <v>140</v>
      </c>
      <c r="J23" s="31" t="s">
        <v>141</v>
      </c>
      <c r="K23" s="31" t="s">
        <v>142</v>
      </c>
      <c r="L23" s="31" t="s">
        <v>143</v>
      </c>
    </row>
    <row r="24" spans="1:14" s="14" customFormat="1" ht="13.15" x14ac:dyDescent="0.4">
      <c r="A24" s="21" t="str">
        <f>'Parameters and Assumptions'!A38</f>
        <v>PIA Asset Inflation value</v>
      </c>
      <c r="B24" s="21"/>
      <c r="C24" s="20"/>
      <c r="D24" s="183" cm="1">
        <f t="array" ref="D24:L24">asset_inflation</f>
        <v>0.12873938663127604</v>
      </c>
      <c r="E24" s="183">
        <v>7.4787643228200862E-2</v>
      </c>
      <c r="F24" s="183">
        <v>3.3025740878852572E-2</v>
      </c>
      <c r="G24" s="183">
        <v>4.5646370047441875E-2</v>
      </c>
      <c r="H24" s="183">
        <v>0.03</v>
      </c>
      <c r="I24" s="183">
        <v>0.03</v>
      </c>
      <c r="J24" s="183">
        <v>0.03</v>
      </c>
      <c r="K24" s="183">
        <v>0.03</v>
      </c>
      <c r="L24" s="183">
        <v>0.03</v>
      </c>
      <c r="M24" s="16"/>
    </row>
    <row r="25" spans="1:14" s="14" customFormat="1" ht="13.15" x14ac:dyDescent="0.4">
      <c r="A25" s="21" t="str">
        <f>'Parameters and Assumptions'!A40</f>
        <v>Opex Inflation value</v>
      </c>
      <c r="B25" s="21"/>
      <c r="C25" s="20"/>
      <c r="D25" s="183" cm="1">
        <f t="array" ref="D25:L25">opex_inflation</f>
        <v>0.10036409874522789</v>
      </c>
      <c r="E25" s="183">
        <v>5.6703919580784135E-2</v>
      </c>
      <c r="F25" s="183">
        <v>2.3545128743536425E-2</v>
      </c>
      <c r="G25" s="183">
        <v>3.5422237353326391E-2</v>
      </c>
      <c r="H25" s="183">
        <v>2.1823266989722256E-2</v>
      </c>
      <c r="I25" s="183">
        <v>1.9935780988294516E-2</v>
      </c>
      <c r="J25" s="183">
        <v>2.0957399820160205E-2</v>
      </c>
      <c r="K25" s="183">
        <v>2.0094840093029198E-2</v>
      </c>
      <c r="L25" s="183">
        <v>1.9998866368604373E-2</v>
      </c>
    </row>
    <row r="26" spans="1:14" s="14" customFormat="1" ht="7.5" customHeight="1" x14ac:dyDescent="0.45">
      <c r="I26" s="28"/>
      <c r="J26" s="28"/>
      <c r="K26" s="28"/>
      <c r="L26" s="28"/>
      <c r="M26"/>
      <c r="N26"/>
    </row>
    <row r="27" spans="1:14" s="14" customFormat="1" ht="13.15" x14ac:dyDescent="0.4">
      <c r="A27" s="113" t="s">
        <v>301</v>
      </c>
      <c r="B27" s="113"/>
      <c r="C27" s="20"/>
      <c r="D27" s="20">
        <f>'Pole volume forecasts'!E15</f>
        <v>7.2026319953137907E-3</v>
      </c>
      <c r="E27" s="20">
        <f>'Pole volume forecasts'!F15</f>
        <v>9.913027081812853E-3</v>
      </c>
      <c r="F27" s="20">
        <f>'Pole volume forecasts'!G15</f>
        <v>4.752544181801488E-3</v>
      </c>
      <c r="G27" s="20">
        <f>'Pole volume forecasts'!H15</f>
        <v>4.7286108436996876E-3</v>
      </c>
      <c r="H27" s="20">
        <f>'Pole volume forecasts'!I15</f>
        <v>5.6061169549201928E-3</v>
      </c>
      <c r="I27" s="20">
        <f>'Pole volume forecasts'!J15</f>
        <v>3.390211333658133E-3</v>
      </c>
      <c r="J27" s="20">
        <f>'Pole volume forecasts'!K15</f>
        <v>3.3194376300231809E-3</v>
      </c>
      <c r="K27" s="20">
        <f>'Pole volume forecasts'!L15</f>
        <v>3.1601566935388625E-3</v>
      </c>
      <c r="L27" s="20">
        <f>'Pole volume forecasts'!M15</f>
        <v>0</v>
      </c>
    </row>
    <row r="28" spans="1:14" ht="7.5" customHeight="1" x14ac:dyDescent="0.45">
      <c r="A28" s="5"/>
      <c r="B28" s="5"/>
      <c r="C28" s="117"/>
      <c r="D28" s="5"/>
      <c r="E28" s="5"/>
      <c r="F28" s="5"/>
      <c r="G28" s="5"/>
      <c r="H28" s="117"/>
      <c r="I28" s="5"/>
      <c r="J28" s="5"/>
      <c r="K28" s="5"/>
      <c r="L28" s="5"/>
      <c r="M28" s="5"/>
      <c r="N28" s="118"/>
    </row>
    <row r="29" spans="1:14" ht="7.5" customHeight="1" x14ac:dyDescent="0.45"/>
    <row r="30" spans="1:14" ht="15.75" x14ac:dyDescent="0.5">
      <c r="A30" s="8" t="s">
        <v>302</v>
      </c>
    </row>
    <row r="31" spans="1:14" ht="8.25" customHeight="1" x14ac:dyDescent="0.45"/>
    <row r="32" spans="1:14" x14ac:dyDescent="0.45">
      <c r="A32" s="66" t="s">
        <v>197</v>
      </c>
      <c r="B32" s="28"/>
      <c r="D32" s="31" t="s">
        <v>92</v>
      </c>
      <c r="E32" s="31" t="s">
        <v>93</v>
      </c>
      <c r="F32" s="31" t="s">
        <v>51</v>
      </c>
      <c r="G32" s="31" t="s">
        <v>138</v>
      </c>
      <c r="H32" s="31" t="s">
        <v>139</v>
      </c>
      <c r="I32" s="31" t="s">
        <v>140</v>
      </c>
      <c r="J32" s="31" t="s">
        <v>141</v>
      </c>
      <c r="K32" s="31" t="s">
        <v>142</v>
      </c>
      <c r="L32" s="31" t="s">
        <v>143</v>
      </c>
    </row>
    <row r="33" spans="1:15" s="28" customFormat="1" x14ac:dyDescent="0.45">
      <c r="A33" s="28" t="str">
        <f>B5</f>
        <v>Pay &amp; non-pay costs</v>
      </c>
      <c r="C33"/>
      <c r="D33" s="366">
        <f>IF(D$32&lt;=selected_year, D5, C33*(1+D$25)*(1-Opex_eff)*(1+Opex_CVE*D$27))</f>
        <v>52.380717242568252</v>
      </c>
      <c r="E33" s="366">
        <f>IF(E$32&lt;=selected_year, E5, D33*(1+E$25)*(1-Opex_eff)*(1+Opex_CVE*E$27))</f>
        <v>43.76828740786614</v>
      </c>
      <c r="F33" s="366">
        <f>IF(F$32&lt;=selected_year, F5, E33*(1+F$25)*(1-Opex_eff)*(1+Opex_CVE*F$27))</f>
        <v>56.991650232317227</v>
      </c>
      <c r="G33" s="51">
        <f t="shared" ref="G33:L33" si="2">F33*(1+G$25)*(1-Opex_eff)*(1+Opex_CVE*G$27)</f>
        <v>56.850911985603112</v>
      </c>
      <c r="H33" s="51">
        <f t="shared" si="2"/>
        <v>56.00240234838391</v>
      </c>
      <c r="I33" s="51">
        <f t="shared" si="2"/>
        <v>54.973524207366687</v>
      </c>
      <c r="J33" s="51">
        <f t="shared" si="2"/>
        <v>54.01474125191929</v>
      </c>
      <c r="K33" s="51">
        <f t="shared" si="2"/>
        <v>53.021522584198095</v>
      </c>
      <c r="L33" s="51">
        <f t="shared" si="2"/>
        <v>51.918617211858631</v>
      </c>
    </row>
    <row r="34" spans="1:15" s="28" customFormat="1" x14ac:dyDescent="0.45">
      <c r="A34" s="28" t="str">
        <f>B6</f>
        <v>OCM Dep</v>
      </c>
      <c r="D34" s="366">
        <f>IF(D$32&lt;=selected_year, D6, 'Poles main COW Forecasts'!D41)</f>
        <v>12.556003168574685</v>
      </c>
      <c r="E34" s="366">
        <f>IF(E$32&lt;=selected_year, E6, 'Poles main COW Forecasts'!E41)</f>
        <v>23.510688132929992</v>
      </c>
      <c r="F34" s="366">
        <f>IF(F$32&lt;=selected_year, F6, 'Poles main COW Forecasts'!F41)</f>
        <v>27.030847562404059</v>
      </c>
      <c r="G34" s="51">
        <f>'Poles main COW Forecasts'!G41</f>
        <v>15.503656675713717</v>
      </c>
      <c r="H34" s="51">
        <f>'Poles main COW Forecasts'!H41</f>
        <v>17.993913980047616</v>
      </c>
      <c r="I34" s="51">
        <f>'Poles main COW Forecasts'!I41</f>
        <v>20.000277510259131</v>
      </c>
      <c r="J34" s="51">
        <f>'Poles main COW Forecasts'!J41</f>
        <v>21.606889799063026</v>
      </c>
      <c r="K34" s="51">
        <f>'Poles main COW Forecasts'!K41</f>
        <v>23.142234728876975</v>
      </c>
      <c r="L34" s="51">
        <f>'Poles main COW Forecasts'!L41</f>
        <v>24.589834258079591</v>
      </c>
    </row>
    <row r="35" spans="1:15" s="28" customFormat="1" x14ac:dyDescent="0.45">
      <c r="A35" s="28" t="str">
        <f>B7</f>
        <v>HG/L</v>
      </c>
      <c r="D35" s="366">
        <f>IF(D$32&lt;=selected_year, D7, 'Poles main COW Forecasts'!D42)</f>
        <v>-34.91711669763346</v>
      </c>
      <c r="E35" s="366">
        <f>IF(E$32&lt;=selected_year, E7, 'Poles main COW Forecasts'!E42)</f>
        <v>-15.689617393834055</v>
      </c>
      <c r="F35" s="366">
        <f>IF(F$32&lt;=selected_year, F7, 'Poles main COW Forecasts'!F42)</f>
        <v>-12.303506768345287</v>
      </c>
      <c r="G35" s="51">
        <f>'Poles main COW Forecasts'!G42</f>
        <v>-23.047668847588533</v>
      </c>
      <c r="H35" s="51">
        <f>'Poles main COW Forecasts'!H42</f>
        <v>-18.646452010242058</v>
      </c>
      <c r="I35" s="51">
        <f>'Poles main COW Forecasts'!I42</f>
        <v>-21.335452772970029</v>
      </c>
      <c r="J35" s="51">
        <f>'Poles main COW Forecasts'!J42</f>
        <v>-23.308489488522465</v>
      </c>
      <c r="K35" s="51">
        <f>'Poles main COW Forecasts'!K42</f>
        <v>-25.121689771442707</v>
      </c>
      <c r="L35" s="51">
        <f>'Poles main COW Forecasts'!L42</f>
        <v>-26.875479931108718</v>
      </c>
    </row>
    <row r="36" spans="1:15" s="28" customFormat="1" x14ac:dyDescent="0.45">
      <c r="A36" s="28" t="str">
        <f>B8</f>
        <v>Other CCA</v>
      </c>
      <c r="D36" s="366">
        <f t="shared" ref="D36:F37" si="3">IF(D$32&lt;=selected_year, D8, C36)</f>
        <v>14.150411302140501</v>
      </c>
      <c r="E36" s="366">
        <f t="shared" si="3"/>
        <v>40.384336291771511</v>
      </c>
      <c r="F36" s="366">
        <f t="shared" si="3"/>
        <v>8.0986703585532709</v>
      </c>
      <c r="G36" s="46">
        <f t="shared" ref="G36:L36" si="4">F36</f>
        <v>8.0986703585532709</v>
      </c>
      <c r="H36" s="46">
        <f t="shared" si="4"/>
        <v>8.0986703585532709</v>
      </c>
      <c r="I36" s="46">
        <f t="shared" si="4"/>
        <v>8.0986703585532709</v>
      </c>
      <c r="J36" s="46">
        <f t="shared" si="4"/>
        <v>8.0986703585532709</v>
      </c>
      <c r="K36" s="46">
        <f t="shared" si="4"/>
        <v>8.0986703585532709</v>
      </c>
      <c r="L36" s="46">
        <f t="shared" si="4"/>
        <v>8.0986703585532709</v>
      </c>
      <c r="M36" s="48" t="s">
        <v>303</v>
      </c>
    </row>
    <row r="37" spans="1:15" s="28" customFormat="1" x14ac:dyDescent="0.45">
      <c r="A37" s="28" t="str">
        <f>B9</f>
        <v>Other Dep</v>
      </c>
      <c r="D37" s="366">
        <f t="shared" si="3"/>
        <v>0</v>
      </c>
      <c r="E37" s="366">
        <f t="shared" si="3"/>
        <v>0</v>
      </c>
      <c r="F37" s="366">
        <f t="shared" si="3"/>
        <v>0</v>
      </c>
      <c r="G37" s="46">
        <f t="shared" ref="G37:L37" si="5">F37</f>
        <v>0</v>
      </c>
      <c r="H37" s="46">
        <f t="shared" si="5"/>
        <v>0</v>
      </c>
      <c r="I37" s="46">
        <f t="shared" si="5"/>
        <v>0</v>
      </c>
      <c r="J37" s="46">
        <f t="shared" si="5"/>
        <v>0</v>
      </c>
      <c r="K37" s="46">
        <f t="shared" si="5"/>
        <v>0</v>
      </c>
      <c r="L37" s="46">
        <f t="shared" si="5"/>
        <v>0</v>
      </c>
      <c r="M37" s="48" t="s">
        <v>303</v>
      </c>
    </row>
    <row r="38" spans="1:15" s="28" customFormat="1" ht="13.15" x14ac:dyDescent="0.4">
      <c r="D38" s="46"/>
      <c r="E38" s="46"/>
      <c r="F38" s="46"/>
      <c r="G38" s="46"/>
      <c r="H38" s="46"/>
      <c r="I38" s="46"/>
      <c r="J38" s="46"/>
      <c r="K38" s="46"/>
      <c r="L38" s="46"/>
    </row>
    <row r="39" spans="1:15" s="28" customFormat="1" ht="13.15" x14ac:dyDescent="0.4">
      <c r="A39" s="28" t="str">
        <f>B10</f>
        <v>Total CCA Costs</v>
      </c>
      <c r="D39" s="46">
        <f t="shared" ref="D39:L39" si="6">SUM(D33:D37)</f>
        <v>44.17001501564998</v>
      </c>
      <c r="E39" s="46">
        <f t="shared" si="6"/>
        <v>91.973694438733588</v>
      </c>
      <c r="F39" s="46">
        <f t="shared" si="6"/>
        <v>79.817661384929266</v>
      </c>
      <c r="G39" s="46">
        <f t="shared" si="6"/>
        <v>57.405570172281571</v>
      </c>
      <c r="H39" s="46">
        <f t="shared" si="6"/>
        <v>63.448534676742746</v>
      </c>
      <c r="I39" s="46">
        <f t="shared" si="6"/>
        <v>61.73701930320906</v>
      </c>
      <c r="J39" s="46">
        <f t="shared" si="6"/>
        <v>60.411811921013118</v>
      </c>
      <c r="K39" s="46">
        <f t="shared" si="6"/>
        <v>59.140737900185634</v>
      </c>
      <c r="L39" s="46">
        <f t="shared" si="6"/>
        <v>57.731641897382779</v>
      </c>
    </row>
    <row r="40" spans="1:15" x14ac:dyDescent="0.45">
      <c r="C40" s="47"/>
      <c r="D40" s="46"/>
      <c r="E40" s="46"/>
      <c r="F40" s="46"/>
      <c r="G40" s="46"/>
      <c r="H40" s="46"/>
      <c r="I40" s="46"/>
      <c r="J40" s="46"/>
      <c r="K40" s="46"/>
      <c r="L40" s="46"/>
      <c r="O40" s="28"/>
    </row>
    <row r="41" spans="1:15" x14ac:dyDescent="0.45">
      <c r="A41" s="66" t="s">
        <v>200</v>
      </c>
      <c r="B41" s="28"/>
      <c r="C41" s="47"/>
      <c r="D41" s="322" t="s">
        <v>92</v>
      </c>
      <c r="E41" s="322" t="s">
        <v>93</v>
      </c>
      <c r="F41" s="322" t="s">
        <v>51</v>
      </c>
      <c r="G41" s="322" t="s">
        <v>138</v>
      </c>
      <c r="H41" s="322" t="s">
        <v>139</v>
      </c>
      <c r="I41" s="322" t="s">
        <v>140</v>
      </c>
      <c r="J41" s="322" t="s">
        <v>141</v>
      </c>
      <c r="K41" s="322" t="s">
        <v>142</v>
      </c>
      <c r="L41" s="322" t="s">
        <v>143</v>
      </c>
      <c r="N41" s="28"/>
    </row>
    <row r="42" spans="1:15" x14ac:dyDescent="0.45">
      <c r="A42" s="28"/>
      <c r="B42" s="28"/>
      <c r="C42" s="47"/>
      <c r="D42" s="46"/>
      <c r="E42" s="46"/>
      <c r="F42" s="46"/>
      <c r="G42" s="46"/>
      <c r="H42" s="46"/>
      <c r="I42" s="46"/>
      <c r="J42" s="46"/>
      <c r="K42" s="46"/>
      <c r="L42" s="46"/>
      <c r="O42" s="28"/>
    </row>
    <row r="43" spans="1:15" x14ac:dyDescent="0.45">
      <c r="A43" s="28" t="str">
        <f>B13</f>
        <v>NRC (main COW)</v>
      </c>
      <c r="B43" s="28"/>
      <c r="D43" s="366">
        <f>IF(D$41&lt;=selected_year, D13, 'Poles main COW Forecasts'!D40)</f>
        <v>264.2306242258046</v>
      </c>
      <c r="E43" s="366">
        <f>IF(E$41&lt;=selected_year, E13, 'Poles main COW Forecasts'!E40)</f>
        <v>339.77139188853891</v>
      </c>
      <c r="F43" s="366">
        <f>IF(F$41&lt;=selected_year, F13, 'Poles main COW Forecasts'!F40)</f>
        <v>399.22772863337104</v>
      </c>
      <c r="G43" s="46">
        <f>'Poles main COW Forecasts'!G40</f>
        <v>508.68989602185741</v>
      </c>
      <c r="H43" s="46">
        <f>'Poles main COW Forecasts'!H40</f>
        <v>621.87466935649923</v>
      </c>
      <c r="I43" s="46">
        <f>'Poles main COW Forecasts'!I40</f>
        <v>711.8493467303565</v>
      </c>
      <c r="J43" s="46">
        <f>'Poles main COW Forecasts'!J40</f>
        <v>777.80044946214525</v>
      </c>
      <c r="K43" s="46">
        <f>'Poles main COW Forecasts'!K40</f>
        <v>838.37938656937308</v>
      </c>
      <c r="L43" s="46">
        <f>'Poles main COW Forecasts'!L40</f>
        <v>896.99215387347181</v>
      </c>
      <c r="O43" s="28"/>
    </row>
    <row r="44" spans="1:15" s="28" customFormat="1" x14ac:dyDescent="0.45">
      <c r="A44" s="28" t="str">
        <f>B14</f>
        <v>Other COWs</v>
      </c>
      <c r="D44" s="366">
        <f t="shared" ref="D44:F45" si="7">IF(D$41&lt;=selected_year, D14, C44)</f>
        <v>42.991295737548981</v>
      </c>
      <c r="E44" s="366">
        <f t="shared" si="7"/>
        <v>71.031561395775597</v>
      </c>
      <c r="F44" s="366">
        <f t="shared" si="7"/>
        <v>81.517003621347413</v>
      </c>
      <c r="G44" s="46">
        <f t="shared" ref="G44:L44" si="8">$D44</f>
        <v>42.991295737548981</v>
      </c>
      <c r="H44" s="46">
        <f t="shared" si="8"/>
        <v>42.991295737548981</v>
      </c>
      <c r="I44" s="46">
        <f t="shared" si="8"/>
        <v>42.991295737548981</v>
      </c>
      <c r="J44" s="46">
        <f t="shared" si="8"/>
        <v>42.991295737548981</v>
      </c>
      <c r="K44" s="46">
        <f t="shared" si="8"/>
        <v>42.991295737548981</v>
      </c>
      <c r="L44" s="46">
        <f t="shared" si="8"/>
        <v>42.991295737548981</v>
      </c>
      <c r="M44" s="47"/>
      <c r="N44" s="48" t="s">
        <v>304</v>
      </c>
    </row>
    <row r="45" spans="1:15" s="28" customFormat="1" x14ac:dyDescent="0.45">
      <c r="A45" s="28" t="str">
        <f>B15</f>
        <v>Other non-COW</v>
      </c>
      <c r="D45" s="366">
        <f t="shared" si="7"/>
        <v>0</v>
      </c>
      <c r="E45" s="366">
        <f t="shared" si="7"/>
        <v>0</v>
      </c>
      <c r="F45" s="366">
        <f t="shared" si="7"/>
        <v>0</v>
      </c>
      <c r="G45" s="46">
        <f t="shared" ref="G45:L45" si="9">$D45</f>
        <v>0</v>
      </c>
      <c r="H45" s="46">
        <f t="shared" si="9"/>
        <v>0</v>
      </c>
      <c r="I45" s="46">
        <f t="shared" si="9"/>
        <v>0</v>
      </c>
      <c r="J45" s="46">
        <f t="shared" si="9"/>
        <v>0</v>
      </c>
      <c r="K45" s="46">
        <f t="shared" si="9"/>
        <v>0</v>
      </c>
      <c r="L45" s="46">
        <f t="shared" si="9"/>
        <v>0</v>
      </c>
      <c r="M45" s="47"/>
      <c r="N45" s="48" t="s">
        <v>305</v>
      </c>
    </row>
    <row r="46" spans="1:15" s="28" customFormat="1" x14ac:dyDescent="0.45">
      <c r="A46" s="28" t="str">
        <f>B16</f>
        <v>NCA</v>
      </c>
      <c r="D46" s="366">
        <f>IF(D$41&lt;=selected_year, D16, C46*(1+D27)*(1+D24))</f>
        <v>2.5757803449188321</v>
      </c>
      <c r="E46" s="366">
        <f>IF(E$41&lt;=selected_year, E16, D46*(1+E27)*(1+E24))</f>
        <v>0.50610350561659911</v>
      </c>
      <c r="F46" s="366">
        <f>IF(F$41&lt;=selected_year, F16, E46*(1+F27)*(1+F24))</f>
        <v>-3.071594152926135</v>
      </c>
      <c r="G46" s="46">
        <f>F46*(1+G27)*(1+G24)</f>
        <v>-3.2269886346089209</v>
      </c>
      <c r="H46" s="46">
        <f t="shared" ref="H46:L46" si="10">G46*(1+H27)*(1+H24)</f>
        <v>-3.3424318956159391</v>
      </c>
      <c r="I46" s="46">
        <f t="shared" si="10"/>
        <v>-3.4543763494937503</v>
      </c>
      <c r="J46" s="46">
        <f t="shared" si="10"/>
        <v>-3.5698182244266179</v>
      </c>
      <c r="K46" s="46">
        <f t="shared" si="10"/>
        <v>-3.6885323916647543</v>
      </c>
      <c r="L46" s="46">
        <f t="shared" si="10"/>
        <v>-3.799188363414697</v>
      </c>
    </row>
    <row r="47" spans="1:15" s="28" customFormat="1" ht="13.15" x14ac:dyDescent="0.4">
      <c r="D47" s="51"/>
      <c r="E47" s="51"/>
      <c r="F47" s="51"/>
      <c r="G47" s="51"/>
      <c r="H47" s="51"/>
      <c r="I47" s="51"/>
      <c r="J47" s="51"/>
      <c r="K47" s="51"/>
      <c r="L47" s="51"/>
    </row>
    <row r="48" spans="1:15" s="28" customFormat="1" ht="13.15" x14ac:dyDescent="0.4">
      <c r="A48" s="28" t="str">
        <f>B17</f>
        <v>Total MCE</v>
      </c>
      <c r="D48" s="51">
        <f>SUM(D43:D46)</f>
        <v>309.7977003082724</v>
      </c>
      <c r="E48" s="51">
        <f t="shared" ref="E48:L48" si="11">SUM(E43:E46)</f>
        <v>411.30905678993111</v>
      </c>
      <c r="F48" s="51">
        <f t="shared" si="11"/>
        <v>477.67313810179229</v>
      </c>
      <c r="G48" s="51">
        <f t="shared" si="11"/>
        <v>548.45420312479746</v>
      </c>
      <c r="H48" s="51">
        <f t="shared" si="11"/>
        <v>661.52353319843223</v>
      </c>
      <c r="I48" s="51">
        <f t="shared" si="11"/>
        <v>751.38626611841175</v>
      </c>
      <c r="J48" s="51">
        <f t="shared" si="11"/>
        <v>817.22192697526759</v>
      </c>
      <c r="K48" s="51">
        <f t="shared" si="11"/>
        <v>877.68214991525724</v>
      </c>
      <c r="L48" s="51">
        <f t="shared" si="11"/>
        <v>936.18426124760606</v>
      </c>
      <c r="M48" s="43"/>
    </row>
    <row r="49" spans="1:14" ht="8.65" customHeight="1" thickBot="1" x14ac:dyDescent="0.5">
      <c r="A49" s="1"/>
      <c r="B49" s="1"/>
      <c r="C49" s="1"/>
      <c r="D49" s="323"/>
      <c r="E49" s="323"/>
      <c r="F49" s="323"/>
      <c r="G49" s="323"/>
      <c r="H49" s="323"/>
      <c r="I49" s="323"/>
      <c r="J49" s="323"/>
      <c r="K49" s="323"/>
      <c r="L49" s="323"/>
      <c r="M49" s="1"/>
      <c r="N49" s="1"/>
    </row>
    <row r="50" spans="1:14" ht="8.65" customHeight="1" x14ac:dyDescent="0.45">
      <c r="D50" s="52"/>
      <c r="E50" s="52"/>
      <c r="F50" s="52"/>
      <c r="G50" s="52"/>
      <c r="H50" s="52"/>
      <c r="I50" s="52"/>
      <c r="J50" s="52"/>
      <c r="K50" s="52"/>
      <c r="L50" s="52"/>
    </row>
    <row r="51" spans="1:14" ht="15.75" x14ac:dyDescent="0.5">
      <c r="A51" s="8" t="s">
        <v>306</v>
      </c>
      <c r="D51" s="322" t="s">
        <v>92</v>
      </c>
      <c r="E51" s="322" t="s">
        <v>93</v>
      </c>
      <c r="F51" s="322" t="s">
        <v>51</v>
      </c>
      <c r="G51" s="322" t="s">
        <v>138</v>
      </c>
      <c r="H51" s="322" t="s">
        <v>139</v>
      </c>
      <c r="I51" s="322" t="s">
        <v>140</v>
      </c>
      <c r="J51" s="322" t="s">
        <v>141</v>
      </c>
      <c r="K51" s="322" t="s">
        <v>142</v>
      </c>
      <c r="L51" s="322" t="s">
        <v>143</v>
      </c>
    </row>
    <row r="52" spans="1:14" x14ac:dyDescent="0.45">
      <c r="A52" s="28" t="s">
        <v>205</v>
      </c>
      <c r="B52" s="28" t="str">
        <f>A39</f>
        <v>Total CCA Costs</v>
      </c>
      <c r="D52" s="51">
        <f t="shared" ref="D52:L52" si="12">D39</f>
        <v>44.17001501564998</v>
      </c>
      <c r="E52" s="51">
        <f t="shared" si="12"/>
        <v>91.973694438733588</v>
      </c>
      <c r="F52" s="51">
        <f t="shared" si="12"/>
        <v>79.817661384929266</v>
      </c>
      <c r="G52" s="51">
        <f t="shared" si="12"/>
        <v>57.405570172281571</v>
      </c>
      <c r="H52" s="51">
        <f t="shared" si="12"/>
        <v>63.448534676742746</v>
      </c>
      <c r="I52" s="51">
        <f t="shared" si="12"/>
        <v>61.73701930320906</v>
      </c>
      <c r="J52" s="51">
        <f t="shared" si="12"/>
        <v>60.411811921013118</v>
      </c>
      <c r="K52" s="51">
        <f t="shared" si="12"/>
        <v>59.140737900185634</v>
      </c>
      <c r="L52" s="51">
        <f t="shared" si="12"/>
        <v>57.731641897382779</v>
      </c>
    </row>
    <row r="53" spans="1:14" x14ac:dyDescent="0.45">
      <c r="A53" s="28"/>
      <c r="B53" s="28" t="str">
        <f>A48</f>
        <v>Total MCE</v>
      </c>
      <c r="D53" s="51">
        <f>D48</f>
        <v>309.7977003082724</v>
      </c>
      <c r="E53" s="51">
        <f t="shared" ref="E53:L53" si="13">E48</f>
        <v>411.30905678993111</v>
      </c>
      <c r="F53" s="51">
        <f t="shared" si="13"/>
        <v>477.67313810179229</v>
      </c>
      <c r="G53" s="51">
        <f t="shared" si="13"/>
        <v>548.45420312479746</v>
      </c>
      <c r="H53" s="51">
        <f t="shared" si="13"/>
        <v>661.52353319843223</v>
      </c>
      <c r="I53" s="51">
        <f t="shared" si="13"/>
        <v>751.38626611841175</v>
      </c>
      <c r="J53" s="51">
        <f t="shared" si="13"/>
        <v>817.22192697526759</v>
      </c>
      <c r="K53" s="51">
        <f t="shared" si="13"/>
        <v>877.68214991525724</v>
      </c>
      <c r="L53" s="51">
        <f t="shared" si="13"/>
        <v>936.18426124760606</v>
      </c>
    </row>
  </sheetData>
  <phoneticPr fontId="50" type="noConversion"/>
  <conditionalFormatting sqref="D11:F11 D18:F18">
    <cfRule type="cellIs" dxfId="2" priority="1" stopIfTrue="1" operator="notEqual">
      <formula>TRUE</formula>
    </cfRule>
  </conditionalFormatting>
  <printOptions horizontalCentered="1" verticalCentered="1"/>
  <pageMargins left="0.19685039370078741" right="0.19685039370078741" top="0.39370078740157483" bottom="0.31496062992125984" header="0.19685039370078741" footer="0.19685039370078741"/>
  <pageSetup paperSize="9" scale="70" orientation="landscape" r:id="rId1"/>
  <headerFooter>
    <oddHeader>&amp;CPage &amp;P of &amp;N&amp;R&amp;D &amp;T&amp;L&amp;"Calibri"&amp;12&amp;K000000Classification: HIGHLY SENSITIVE&amp;1#_x000D_&amp;"Calibri"&amp;11&amp;K000000File: &amp;F Sheet: &amp;A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DD0D8-5C13-462C-957B-7E48C12377EF}">
  <sheetPr codeName="Sheet19"/>
  <dimension ref="A1:R103"/>
  <sheetViews>
    <sheetView showGridLines="0" zoomScale="85" zoomScaleNormal="85" workbookViewId="0"/>
  </sheetViews>
  <sheetFormatPr defaultColWidth="8.796875" defaultRowHeight="14.25" x14ac:dyDescent="0.45"/>
  <cols>
    <col min="1" max="1" width="3" customWidth="1"/>
    <col min="2" max="2" width="13" customWidth="1"/>
    <col min="3" max="3" width="43.265625" bestFit="1" customWidth="1"/>
    <col min="4" max="5" width="17.73046875" bestFit="1" customWidth="1"/>
    <col min="6" max="9" width="12" customWidth="1"/>
    <col min="10" max="10" width="13.265625" customWidth="1"/>
    <col min="11" max="12" width="13.73046875" customWidth="1"/>
    <col min="13" max="13" width="2.265625" customWidth="1"/>
    <col min="14" max="14" width="15.265625" customWidth="1"/>
    <col min="15" max="15" width="14.59765625" customWidth="1"/>
  </cols>
  <sheetData>
    <row r="1" spans="1:15" ht="21" x14ac:dyDescent="0.65">
      <c r="A1" s="83" t="s">
        <v>307</v>
      </c>
    </row>
    <row r="2" spans="1:15" ht="9" customHeight="1" x14ac:dyDescent="0.45"/>
    <row r="3" spans="1:15" s="28" customFormat="1" ht="15.75" x14ac:dyDescent="0.5">
      <c r="A3" s="8" t="s">
        <v>308</v>
      </c>
      <c r="D3" s="322" t="s">
        <v>92</v>
      </c>
      <c r="E3" s="322" t="s">
        <v>93</v>
      </c>
      <c r="F3" s="322" t="s">
        <v>51</v>
      </c>
      <c r="G3" s="322" t="s">
        <v>138</v>
      </c>
      <c r="H3" s="322" t="s">
        <v>139</v>
      </c>
      <c r="I3" s="322" t="s">
        <v>140</v>
      </c>
      <c r="J3" s="322" t="s">
        <v>141</v>
      </c>
      <c r="K3" s="322" t="s">
        <v>142</v>
      </c>
      <c r="L3" s="322" t="s">
        <v>143</v>
      </c>
      <c r="N3"/>
      <c r="O3" s="29" t="s">
        <v>208</v>
      </c>
    </row>
    <row r="4" spans="1:15" s="28" customFormat="1" ht="9" customHeight="1" x14ac:dyDescent="0.45">
      <c r="N4"/>
    </row>
    <row r="5" spans="1:15" s="28" customFormat="1" x14ac:dyDescent="0.45">
      <c r="B5" s="28" t="str">
        <f>'Poles costs forecasts'!B52</f>
        <v>Total CCA Costs</v>
      </c>
      <c r="C5" s="56"/>
      <c r="D5" s="49">
        <f>'Poles costs forecasts'!D52</f>
        <v>44.17001501564998</v>
      </c>
      <c r="E5" s="49">
        <f>'Poles costs forecasts'!E52</f>
        <v>91.973694438733588</v>
      </c>
      <c r="F5" s="49">
        <f>'Poles costs forecasts'!F52</f>
        <v>79.817661384929266</v>
      </c>
      <c r="G5" s="49">
        <f>'Poles costs forecasts'!G52</f>
        <v>57.405570172281571</v>
      </c>
      <c r="H5" s="49">
        <f>'Poles costs forecasts'!H52</f>
        <v>63.448534676742746</v>
      </c>
      <c r="I5" s="49">
        <f>'Poles costs forecasts'!I52</f>
        <v>61.73701930320906</v>
      </c>
      <c r="J5" s="49">
        <f>'Poles costs forecasts'!J52</f>
        <v>60.411811921013118</v>
      </c>
      <c r="K5" s="49">
        <f>'Poles costs forecasts'!K52</f>
        <v>59.140737900185634</v>
      </c>
      <c r="L5" s="49">
        <f>'Poles costs forecasts'!L52</f>
        <v>57.731641897382779</v>
      </c>
      <c r="N5"/>
    </row>
    <row r="6" spans="1:15" s="28" customFormat="1" x14ac:dyDescent="0.45">
      <c r="B6" s="28" t="str">
        <f>'Poles costs forecasts'!B53</f>
        <v>Total MCE</v>
      </c>
      <c r="C6" s="56"/>
      <c r="D6" s="49">
        <f>'Poles costs forecasts'!D53</f>
        <v>309.7977003082724</v>
      </c>
      <c r="E6" s="49">
        <f>'Poles costs forecasts'!E53</f>
        <v>411.30905678993111</v>
      </c>
      <c r="F6" s="49">
        <f>'Poles costs forecasts'!F53</f>
        <v>477.67313810179229</v>
      </c>
      <c r="G6" s="49">
        <f>'Poles costs forecasts'!G53</f>
        <v>548.45420312479746</v>
      </c>
      <c r="H6" s="49">
        <f>'Poles costs forecasts'!H53</f>
        <v>661.52353319843223</v>
      </c>
      <c r="I6" s="49">
        <f>'Poles costs forecasts'!I53</f>
        <v>751.38626611841175</v>
      </c>
      <c r="J6" s="49">
        <f>'Poles costs forecasts'!J53</f>
        <v>817.22192697526759</v>
      </c>
      <c r="K6" s="49">
        <f>'Poles costs forecasts'!K53</f>
        <v>877.68214991525724</v>
      </c>
      <c r="L6" s="49">
        <f>'Poles costs forecasts'!L53</f>
        <v>936.18426124760606</v>
      </c>
      <c r="N6"/>
    </row>
    <row r="7" spans="1:15" s="28" customFormat="1" ht="13.15" x14ac:dyDescent="0.4">
      <c r="C7" s="56"/>
      <c r="D7" s="84"/>
      <c r="E7" s="84"/>
      <c r="F7" s="84"/>
      <c r="G7" s="84"/>
      <c r="H7" s="84"/>
      <c r="I7" s="84"/>
      <c r="J7" s="84"/>
    </row>
    <row r="8" spans="1:15" s="28" customFormat="1" ht="13.15" x14ac:dyDescent="0.4">
      <c r="B8" s="28" t="s">
        <v>209</v>
      </c>
      <c r="C8" s="56"/>
      <c r="D8" s="39">
        <f>'Pole volume forecasts'!D14</f>
        <v>4114415.5</v>
      </c>
      <c r="E8" s="39">
        <f>'Pole volume forecasts'!E14</f>
        <v>4144050.1207223153</v>
      </c>
      <c r="F8" s="39">
        <f>'Pole volume forecasts'!F14</f>
        <v>4185130.2017974257</v>
      </c>
      <c r="G8" s="39">
        <f>'Pole volume forecasts'!G14</f>
        <v>4205020.2179880599</v>
      </c>
      <c r="H8" s="39">
        <f>'Pole volume forecasts'!H14</f>
        <v>4224904.1221888149</v>
      </c>
      <c r="I8" s="39">
        <f>'Pole volume forecasts'!I14</f>
        <v>4248589.4288211297</v>
      </c>
      <c r="J8" s="39">
        <f>'Pole volume forecasts'!J14</f>
        <v>4262993.0448547788</v>
      </c>
      <c r="K8" s="39">
        <f>'Pole volume forecasts'!K14</f>
        <v>4277143.7843843969</v>
      </c>
      <c r="L8" s="39">
        <f>'Pole volume forecasts'!L14</f>
        <v>4290660.2289438471</v>
      </c>
      <c r="M8" s="39"/>
      <c r="N8" s="39"/>
    </row>
    <row r="9" spans="1:15" s="28" customFormat="1" ht="13.15" x14ac:dyDescent="0.4">
      <c r="C9" s="56"/>
    </row>
    <row r="10" spans="1:15" s="28" customFormat="1" ht="13.15" x14ac:dyDescent="0.4">
      <c r="B10" s="28" t="s">
        <v>210</v>
      </c>
      <c r="C10" s="56"/>
      <c r="D10" s="55">
        <f>'Parameters and Assumptions'!D4</f>
        <v>7.4999999999999997E-2</v>
      </c>
      <c r="E10" s="55">
        <f>'Parameters and Assumptions'!E4</f>
        <v>7.4999999999999997E-2</v>
      </c>
      <c r="F10" s="55">
        <f>'Parameters and Assumptions'!F4</f>
        <v>7.4999999999999997E-2</v>
      </c>
      <c r="G10" s="55">
        <f>'Parameters and Assumptions'!G4</f>
        <v>7.4999999999999997E-2</v>
      </c>
      <c r="H10" s="55">
        <f>'Parameters and Assumptions'!H4</f>
        <v>7.4999999999999997E-2</v>
      </c>
      <c r="I10" s="55">
        <f>'Parameters and Assumptions'!I4</f>
        <v>7.4999999999999997E-2</v>
      </c>
      <c r="J10" s="55">
        <f>'Parameters and Assumptions'!J4</f>
        <v>7.4999999999999997E-2</v>
      </c>
      <c r="K10" s="55">
        <f>'Parameters and Assumptions'!K4</f>
        <v>7.4999999999999997E-2</v>
      </c>
      <c r="L10" s="55">
        <f>'Parameters and Assumptions'!L4</f>
        <v>7.4999999999999997E-2</v>
      </c>
    </row>
    <row r="11" spans="1:15" s="28" customFormat="1" ht="13.15" x14ac:dyDescent="0.4">
      <c r="C11" s="56"/>
      <c r="D11" s="55"/>
      <c r="E11" s="55"/>
      <c r="F11" s="55"/>
      <c r="G11" s="55"/>
      <c r="H11" s="55"/>
      <c r="I11" s="55"/>
      <c r="J11" s="55"/>
    </row>
    <row r="12" spans="1:15" s="28" customFormat="1" ht="13.15" x14ac:dyDescent="0.4">
      <c r="B12" s="28" t="str">
        <f>'Parameters and Assumptions'!C24</f>
        <v>Attachment costs</v>
      </c>
      <c r="D12" s="88">
        <f>'Parameters and Assumptions'!D24</f>
        <v>1</v>
      </c>
      <c r="E12" s="88">
        <f>D12</f>
        <v>1</v>
      </c>
      <c r="F12" s="88">
        <f t="shared" ref="F12:L12" si="0">E12</f>
        <v>1</v>
      </c>
      <c r="G12" s="88">
        <f t="shared" si="0"/>
        <v>1</v>
      </c>
      <c r="H12" s="88">
        <f t="shared" si="0"/>
        <v>1</v>
      </c>
      <c r="I12" s="88">
        <f t="shared" si="0"/>
        <v>1</v>
      </c>
      <c r="J12" s="88">
        <f t="shared" si="0"/>
        <v>1</v>
      </c>
      <c r="K12" s="88">
        <f t="shared" si="0"/>
        <v>1</v>
      </c>
      <c r="L12" s="88">
        <f t="shared" si="0"/>
        <v>1</v>
      </c>
      <c r="O12" s="48" t="s">
        <v>309</v>
      </c>
    </row>
    <row r="13" spans="1:15" s="28" customFormat="1" ht="13.15" x14ac:dyDescent="0.4">
      <c r="B13" s="28" t="str">
        <f>'Parameters and Assumptions'!C25</f>
        <v>Manifold costs</v>
      </c>
      <c r="D13" s="88">
        <f>'Parameters and Assumptions'!D25</f>
        <v>0</v>
      </c>
      <c r="E13" s="88">
        <f t="shared" ref="E13:L14" si="1">D13</f>
        <v>0</v>
      </c>
      <c r="F13" s="88">
        <f t="shared" si="1"/>
        <v>0</v>
      </c>
      <c r="G13" s="88">
        <f t="shared" si="1"/>
        <v>0</v>
      </c>
      <c r="H13" s="88">
        <f t="shared" si="1"/>
        <v>0</v>
      </c>
      <c r="I13" s="88">
        <f t="shared" si="1"/>
        <v>0</v>
      </c>
      <c r="J13" s="88">
        <f t="shared" si="1"/>
        <v>0</v>
      </c>
      <c r="K13" s="88">
        <f t="shared" si="1"/>
        <v>0</v>
      </c>
      <c r="L13" s="88">
        <f t="shared" si="1"/>
        <v>0</v>
      </c>
      <c r="O13" s="48" t="s">
        <v>309</v>
      </c>
    </row>
    <row r="14" spans="1:15" s="28" customFormat="1" ht="13.15" x14ac:dyDescent="0.4">
      <c r="B14" s="28" t="str">
        <f>'Parameters and Assumptions'!C26</f>
        <v>Cables up poles costs</v>
      </c>
      <c r="D14" s="88">
        <f>'Parameters and Assumptions'!D26</f>
        <v>0</v>
      </c>
      <c r="E14" s="88">
        <f t="shared" si="1"/>
        <v>0</v>
      </c>
      <c r="F14" s="88">
        <f t="shared" si="1"/>
        <v>0</v>
      </c>
      <c r="G14" s="88">
        <f t="shared" si="1"/>
        <v>0</v>
      </c>
      <c r="H14" s="88">
        <f t="shared" si="1"/>
        <v>0</v>
      </c>
      <c r="I14" s="88">
        <f t="shared" si="1"/>
        <v>0</v>
      </c>
      <c r="J14" s="88">
        <f t="shared" si="1"/>
        <v>0</v>
      </c>
      <c r="K14" s="88">
        <f t="shared" si="1"/>
        <v>0</v>
      </c>
      <c r="L14" s="88">
        <f t="shared" si="1"/>
        <v>0</v>
      </c>
      <c r="O14" s="48" t="s">
        <v>309</v>
      </c>
    </row>
    <row r="15" spans="1:15" s="28" customFormat="1" ht="13.15" x14ac:dyDescent="0.4">
      <c r="D15" s="55"/>
    </row>
    <row r="16" spans="1:15" s="2" customFormat="1" ht="26.25" x14ac:dyDescent="0.45">
      <c r="B16" s="44" t="s">
        <v>213</v>
      </c>
      <c r="C16" s="138"/>
      <c r="D16" s="144" t="str">
        <f>'Input data'!F4</f>
        <v>Published 01/04/2022</v>
      </c>
      <c r="E16" s="144" t="str">
        <f>'Input data'!G4</f>
        <v>Published 01/04/2023</v>
      </c>
      <c r="F16" s="144" t="str">
        <f>'Input data'!H4</f>
        <v>Published 01/04/2024</v>
      </c>
      <c r="G16" s="144" t="str">
        <f>'Input data'!I4</f>
        <v>Published 01/04/2025</v>
      </c>
      <c r="H16" s="61"/>
      <c r="I16" s="3"/>
      <c r="J16" s="3"/>
      <c r="K16" s="3"/>
      <c r="L16" s="3"/>
    </row>
    <row r="17" spans="1:15" x14ac:dyDescent="0.45">
      <c r="B17" s="56" t="str">
        <f>'Input data'!A13</f>
        <v>Facility on pole for Multi-end-user attachment</v>
      </c>
      <c r="C17" s="28"/>
      <c r="D17" s="71">
        <f>'Input data'!F13</f>
        <v>5.65</v>
      </c>
      <c r="E17" s="71">
        <f>'Input data'!G13</f>
        <v>6.29</v>
      </c>
      <c r="F17" s="71">
        <f>'Input data'!H13</f>
        <v>6.6</v>
      </c>
      <c r="G17" s="71">
        <f>'Input data'!I13</f>
        <v>6.77</v>
      </c>
      <c r="H17" s="28"/>
      <c r="I17" s="6"/>
      <c r="J17" s="6"/>
      <c r="K17" s="6"/>
      <c r="L17" s="6"/>
    </row>
    <row r="18" spans="1:15" x14ac:dyDescent="0.45">
      <c r="B18" s="56" t="str">
        <f>'Input data'!A14</f>
        <v>Facility on pole for Single-end-user attachment</v>
      </c>
      <c r="C18" s="28"/>
      <c r="D18" s="71">
        <f>'Input data'!F14</f>
        <v>2.21</v>
      </c>
      <c r="E18" s="71">
        <f>'Input data'!G14</f>
        <v>2.46</v>
      </c>
      <c r="F18" s="71">
        <f>'Input data'!H14</f>
        <v>2.58</v>
      </c>
      <c r="G18" s="71">
        <f>'Input data'!I14</f>
        <v>2.64</v>
      </c>
      <c r="H18" s="28"/>
      <c r="I18" s="6"/>
      <c r="J18" s="6"/>
      <c r="K18" s="6"/>
      <c r="L18" s="6"/>
    </row>
    <row r="19" spans="1:15" x14ac:dyDescent="0.45">
      <c r="B19" s="56" t="str">
        <f>'Input data'!A15</f>
        <v>Pole top equipment</v>
      </c>
      <c r="C19" s="28"/>
      <c r="D19" s="71">
        <f>'Input data'!F15</f>
        <v>1.66</v>
      </c>
      <c r="E19" s="71">
        <f>'Input data'!G15</f>
        <v>1.85</v>
      </c>
      <c r="F19" s="71">
        <f>'Input data'!H15</f>
        <v>1.94</v>
      </c>
      <c r="G19" s="71">
        <f>'Input data'!I15</f>
        <v>1.98</v>
      </c>
      <c r="H19" s="28"/>
      <c r="I19" s="6"/>
      <c r="J19" s="6"/>
      <c r="K19" s="6"/>
      <c r="L19" s="6"/>
    </row>
    <row r="20" spans="1:15" x14ac:dyDescent="0.45">
      <c r="B20" s="56" t="str">
        <f>'Input data'!A16</f>
        <v>Cable up a pole (per cable)</v>
      </c>
      <c r="C20" s="28"/>
      <c r="D20" s="71">
        <f>'Input data'!F16</f>
        <v>1.1000000000000001</v>
      </c>
      <c r="E20" s="71">
        <f>'Input data'!G16</f>
        <v>1.23</v>
      </c>
      <c r="F20" s="71">
        <f>'Input data'!H16</f>
        <v>1.29</v>
      </c>
      <c r="G20" s="71">
        <f>'Input data'!I16</f>
        <v>1.32</v>
      </c>
      <c r="H20" s="28"/>
      <c r="I20" s="6"/>
      <c r="J20" s="6"/>
      <c r="K20" s="6"/>
      <c r="L20" s="6"/>
    </row>
    <row r="21" spans="1:15" ht="9" customHeight="1" thickBot="1" x14ac:dyDescent="0.5">
      <c r="A21" s="1"/>
      <c r="B21" s="1"/>
      <c r="C21" s="137"/>
      <c r="D21" s="137"/>
      <c r="E21" s="137"/>
      <c r="F21" s="137"/>
      <c r="G21" s="137"/>
      <c r="H21" s="137"/>
      <c r="I21" s="137"/>
      <c r="J21" s="137"/>
      <c r="K21" s="137"/>
      <c r="L21" s="137"/>
      <c r="M21" s="137"/>
      <c r="N21" s="137"/>
      <c r="O21" s="137"/>
    </row>
    <row r="22" spans="1:15" ht="9" customHeight="1" x14ac:dyDescent="0.45"/>
    <row r="23" spans="1:15" ht="15.75" x14ac:dyDescent="0.5">
      <c r="A23" s="8" t="s">
        <v>219</v>
      </c>
      <c r="D23" s="322" t="s">
        <v>92</v>
      </c>
      <c r="E23" s="322" t="s">
        <v>93</v>
      </c>
      <c r="F23" s="322" t="s">
        <v>51</v>
      </c>
      <c r="G23" s="322" t="s">
        <v>138</v>
      </c>
      <c r="H23" s="322" t="s">
        <v>139</v>
      </c>
      <c r="I23" s="322" t="s">
        <v>140</v>
      </c>
      <c r="J23" s="322" t="s">
        <v>141</v>
      </c>
      <c r="K23" s="322" t="s">
        <v>142</v>
      </c>
      <c r="L23" s="322" t="s">
        <v>143</v>
      </c>
    </row>
    <row r="24" spans="1:15" s="28" customFormat="1" ht="9" customHeight="1" x14ac:dyDescent="0.4"/>
    <row r="25" spans="1:15" s="28" customFormat="1" ht="13.15" x14ac:dyDescent="0.4">
      <c r="B25" s="28" t="s">
        <v>310</v>
      </c>
      <c r="C25" s="56"/>
      <c r="D25" s="85">
        <f>D5+D6*D$10</f>
        <v>67.40484253877041</v>
      </c>
      <c r="E25" s="85">
        <f t="shared" ref="E25:L25" si="2">E5+E6*E$10</f>
        <v>122.82187369797842</v>
      </c>
      <c r="F25" s="85">
        <f t="shared" si="2"/>
        <v>115.64314674256369</v>
      </c>
      <c r="G25" s="85">
        <f t="shared" si="2"/>
        <v>98.539635406641381</v>
      </c>
      <c r="H25" s="85">
        <f t="shared" si="2"/>
        <v>113.06279966662515</v>
      </c>
      <c r="I25" s="85">
        <f t="shared" si="2"/>
        <v>118.09098926208995</v>
      </c>
      <c r="J25" s="85">
        <f t="shared" si="2"/>
        <v>121.70345644415818</v>
      </c>
      <c r="K25" s="85">
        <f t="shared" si="2"/>
        <v>124.96689914382992</v>
      </c>
      <c r="L25" s="85">
        <f t="shared" si="2"/>
        <v>127.94546149095322</v>
      </c>
    </row>
    <row r="26" spans="1:15" s="28" customFormat="1" ht="9" customHeight="1" x14ac:dyDescent="0.4">
      <c r="C26" s="56"/>
      <c r="D26" s="85"/>
      <c r="E26" s="85"/>
      <c r="F26" s="85"/>
      <c r="G26" s="85"/>
      <c r="H26" s="85"/>
      <c r="I26" s="85"/>
      <c r="J26" s="85"/>
      <c r="K26" s="85"/>
      <c r="L26" s="85"/>
    </row>
    <row r="27" spans="1:15" s="28" customFormat="1" ht="13.15" x14ac:dyDescent="0.4">
      <c r="B27" s="28" t="s">
        <v>311</v>
      </c>
      <c r="C27" s="56" t="str">
        <f>B12</f>
        <v>Attachment costs</v>
      </c>
      <c r="D27" s="85">
        <f>D$25*D12</f>
        <v>67.40484253877041</v>
      </c>
      <c r="E27" s="85">
        <f t="shared" ref="E27:L27" si="3">E$25*E12</f>
        <v>122.82187369797842</v>
      </c>
      <c r="F27" s="85">
        <f t="shared" si="3"/>
        <v>115.64314674256369</v>
      </c>
      <c r="G27" s="85">
        <f t="shared" si="3"/>
        <v>98.539635406641381</v>
      </c>
      <c r="H27" s="85">
        <f t="shared" si="3"/>
        <v>113.06279966662515</v>
      </c>
      <c r="I27" s="85">
        <f t="shared" si="3"/>
        <v>118.09098926208995</v>
      </c>
      <c r="J27" s="85">
        <f t="shared" si="3"/>
        <v>121.70345644415818</v>
      </c>
      <c r="K27" s="85">
        <f t="shared" si="3"/>
        <v>124.96689914382992</v>
      </c>
      <c r="L27" s="85">
        <f t="shared" si="3"/>
        <v>127.94546149095322</v>
      </c>
    </row>
    <row r="28" spans="1:15" s="28" customFormat="1" ht="13.15" x14ac:dyDescent="0.4">
      <c r="C28" s="56" t="str">
        <f>B13</f>
        <v>Manifold costs</v>
      </c>
      <c r="D28" s="85">
        <f t="shared" ref="D28:D29" si="4">D$25*D13</f>
        <v>0</v>
      </c>
      <c r="E28" s="85">
        <f t="shared" ref="E28:L28" si="5">E$25*E13</f>
        <v>0</v>
      </c>
      <c r="F28" s="85">
        <f t="shared" si="5"/>
        <v>0</v>
      </c>
      <c r="G28" s="85">
        <f t="shared" si="5"/>
        <v>0</v>
      </c>
      <c r="H28" s="85">
        <f t="shared" si="5"/>
        <v>0</v>
      </c>
      <c r="I28" s="85">
        <f t="shared" si="5"/>
        <v>0</v>
      </c>
      <c r="J28" s="85">
        <f t="shared" si="5"/>
        <v>0</v>
      </c>
      <c r="K28" s="85">
        <f t="shared" si="5"/>
        <v>0</v>
      </c>
      <c r="L28" s="85">
        <f t="shared" si="5"/>
        <v>0</v>
      </c>
    </row>
    <row r="29" spans="1:15" s="28" customFormat="1" ht="13.15" x14ac:dyDescent="0.4">
      <c r="C29" s="57" t="str">
        <f>B14</f>
        <v>Cables up poles costs</v>
      </c>
      <c r="D29" s="337">
        <f t="shared" si="4"/>
        <v>0</v>
      </c>
      <c r="E29" s="337">
        <f t="shared" ref="E29:L29" si="6">E$25*E14</f>
        <v>0</v>
      </c>
      <c r="F29" s="337">
        <f t="shared" si="6"/>
        <v>0</v>
      </c>
      <c r="G29" s="337">
        <f t="shared" si="6"/>
        <v>0</v>
      </c>
      <c r="H29" s="337">
        <f t="shared" si="6"/>
        <v>0</v>
      </c>
      <c r="I29" s="337">
        <f t="shared" si="6"/>
        <v>0</v>
      </c>
      <c r="J29" s="337">
        <f t="shared" si="6"/>
        <v>0</v>
      </c>
      <c r="K29" s="337">
        <f t="shared" si="6"/>
        <v>0</v>
      </c>
      <c r="L29" s="337">
        <f t="shared" si="6"/>
        <v>0</v>
      </c>
    </row>
    <row r="30" spans="1:15" s="28" customFormat="1" ht="13.15" x14ac:dyDescent="0.4">
      <c r="C30" s="56" t="s">
        <v>146</v>
      </c>
      <c r="D30" s="85">
        <f>SUM(D27:D29)</f>
        <v>67.40484253877041</v>
      </c>
      <c r="E30" s="85">
        <f t="shared" ref="E30:L30" si="7">SUM(E27:E29)</f>
        <v>122.82187369797842</v>
      </c>
      <c r="F30" s="85">
        <f t="shared" si="7"/>
        <v>115.64314674256369</v>
      </c>
      <c r="G30" s="85">
        <f t="shared" si="7"/>
        <v>98.539635406641381</v>
      </c>
      <c r="H30" s="85">
        <f t="shared" si="7"/>
        <v>113.06279966662515</v>
      </c>
      <c r="I30" s="85">
        <f t="shared" si="7"/>
        <v>118.09098926208995</v>
      </c>
      <c r="J30" s="85">
        <f t="shared" si="7"/>
        <v>121.70345644415818</v>
      </c>
      <c r="K30" s="85">
        <f t="shared" si="7"/>
        <v>124.96689914382992</v>
      </c>
      <c r="L30" s="85">
        <f t="shared" si="7"/>
        <v>127.94546149095322</v>
      </c>
    </row>
    <row r="31" spans="1:15" s="28" customFormat="1" x14ac:dyDescent="0.45">
      <c r="C31" s="56"/>
      <c r="D31" s="338" t="b">
        <f>IF(ABS(D30-D25)&lt;0.0000001,TRUE,FALSE)</f>
        <v>1</v>
      </c>
      <c r="E31" s="338" t="b">
        <f t="shared" ref="E31:L31" si="8">IF(ABS(E30-E25)&lt;0.0000001,TRUE,FALSE)</f>
        <v>1</v>
      </c>
      <c r="F31" s="338" t="b">
        <f t="shared" si="8"/>
        <v>1</v>
      </c>
      <c r="G31" s="338" t="b">
        <f t="shared" si="8"/>
        <v>1</v>
      </c>
      <c r="H31" s="338" t="b">
        <f t="shared" si="8"/>
        <v>1</v>
      </c>
      <c r="I31" s="338" t="b">
        <f t="shared" si="8"/>
        <v>1</v>
      </c>
      <c r="J31" s="338" t="b">
        <f t="shared" si="8"/>
        <v>1</v>
      </c>
      <c r="K31" s="338" t="b">
        <f t="shared" si="8"/>
        <v>1</v>
      </c>
      <c r="L31" s="338" t="b">
        <f t="shared" si="8"/>
        <v>1</v>
      </c>
    </row>
    <row r="32" spans="1:15" s="28" customFormat="1" ht="13.15" x14ac:dyDescent="0.4">
      <c r="C32" s="56"/>
      <c r="D32" s="85"/>
      <c r="E32" s="85"/>
      <c r="F32" s="85"/>
      <c r="G32" s="85"/>
      <c r="H32" s="85"/>
      <c r="I32" s="85"/>
      <c r="J32" s="85"/>
      <c r="K32" s="85"/>
      <c r="L32" s="85"/>
    </row>
    <row r="33" spans="2:18" s="28" customFormat="1" ht="13.15" x14ac:dyDescent="0.4">
      <c r="B33" s="28" t="s">
        <v>312</v>
      </c>
      <c r="C33" s="56" t="str">
        <f>CONCATENATE(C27,"/pole")</f>
        <v>Attachment costs/pole</v>
      </c>
      <c r="D33" s="85">
        <f>Million*D27/D$8</f>
        <v>16.382604658856259</v>
      </c>
      <c r="E33" s="85">
        <f t="shared" ref="D33:J36" si="9">Million*E27/E$8</f>
        <v>29.638124568959206</v>
      </c>
      <c r="F33" s="85">
        <f t="shared" si="9"/>
        <v>27.631911354370139</v>
      </c>
      <c r="G33" s="85">
        <f t="shared" si="9"/>
        <v>23.433807757953847</v>
      </c>
      <c r="H33" s="85">
        <f t="shared" si="9"/>
        <v>26.761033244004174</v>
      </c>
      <c r="I33" s="85">
        <f t="shared" si="9"/>
        <v>27.795340368969722</v>
      </c>
      <c r="J33" s="85">
        <f t="shared" si="9"/>
        <v>28.548828291204515</v>
      </c>
      <c r="K33" s="85">
        <f t="shared" ref="K33:L33" si="10">Million*K27/K$8</f>
        <v>29.217371555306794</v>
      </c>
      <c r="L33" s="85">
        <f t="shared" si="10"/>
        <v>29.819527686639312</v>
      </c>
    </row>
    <row r="34" spans="2:18" s="28" customFormat="1" ht="13.15" x14ac:dyDescent="0.4">
      <c r="C34" s="56" t="str">
        <f t="shared" ref="C34:C35" si="11">CONCATENATE(C28,"/pole")</f>
        <v>Manifold costs/pole</v>
      </c>
      <c r="D34" s="85">
        <f t="shared" si="9"/>
        <v>0</v>
      </c>
      <c r="E34" s="85">
        <f t="shared" si="9"/>
        <v>0</v>
      </c>
      <c r="F34" s="85">
        <f t="shared" si="9"/>
        <v>0</v>
      </c>
      <c r="G34" s="85">
        <f t="shared" si="9"/>
        <v>0</v>
      </c>
      <c r="H34" s="85">
        <f t="shared" si="9"/>
        <v>0</v>
      </c>
      <c r="I34" s="85">
        <f t="shared" si="9"/>
        <v>0</v>
      </c>
      <c r="J34" s="85">
        <f t="shared" si="9"/>
        <v>0</v>
      </c>
      <c r="K34" s="85">
        <f t="shared" ref="K34:L34" si="12">Million*K28/K$8</f>
        <v>0</v>
      </c>
      <c r="L34" s="85">
        <f t="shared" si="12"/>
        <v>0</v>
      </c>
    </row>
    <row r="35" spans="2:18" s="28" customFormat="1" ht="13.15" x14ac:dyDescent="0.4">
      <c r="C35" s="57" t="str">
        <f t="shared" si="11"/>
        <v>Cables up poles costs/pole</v>
      </c>
      <c r="D35" s="337">
        <f t="shared" si="9"/>
        <v>0</v>
      </c>
      <c r="E35" s="337">
        <f t="shared" si="9"/>
        <v>0</v>
      </c>
      <c r="F35" s="337">
        <f t="shared" si="9"/>
        <v>0</v>
      </c>
      <c r="G35" s="337">
        <f t="shared" si="9"/>
        <v>0</v>
      </c>
      <c r="H35" s="337">
        <f t="shared" si="9"/>
        <v>0</v>
      </c>
      <c r="I35" s="337">
        <f t="shared" si="9"/>
        <v>0</v>
      </c>
      <c r="J35" s="337">
        <f>Million*J29/J$8</f>
        <v>0</v>
      </c>
      <c r="K35" s="337">
        <f>Million*K29/K$8</f>
        <v>0</v>
      </c>
      <c r="L35" s="337">
        <f>Million*L29/L$8</f>
        <v>0</v>
      </c>
      <c r="R35" s="85"/>
    </row>
    <row r="36" spans="2:18" s="28" customFormat="1" ht="13.15" x14ac:dyDescent="0.4">
      <c r="C36" s="56" t="s">
        <v>146</v>
      </c>
      <c r="D36" s="85">
        <f>Million*D30/D$8</f>
        <v>16.382604658856259</v>
      </c>
      <c r="E36" s="85">
        <f t="shared" si="9"/>
        <v>29.638124568959206</v>
      </c>
      <c r="F36" s="85">
        <f t="shared" si="9"/>
        <v>27.631911354370139</v>
      </c>
      <c r="G36" s="85">
        <f t="shared" si="9"/>
        <v>23.433807757953847</v>
      </c>
      <c r="H36" s="85">
        <f t="shared" si="9"/>
        <v>26.761033244004174</v>
      </c>
      <c r="I36" s="85">
        <f t="shared" si="9"/>
        <v>27.795340368969722</v>
      </c>
      <c r="J36" s="85">
        <f t="shared" si="9"/>
        <v>28.548828291204515</v>
      </c>
      <c r="K36" s="85">
        <f t="shared" ref="K36:L36" si="13">Million*K30/K$8</f>
        <v>29.217371555306794</v>
      </c>
      <c r="L36" s="85">
        <f t="shared" si="13"/>
        <v>29.819527686639312</v>
      </c>
    </row>
    <row r="37" spans="2:18" s="28" customFormat="1" x14ac:dyDescent="0.45">
      <c r="C37" s="56"/>
      <c r="D37" s="338" t="b">
        <f>IF(ABS(D36-SUM(D33:D35))&lt;0.0000001,TRUE,FALSE)</f>
        <v>1</v>
      </c>
      <c r="E37" s="338" t="b">
        <f t="shared" ref="E37:J37" si="14">IF(ABS(E36-SUM(E33:E35))&lt;0.0000001,TRUE,FALSE)</f>
        <v>1</v>
      </c>
      <c r="F37" s="338" t="b">
        <f t="shared" si="14"/>
        <v>1</v>
      </c>
      <c r="G37" s="338" t="b">
        <f t="shared" si="14"/>
        <v>1</v>
      </c>
      <c r="H37" s="338" t="b">
        <f t="shared" si="14"/>
        <v>1</v>
      </c>
      <c r="I37" s="338" t="b">
        <f t="shared" si="14"/>
        <v>1</v>
      </c>
      <c r="J37" s="338" t="b">
        <f t="shared" si="14"/>
        <v>1</v>
      </c>
      <c r="K37" s="338" t="b">
        <f t="shared" ref="K37:L37" si="15">IF(ABS(K36-SUM(K33:K35))&lt;0.0000001,TRUE,FALSE)</f>
        <v>1</v>
      </c>
      <c r="L37" s="338" t="b">
        <f t="shared" si="15"/>
        <v>1</v>
      </c>
    </row>
    <row r="38" spans="2:18" ht="15.75" x14ac:dyDescent="0.5">
      <c r="B38" s="8" t="s">
        <v>313</v>
      </c>
      <c r="D38" s="339"/>
      <c r="E38" s="339"/>
      <c r="F38" s="339"/>
      <c r="G38" s="339"/>
      <c r="H38" s="339"/>
      <c r="I38" s="339"/>
      <c r="J38" s="339"/>
      <c r="K38" s="339"/>
      <c r="L38" s="339"/>
    </row>
    <row r="39" spans="2:18" s="28" customFormat="1" ht="13.15" x14ac:dyDescent="0.4">
      <c r="C39" s="28" t="str">
        <f>CONCATENATE('Pole volume forecasts'!A91," - ",'Pole volume forecasts'!B91)</f>
        <v>Attachments/Pole - Single</v>
      </c>
      <c r="D39" s="340">
        <f>'Pole volume forecasts'!D91</f>
        <v>5.9208002864897518</v>
      </c>
      <c r="E39" s="340">
        <f>'Pole volume forecasts'!E91</f>
        <v>6.4565217570680309</v>
      </c>
      <c r="F39" s="340">
        <f>'Pole volume forecasts'!F91</f>
        <v>6.3734598422470263</v>
      </c>
      <c r="G39" s="340">
        <f>'Pole volume forecasts'!G91</f>
        <v>6.3734598422470263</v>
      </c>
      <c r="H39" s="340">
        <f>'Pole volume forecasts'!H91</f>
        <v>6.3734598422470272</v>
      </c>
      <c r="I39" s="340">
        <f>'Pole volume forecasts'!I91</f>
        <v>6.3734598422470263</v>
      </c>
      <c r="J39" s="340">
        <f>'Pole volume forecasts'!J91</f>
        <v>6.3734598422470254</v>
      </c>
      <c r="K39" s="340">
        <f>'Pole volume forecasts'!K91</f>
        <v>6.3734598422470254</v>
      </c>
      <c r="L39" s="340">
        <f>'Pole volume forecasts'!L91</f>
        <v>6.3734598422470254</v>
      </c>
    </row>
    <row r="40" spans="2:18" s="28" customFormat="1" ht="13.15" x14ac:dyDescent="0.4">
      <c r="C40" s="28" t="str">
        <f>CONCATENATE('Pole volume forecasts'!A96," - ",'Pole volume forecasts'!B96)</f>
        <v>Attachments/Pole - Multi</v>
      </c>
      <c r="D40" s="340">
        <f>'Pole volume forecasts'!D96</f>
        <v>1.6642980511906038</v>
      </c>
      <c r="E40" s="340">
        <f>'Pole volume forecasts'!E96</f>
        <v>1.9032797152448078</v>
      </c>
      <c r="F40" s="340">
        <f>'Pole volume forecasts'!F96</f>
        <v>1.5487924085692975</v>
      </c>
      <c r="G40" s="340">
        <f>'Pole volume forecasts'!G96</f>
        <v>1.5487924085692975</v>
      </c>
      <c r="H40" s="340">
        <f>'Pole volume forecasts'!H96</f>
        <v>1.5487924085692975</v>
      </c>
      <c r="I40" s="340">
        <f>'Pole volume forecasts'!I96</f>
        <v>1.5487924085692972</v>
      </c>
      <c r="J40" s="340">
        <f>'Pole volume forecasts'!J96</f>
        <v>1.5487924085692972</v>
      </c>
      <c r="K40" s="340">
        <f>'Pole volume forecasts'!K96</f>
        <v>1.5487924085692972</v>
      </c>
      <c r="L40" s="340">
        <f>'Pole volume forecasts'!L96</f>
        <v>1.5487924085692972</v>
      </c>
    </row>
    <row r="41" spans="2:18" s="28" customFormat="1" ht="9" customHeight="1" x14ac:dyDescent="0.4">
      <c r="D41" s="340"/>
      <c r="E41" s="340"/>
      <c r="F41" s="340"/>
      <c r="G41" s="340"/>
      <c r="H41" s="340"/>
      <c r="I41" s="340"/>
      <c r="J41" s="340"/>
      <c r="K41" s="340"/>
      <c r="L41" s="340"/>
    </row>
    <row r="42" spans="2:18" s="28" customFormat="1" ht="13.15" x14ac:dyDescent="0.4">
      <c r="C42" s="28" t="str">
        <f>CONCATENATE('Pole volume forecasts'!A101," - ",'Pole volume forecasts'!B101)</f>
        <v>Total Attachments/pole - Single</v>
      </c>
      <c r="D42" s="340">
        <f>'Pole volume forecasts'!D101</f>
        <v>5.9208002864897518</v>
      </c>
      <c r="E42" s="340">
        <f>'Pole volume forecasts'!E101</f>
        <v>6.4565217570680309</v>
      </c>
      <c r="F42" s="340">
        <f>'Pole volume forecasts'!F101</f>
        <v>6.3734598422470263</v>
      </c>
      <c r="G42" s="340">
        <f>'Pole volume forecasts'!G101</f>
        <v>6.3734598422470263</v>
      </c>
      <c r="H42" s="340">
        <f>'Pole volume forecasts'!H101</f>
        <v>6.3734598422470272</v>
      </c>
      <c r="I42" s="340">
        <f>'Pole volume forecasts'!I101</f>
        <v>6.3734598422470263</v>
      </c>
      <c r="J42" s="340">
        <f>'Pole volume forecasts'!J101</f>
        <v>6.3734598422470254</v>
      </c>
      <c r="K42" s="340">
        <f>'Pole volume forecasts'!K101</f>
        <v>6.3734598422470254</v>
      </c>
      <c r="L42" s="340">
        <f>'Pole volume forecasts'!L101</f>
        <v>6.3734598422470254</v>
      </c>
    </row>
    <row r="43" spans="2:18" s="28" customFormat="1" ht="13.15" x14ac:dyDescent="0.4">
      <c r="C43" s="28" t="str">
        <f>CONCATENATE('Pole volume forecasts'!A101," - ",'Pole volume forecasts'!B102)</f>
        <v>Total Attachments/pole - Multi</v>
      </c>
      <c r="D43" s="340">
        <f>'Pole volume forecasts'!D102</f>
        <v>3.6642980511906038</v>
      </c>
      <c r="E43" s="340">
        <f>'Pole volume forecasts'!E102</f>
        <v>3.9032797152448078</v>
      </c>
      <c r="F43" s="340">
        <f>'Pole volume forecasts'!F102</f>
        <v>3.5487924085692972</v>
      </c>
      <c r="G43" s="340">
        <f>'Pole volume forecasts'!G102</f>
        <v>3.5487924085692972</v>
      </c>
      <c r="H43" s="340">
        <f>'Pole volume forecasts'!H102</f>
        <v>3.5487924085692972</v>
      </c>
      <c r="I43" s="340">
        <f>'Pole volume forecasts'!I102</f>
        <v>3.5487924085692972</v>
      </c>
      <c r="J43" s="340">
        <f>'Pole volume forecasts'!J102</f>
        <v>3.5487924085692972</v>
      </c>
      <c r="K43" s="340">
        <f>'Pole volume forecasts'!K102</f>
        <v>3.5487924085692972</v>
      </c>
      <c r="L43" s="340">
        <f>'Pole volume forecasts'!L102</f>
        <v>3.5487924085692972</v>
      </c>
    </row>
    <row r="44" spans="2:18" s="28" customFormat="1" ht="9" customHeight="1" x14ac:dyDescent="0.4">
      <c r="D44" s="85"/>
      <c r="E44" s="85"/>
      <c r="F44" s="85"/>
      <c r="G44" s="85"/>
      <c r="H44" s="85"/>
      <c r="I44" s="85"/>
      <c r="J44" s="85"/>
      <c r="K44" s="85"/>
      <c r="L44" s="85"/>
    </row>
    <row r="45" spans="2:18" s="28" customFormat="1" ht="13.15" x14ac:dyDescent="0.4">
      <c r="C45" s="28" t="s">
        <v>314</v>
      </c>
      <c r="D45" s="85">
        <f t="shared" ref="D45:L45" si="16">D27</f>
        <v>67.40484253877041</v>
      </c>
      <c r="E45" s="85">
        <f t="shared" si="16"/>
        <v>122.82187369797842</v>
      </c>
      <c r="F45" s="85">
        <f t="shared" si="16"/>
        <v>115.64314674256369</v>
      </c>
      <c r="G45" s="85">
        <f t="shared" si="16"/>
        <v>98.539635406641381</v>
      </c>
      <c r="H45" s="85">
        <f t="shared" si="16"/>
        <v>113.06279966662515</v>
      </c>
      <c r="I45" s="85">
        <f t="shared" si="16"/>
        <v>118.09098926208995</v>
      </c>
      <c r="J45" s="85">
        <f t="shared" si="16"/>
        <v>121.70345644415818</v>
      </c>
      <c r="K45" s="85">
        <f t="shared" si="16"/>
        <v>124.96689914382992</v>
      </c>
      <c r="L45" s="85">
        <f t="shared" si="16"/>
        <v>127.94546149095322</v>
      </c>
    </row>
    <row r="46" spans="2:18" s="28" customFormat="1" ht="13.15" x14ac:dyDescent="0.4">
      <c r="C46" s="28" t="s">
        <v>315</v>
      </c>
      <c r="D46" s="85">
        <f t="shared" ref="D46:L46" si="17">D33</f>
        <v>16.382604658856259</v>
      </c>
      <c r="E46" s="85">
        <f t="shared" si="17"/>
        <v>29.638124568959206</v>
      </c>
      <c r="F46" s="85">
        <f t="shared" si="17"/>
        <v>27.631911354370139</v>
      </c>
      <c r="G46" s="85">
        <f t="shared" si="17"/>
        <v>23.433807757953847</v>
      </c>
      <c r="H46" s="85">
        <f t="shared" si="17"/>
        <v>26.761033244004174</v>
      </c>
      <c r="I46" s="85">
        <f t="shared" si="17"/>
        <v>27.795340368969722</v>
      </c>
      <c r="J46" s="85">
        <f t="shared" si="17"/>
        <v>28.548828291204515</v>
      </c>
      <c r="K46" s="85">
        <f t="shared" si="17"/>
        <v>29.217371555306794</v>
      </c>
      <c r="L46" s="85">
        <f t="shared" si="17"/>
        <v>29.819527686639312</v>
      </c>
    </row>
    <row r="47" spans="2:18" s="28" customFormat="1" ht="9" customHeight="1" x14ac:dyDescent="0.4">
      <c r="D47" s="85"/>
      <c r="E47" s="85"/>
      <c r="F47" s="85"/>
      <c r="G47" s="85"/>
      <c r="H47" s="85"/>
      <c r="I47" s="85"/>
      <c r="J47" s="85"/>
      <c r="K47" s="85"/>
      <c r="L47" s="85"/>
    </row>
    <row r="48" spans="2:18" s="28" customFormat="1" ht="13.15" x14ac:dyDescent="0.4">
      <c r="C48" s="28" t="s">
        <v>316</v>
      </c>
      <c r="D48" s="85">
        <f>D$46/D42</f>
        <v>2.7669578209281176</v>
      </c>
      <c r="E48" s="85">
        <f t="shared" ref="E48:J49" si="18">E$46/E42</f>
        <v>4.5904165871529825</v>
      </c>
      <c r="F48" s="85">
        <f t="shared" si="18"/>
        <v>4.3354648869378041</v>
      </c>
      <c r="G48" s="85">
        <f t="shared" si="18"/>
        <v>3.6767796986215928</v>
      </c>
      <c r="H48" s="85">
        <f t="shared" si="18"/>
        <v>4.1988235442571336</v>
      </c>
      <c r="I48" s="85">
        <f t="shared" si="18"/>
        <v>4.3611070057625403</v>
      </c>
      <c r="J48" s="85">
        <f t="shared" si="18"/>
        <v>4.4793297514744124</v>
      </c>
      <c r="K48" s="85">
        <f t="shared" ref="K48:L48" si="19">K$46/K42</f>
        <v>4.584224625004607</v>
      </c>
      <c r="L48" s="85">
        <f t="shared" si="19"/>
        <v>4.6787033141682342</v>
      </c>
    </row>
    <row r="49" spans="3:14" s="28" customFormat="1" ht="13.15" x14ac:dyDescent="0.4">
      <c r="C49" s="28" t="s">
        <v>317</v>
      </c>
      <c r="D49" s="85">
        <f>D$46/D43</f>
        <v>4.4708712091619356</v>
      </c>
      <c r="E49" s="85">
        <f t="shared" si="18"/>
        <v>7.5931336545529504</v>
      </c>
      <c r="F49" s="85">
        <f t="shared" si="18"/>
        <v>7.7862856355438383</v>
      </c>
      <c r="G49" s="85">
        <f t="shared" si="18"/>
        <v>6.6033188363929218</v>
      </c>
      <c r="H49" s="85">
        <f t="shared" si="18"/>
        <v>7.5408843806654042</v>
      </c>
      <c r="I49" s="85">
        <f t="shared" si="18"/>
        <v>7.8323376430393878</v>
      </c>
      <c r="J49" s="85">
        <f t="shared" si="18"/>
        <v>8.0446599869486395</v>
      </c>
      <c r="K49" s="85">
        <f t="shared" ref="K49:L49" si="20">K$46/K43</f>
        <v>8.2330461158436243</v>
      </c>
      <c r="L49" s="85">
        <f t="shared" si="20"/>
        <v>8.4027252804739607</v>
      </c>
    </row>
    <row r="50" spans="3:14" s="28" customFormat="1" ht="9" customHeight="1" x14ac:dyDescent="0.4">
      <c r="D50" s="85"/>
      <c r="E50" s="85"/>
      <c r="F50" s="85"/>
      <c r="G50" s="85"/>
      <c r="H50" s="85"/>
      <c r="I50" s="85"/>
      <c r="J50" s="85"/>
      <c r="K50" s="85"/>
      <c r="L50" s="85"/>
    </row>
    <row r="51" spans="3:14" s="28" customFormat="1" ht="13.15" x14ac:dyDescent="0.4">
      <c r="C51" s="28" t="str">
        <f>CONCATENATE('Pole volume forecasts'!A85," - ",'Pole volume forecasts'!B85)</f>
        <v>Total attachments - Single</v>
      </c>
      <c r="D51" s="39">
        <f>'Pole volume forecasts'!D85</f>
        <v>19759791.780524131</v>
      </c>
      <c r="E51" s="39">
        <f>'Pole volume forecasts'!E85</f>
        <v>21448550.214769274</v>
      </c>
      <c r="F51" s="39">
        <f>'Pole volume forecasts'!F85</f>
        <v>22174036.831337366</v>
      </c>
      <c r="G51" s="39">
        <f>'Pole volume forecasts'!G85</f>
        <v>22279419.921067193</v>
      </c>
      <c r="H51" s="39">
        <f>'Pole volume forecasts'!H85</f>
        <v>22384770.627697289</v>
      </c>
      <c r="I51" s="39">
        <f>'Pole volume forecasts'!I85</f>
        <v>22510262.269845221</v>
      </c>
      <c r="J51" s="39">
        <f>'Pole volume forecasts'!J85</f>
        <v>22586576.816116069</v>
      </c>
      <c r="K51" s="39">
        <f>'Pole volume forecasts'!K85</f>
        <v>22661551.549132887</v>
      </c>
      <c r="L51" s="39">
        <f>'Pole volume forecasts'!L85</f>
        <v>22733165.602946855</v>
      </c>
    </row>
    <row r="52" spans="3:14" s="28" customFormat="1" ht="13.15" x14ac:dyDescent="0.4">
      <c r="C52" s="28" t="str">
        <f>CONCATENATE('Pole volume forecasts'!A85," - ",'Pole volume forecasts'!B86)</f>
        <v>Total attachments - Multi</v>
      </c>
      <c r="D52" s="39">
        <f>'Pole volume forecasts'!D86</f>
        <v>2519088.1647919221</v>
      </c>
      <c r="E52" s="39">
        <f>'Pole volume forecasts'!E86</f>
        <v>2910961.3084118553</v>
      </c>
      <c r="F52" s="39">
        <f>'Pole volume forecasts'!F86</f>
        <v>2623092.8529705866</v>
      </c>
      <c r="G52" s="39">
        <f>'Pole volume forecasts'!G86</f>
        <v>2635559.2176472973</v>
      </c>
      <c r="H52" s="39">
        <f>'Pole volume forecasts'!H86</f>
        <v>2648021.7515430772</v>
      </c>
      <c r="I52" s="39">
        <f>'Pole volume forecasts'!I86</f>
        <v>2662866.8711814</v>
      </c>
      <c r="J52" s="39">
        <f>'Pole volume forecasts'!J86</f>
        <v>2671894.5526281018</v>
      </c>
      <c r="K52" s="39">
        <f>'Pole volume forecasts'!K86</f>
        <v>2680763.7399495495</v>
      </c>
      <c r="L52" s="39">
        <f>'Pole volume forecasts'!L86</f>
        <v>2689235.3734261468</v>
      </c>
    </row>
    <row r="53" spans="3:14" s="28" customFormat="1" ht="9" customHeight="1" x14ac:dyDescent="0.4">
      <c r="D53" s="85"/>
      <c r="E53" s="85"/>
      <c r="F53" s="85"/>
      <c r="G53" s="85"/>
      <c r="H53" s="85"/>
      <c r="I53" s="85"/>
      <c r="J53" s="85"/>
      <c r="K53" s="85"/>
      <c r="L53" s="85"/>
    </row>
    <row r="54" spans="3:14" s="28" customFormat="1" ht="13.15" x14ac:dyDescent="0.4">
      <c r="C54" s="28" t="s">
        <v>318</v>
      </c>
      <c r="D54" s="341" cm="1">
        <f t="array" ref="D54">D45*Million/SUMPRODUCT(D51:D52,D48:D49,D42:D43/D39:D40)</f>
        <v>0.84816599585482499</v>
      </c>
      <c r="E54" s="341">
        <f t="shared" ref="E54:J54" si="21">E45*Million/SUMPRODUCT(E51:E52,E48:E49,E42:E43/E39:E40)</f>
        <v>0.85418927022389968</v>
      </c>
      <c r="F54" s="341" cm="1">
        <f t="array" ref="F54">F45*Million/SUMPRODUCT(F51:F52,F48:F49,F42:F43/F39:F40)</f>
        <v>0.80907128636605719</v>
      </c>
      <c r="G54" s="341">
        <f t="shared" si="21"/>
        <v>0.80907128636605719</v>
      </c>
      <c r="H54" s="341">
        <f t="shared" si="21"/>
        <v>0.8090712863660573</v>
      </c>
      <c r="I54" s="341">
        <f t="shared" si="21"/>
        <v>0.80907128636605719</v>
      </c>
      <c r="J54" s="341">
        <f t="shared" si="21"/>
        <v>0.80907128636605696</v>
      </c>
      <c r="K54" s="341">
        <f t="shared" ref="K54:L54" si="22">K45*Million/SUMPRODUCT(K51:K52,K48:K49,K42:K43/K39:K40)</f>
        <v>0.80907128636605707</v>
      </c>
      <c r="L54" s="341">
        <f t="shared" si="22"/>
        <v>0.80907128636605741</v>
      </c>
    </row>
    <row r="55" spans="3:14" s="28" customFormat="1" ht="9" customHeight="1" x14ac:dyDescent="0.4">
      <c r="D55" s="85"/>
      <c r="E55" s="85"/>
      <c r="F55" s="85"/>
      <c r="G55" s="85"/>
      <c r="H55" s="85"/>
      <c r="I55" s="85"/>
      <c r="J55" s="85"/>
      <c r="K55" s="85"/>
      <c r="L55" s="85"/>
    </row>
    <row r="56" spans="3:14" s="28" customFormat="1" ht="13.15" x14ac:dyDescent="0.4">
      <c r="C56" s="28" t="s">
        <v>319</v>
      </c>
      <c r="D56" s="85">
        <f>D48*D54</f>
        <v>2.3468395356757932</v>
      </c>
      <c r="E56" s="85">
        <f t="shared" ref="E56:J56" si="23">E48*E54</f>
        <v>3.9210845946038901</v>
      </c>
      <c r="F56" s="85">
        <f t="shared" si="23"/>
        <v>3.5077001530696417</v>
      </c>
      <c r="G56" s="85">
        <f t="shared" si="23"/>
        <v>2.9747768804483763</v>
      </c>
      <c r="H56" s="85">
        <f t="shared" si="23"/>
        <v>3.3971475661762072</v>
      </c>
      <c r="I56" s="85">
        <f t="shared" si="23"/>
        <v>3.5284464551323222</v>
      </c>
      <c r="J56" s="85">
        <f t="shared" si="23"/>
        <v>3.6240970840831532</v>
      </c>
      <c r="K56" s="85">
        <f t="shared" ref="K56:L56" si="24">K48*K54</f>
        <v>3.7089645143434331</v>
      </c>
      <c r="L56" s="85">
        <f t="shared" si="24"/>
        <v>3.7854045089192292</v>
      </c>
    </row>
    <row r="57" spans="3:14" s="28" customFormat="1" ht="13.15" x14ac:dyDescent="0.4">
      <c r="C57" s="28" t="s">
        <v>320</v>
      </c>
      <c r="D57" s="85">
        <f>D49*D54</f>
        <v>3.7920409314574988</v>
      </c>
      <c r="E57" s="85">
        <f t="shared" ref="E57:J57" si="25">E49*E54</f>
        <v>6.4859732950951168</v>
      </c>
      <c r="F57" s="85">
        <f>F49*F54</f>
        <v>6.2996601351630064</v>
      </c>
      <c r="G57" s="85">
        <f t="shared" si="25"/>
        <v>5.3425556652456372</v>
      </c>
      <c r="H57" s="85">
        <f t="shared" si="25"/>
        <v>6.1011130262026683</v>
      </c>
      <c r="I57" s="85">
        <f t="shared" si="25"/>
        <v>6.3369194921071701</v>
      </c>
      <c r="J57" s="85">
        <f t="shared" si="25"/>
        <v>6.5087034040180827</v>
      </c>
      <c r="K57" s="85">
        <f t="shared" ref="K57" si="26">K49*K54</f>
        <v>6.6611212116566705</v>
      </c>
      <c r="L57" s="85">
        <f>L49*L54</f>
        <v>6.798403751653658</v>
      </c>
      <c r="N57" s="357">
        <f>L57/L67</f>
        <v>15.577377246150197</v>
      </c>
    </row>
    <row r="58" spans="3:14" s="28" customFormat="1" ht="9" customHeight="1" x14ac:dyDescent="0.4"/>
    <row r="59" spans="3:14" s="28" customFormat="1" x14ac:dyDescent="0.45">
      <c r="C59" s="28" t="s">
        <v>321</v>
      </c>
      <c r="D59" s="282" cm="1">
        <f t="array" ref="D59:L59">Leadin_discount</f>
        <v>0.1</v>
      </c>
      <c r="E59" s="282">
        <v>0.1</v>
      </c>
      <c r="F59" s="282">
        <v>0.1</v>
      </c>
      <c r="G59" s="282">
        <v>0.1</v>
      </c>
      <c r="H59" s="282">
        <v>0.18799999999999994</v>
      </c>
      <c r="I59" s="282">
        <v>0.27599999999999997</v>
      </c>
      <c r="J59" s="282">
        <v>0.36399999999999999</v>
      </c>
      <c r="K59" s="282">
        <v>0.45200000000000001</v>
      </c>
      <c r="L59" s="282">
        <v>0.54</v>
      </c>
      <c r="M59" s="282"/>
    </row>
    <row r="60" spans="3:14" s="28" customFormat="1" ht="9" customHeight="1" x14ac:dyDescent="0.4"/>
    <row r="61" spans="3:14" s="28" customFormat="1" ht="13.15" x14ac:dyDescent="0.4">
      <c r="C61" s="56" t="s">
        <v>322</v>
      </c>
    </row>
    <row r="62" spans="3:14" s="28" customFormat="1" ht="13.15" x14ac:dyDescent="0.4">
      <c r="C62" s="28" t="s">
        <v>273</v>
      </c>
      <c r="D62" s="85">
        <f>ROUND(D56*(1-D59),2)</f>
        <v>2.11</v>
      </c>
      <c r="E62" s="85">
        <f t="shared" ref="E62:J62" si="27">ROUND(E56*(1-E59),2)</f>
        <v>3.53</v>
      </c>
      <c r="F62" s="85">
        <f t="shared" si="27"/>
        <v>3.16</v>
      </c>
      <c r="G62" s="85">
        <f t="shared" si="27"/>
        <v>2.68</v>
      </c>
      <c r="H62" s="85">
        <f t="shared" si="27"/>
        <v>2.76</v>
      </c>
      <c r="I62" s="85">
        <f t="shared" si="27"/>
        <v>2.5499999999999998</v>
      </c>
      <c r="J62" s="85">
        <f t="shared" si="27"/>
        <v>2.2999999999999998</v>
      </c>
      <c r="K62" s="85">
        <f t="shared" ref="K62:L62" si="28">ROUND(K56*(1-K59),2)</f>
        <v>2.0299999999999998</v>
      </c>
      <c r="L62" s="85">
        <f t="shared" si="28"/>
        <v>1.74</v>
      </c>
    </row>
    <row r="63" spans="3:14" s="28" customFormat="1" ht="13.15" x14ac:dyDescent="0.4">
      <c r="C63" s="28" t="s">
        <v>274</v>
      </c>
      <c r="D63" s="85">
        <f>ROUND(D57,2)</f>
        <v>3.79</v>
      </c>
      <c r="E63" s="85">
        <f t="shared" ref="E63:J63" si="29">ROUND(E57,2)</f>
        <v>6.49</v>
      </c>
      <c r="F63" s="85">
        <f>ROUND(F57,2)</f>
        <v>6.3</v>
      </c>
      <c r="G63" s="85">
        <f t="shared" si="29"/>
        <v>5.34</v>
      </c>
      <c r="H63" s="85">
        <f t="shared" si="29"/>
        <v>6.1</v>
      </c>
      <c r="I63" s="85">
        <f t="shared" si="29"/>
        <v>6.34</v>
      </c>
      <c r="J63" s="85">
        <f t="shared" si="29"/>
        <v>6.51</v>
      </c>
      <c r="K63" s="85">
        <f t="shared" ref="K63:L63" si="30">ROUND(K57,2)</f>
        <v>6.66</v>
      </c>
      <c r="L63" s="85">
        <f t="shared" si="30"/>
        <v>6.8</v>
      </c>
    </row>
    <row r="64" spans="3:14" s="28" customFormat="1" ht="9" customHeight="1" x14ac:dyDescent="0.4"/>
    <row r="65" spans="1:15" s="28" customFormat="1" ht="13.15" x14ac:dyDescent="0.4">
      <c r="C65" s="56" t="s">
        <v>323</v>
      </c>
    </row>
    <row r="66" spans="1:15" x14ac:dyDescent="0.45">
      <c r="C66" s="28" t="str">
        <f>C62</f>
        <v>Single</v>
      </c>
      <c r="D66" s="139">
        <f>D39/D42*(1-D59)</f>
        <v>0.9</v>
      </c>
      <c r="E66" s="139">
        <f t="shared" ref="E66:J66" si="31">E39/E42*(1-E59)</f>
        <v>0.9</v>
      </c>
      <c r="F66" s="139">
        <f t="shared" si="31"/>
        <v>0.9</v>
      </c>
      <c r="G66" s="139">
        <f t="shared" si="31"/>
        <v>0.9</v>
      </c>
      <c r="H66" s="139">
        <f t="shared" si="31"/>
        <v>0.81200000000000006</v>
      </c>
      <c r="I66" s="139">
        <f t="shared" si="31"/>
        <v>0.72399999999999998</v>
      </c>
      <c r="J66" s="139">
        <f t="shared" si="31"/>
        <v>0.63600000000000001</v>
      </c>
      <c r="K66" s="139">
        <f t="shared" ref="K66:L66" si="32">K39/K42*(1-K59)</f>
        <v>0.54800000000000004</v>
      </c>
      <c r="L66" s="139">
        <f t="shared" si="32"/>
        <v>0.45999999999999996</v>
      </c>
    </row>
    <row r="67" spans="1:15" x14ac:dyDescent="0.45">
      <c r="C67" s="28" t="str">
        <f>C63</f>
        <v>Multi</v>
      </c>
      <c r="D67" s="139">
        <f>D40/D43</f>
        <v>0.45419287076001913</v>
      </c>
      <c r="E67" s="101">
        <f t="shared" ref="E67:J67" si="33">E40/E43</f>
        <v>0.48761038257424422</v>
      </c>
      <c r="F67" s="101">
        <f t="shared" si="33"/>
        <v>0.4364280099420344</v>
      </c>
      <c r="G67" s="101">
        <f t="shared" si="33"/>
        <v>0.4364280099420344</v>
      </c>
      <c r="H67" s="101">
        <f t="shared" si="33"/>
        <v>0.4364280099420344</v>
      </c>
      <c r="I67" s="101">
        <f t="shared" si="33"/>
        <v>0.43642800994203435</v>
      </c>
      <c r="J67" s="101">
        <f t="shared" si="33"/>
        <v>0.43642800994203435</v>
      </c>
      <c r="K67" s="101">
        <f t="shared" ref="K67:L67" si="34">K40/K43</f>
        <v>0.43642800994203435</v>
      </c>
      <c r="L67" s="101">
        <f t="shared" si="34"/>
        <v>0.43642800994203435</v>
      </c>
    </row>
    <row r="68" spans="1:15" s="28" customFormat="1" ht="9" customHeight="1" x14ac:dyDescent="0.4"/>
    <row r="69" spans="1:15" s="28" customFormat="1" ht="15.75" x14ac:dyDescent="0.5">
      <c r="B69" s="8" t="s">
        <v>324</v>
      </c>
      <c r="D69" s="322" t="s">
        <v>92</v>
      </c>
      <c r="E69" s="322" t="s">
        <v>93</v>
      </c>
      <c r="F69" s="322" t="s">
        <v>51</v>
      </c>
      <c r="G69" s="322" t="s">
        <v>138</v>
      </c>
      <c r="H69" s="322" t="s">
        <v>139</v>
      </c>
      <c r="I69" s="322" t="s">
        <v>140</v>
      </c>
      <c r="J69" s="322" t="s">
        <v>141</v>
      </c>
      <c r="K69" s="322" t="s">
        <v>142</v>
      </c>
      <c r="L69" s="322" t="s">
        <v>143</v>
      </c>
    </row>
    <row r="70" spans="1:15" s="28" customFormat="1" ht="13.15" x14ac:dyDescent="0.4">
      <c r="C70" s="56" t="str">
        <f>B17</f>
        <v>Facility on pole for Multi-end-user attachment</v>
      </c>
      <c r="D70" s="124">
        <f>D63</f>
        <v>3.79</v>
      </c>
      <c r="E70" s="124">
        <f>E63</f>
        <v>6.49</v>
      </c>
      <c r="F70" s="124">
        <f>F63</f>
        <v>6.3</v>
      </c>
      <c r="G70" s="124">
        <f t="shared" ref="G70:J70" si="35">G63</f>
        <v>5.34</v>
      </c>
      <c r="H70" s="124">
        <f t="shared" si="35"/>
        <v>6.1</v>
      </c>
      <c r="I70" s="124">
        <f t="shared" si="35"/>
        <v>6.34</v>
      </c>
      <c r="J70" s="124">
        <f t="shared" si="35"/>
        <v>6.51</v>
      </c>
      <c r="K70" s="124">
        <f t="shared" ref="K70:L70" si="36">K63</f>
        <v>6.66</v>
      </c>
      <c r="L70" s="124">
        <f t="shared" si="36"/>
        <v>6.8</v>
      </c>
    </row>
    <row r="71" spans="1:15" s="28" customFormat="1" ht="13.15" x14ac:dyDescent="0.4">
      <c r="C71" s="56" t="str">
        <f>B18</f>
        <v>Facility on pole for Single-end-user attachment</v>
      </c>
      <c r="D71" s="124">
        <f>D62</f>
        <v>2.11</v>
      </c>
      <c r="E71" s="124">
        <f t="shared" ref="E71:J71" si="37">E62</f>
        <v>3.53</v>
      </c>
      <c r="F71" s="124">
        <f t="shared" si="37"/>
        <v>3.16</v>
      </c>
      <c r="G71" s="124">
        <f t="shared" si="37"/>
        <v>2.68</v>
      </c>
      <c r="H71" s="124">
        <f t="shared" si="37"/>
        <v>2.76</v>
      </c>
      <c r="I71" s="124">
        <f t="shared" si="37"/>
        <v>2.5499999999999998</v>
      </c>
      <c r="J71" s="124">
        <f t="shared" si="37"/>
        <v>2.2999999999999998</v>
      </c>
      <c r="K71" s="124">
        <f t="shared" ref="K71:L71" si="38">K62</f>
        <v>2.0299999999999998</v>
      </c>
      <c r="L71" s="124">
        <f t="shared" si="38"/>
        <v>1.74</v>
      </c>
    </row>
    <row r="72" spans="1:15" s="28" customFormat="1" ht="13.15" x14ac:dyDescent="0.4">
      <c r="C72" s="56" t="str">
        <f>B19</f>
        <v>Pole top equipment</v>
      </c>
      <c r="D72" s="374">
        <v>0</v>
      </c>
      <c r="E72" s="374">
        <v>0</v>
      </c>
      <c r="F72" s="374">
        <v>0</v>
      </c>
      <c r="G72" s="374">
        <v>0</v>
      </c>
      <c r="H72" s="374">
        <v>0</v>
      </c>
      <c r="I72" s="374">
        <v>0</v>
      </c>
      <c r="J72" s="374">
        <v>0</v>
      </c>
      <c r="K72" s="374">
        <v>0</v>
      </c>
      <c r="L72" s="374">
        <v>0</v>
      </c>
    </row>
    <row r="73" spans="1:15" s="28" customFormat="1" ht="13.15" x14ac:dyDescent="0.4">
      <c r="C73" s="56" t="str">
        <f>B20</f>
        <v>Cable up a pole (per cable)</v>
      </c>
      <c r="D73" s="374">
        <v>0</v>
      </c>
      <c r="E73" s="374">
        <v>0</v>
      </c>
      <c r="F73" s="374">
        <v>0</v>
      </c>
      <c r="G73" s="374">
        <v>0</v>
      </c>
      <c r="H73" s="374">
        <v>0</v>
      </c>
      <c r="I73" s="374">
        <v>0</v>
      </c>
      <c r="J73" s="374">
        <v>0</v>
      </c>
      <c r="K73" s="374">
        <v>0</v>
      </c>
      <c r="L73" s="374">
        <v>0</v>
      </c>
    </row>
    <row r="74" spans="1:15" s="28" customFormat="1" ht="9" customHeight="1" thickBot="1" x14ac:dyDescent="0.45">
      <c r="A74" s="81"/>
      <c r="B74" s="81"/>
      <c r="C74" s="81"/>
      <c r="D74" s="81"/>
      <c r="E74" s="81"/>
      <c r="F74" s="81"/>
      <c r="G74" s="81"/>
      <c r="H74" s="81"/>
      <c r="I74" s="81"/>
      <c r="J74" s="81"/>
      <c r="K74" s="81"/>
      <c r="L74" s="81"/>
      <c r="M74" s="81"/>
      <c r="N74" s="81"/>
      <c r="O74" s="81"/>
    </row>
    <row r="75" spans="1:15" s="28" customFormat="1" ht="9" customHeight="1" x14ac:dyDescent="0.4"/>
    <row r="76" spans="1:15" ht="15.75" x14ac:dyDescent="0.5">
      <c r="A76" s="8" t="s">
        <v>325</v>
      </c>
    </row>
    <row r="77" spans="1:15" s="28" customFormat="1" ht="26.65" x14ac:dyDescent="0.45">
      <c r="B77"/>
      <c r="C77"/>
      <c r="D77" s="145" t="s">
        <v>326</v>
      </c>
      <c r="E77" s="145" t="s">
        <v>327</v>
      </c>
      <c r="F77" s="145" t="s">
        <v>328</v>
      </c>
      <c r="G77" s="145" t="s">
        <v>329</v>
      </c>
    </row>
    <row r="78" spans="1:15" s="28" customFormat="1" ht="13.15" x14ac:dyDescent="0.4">
      <c r="C78" s="56" t="str">
        <f>C70</f>
        <v>Facility on pole for Multi-end-user attachment</v>
      </c>
      <c r="D78" s="132">
        <f t="shared" ref="D78:G81" si="39">D17</f>
        <v>5.65</v>
      </c>
      <c r="E78" s="132">
        <f t="shared" si="39"/>
        <v>6.29</v>
      </c>
      <c r="F78" s="132">
        <f t="shared" si="39"/>
        <v>6.6</v>
      </c>
      <c r="G78" s="132">
        <f t="shared" si="39"/>
        <v>6.77</v>
      </c>
    </row>
    <row r="79" spans="1:15" s="28" customFormat="1" ht="13.15" x14ac:dyDescent="0.4">
      <c r="C79" s="56" t="str">
        <f>C71</f>
        <v>Facility on pole for Single-end-user attachment</v>
      </c>
      <c r="D79" s="132">
        <f t="shared" si="39"/>
        <v>2.21</v>
      </c>
      <c r="E79" s="132">
        <f t="shared" si="39"/>
        <v>2.46</v>
      </c>
      <c r="F79" s="132">
        <f t="shared" si="39"/>
        <v>2.58</v>
      </c>
      <c r="G79" s="132">
        <f t="shared" si="39"/>
        <v>2.64</v>
      </c>
      <c r="H79" s="140"/>
      <c r="I79" s="140"/>
      <c r="J79" s="140"/>
      <c r="K79" s="140"/>
      <c r="L79" s="140"/>
      <c r="M79" s="140"/>
      <c r="N79" s="140"/>
      <c r="O79" s="140"/>
    </row>
    <row r="80" spans="1:15" s="28" customFormat="1" ht="13.15" x14ac:dyDescent="0.4">
      <c r="C80" s="56" t="str">
        <f>C72</f>
        <v>Pole top equipment</v>
      </c>
      <c r="D80" s="132">
        <f t="shared" si="39"/>
        <v>1.66</v>
      </c>
      <c r="E80" s="132">
        <f t="shared" si="39"/>
        <v>1.85</v>
      </c>
      <c r="F80" s="132">
        <f t="shared" si="39"/>
        <v>1.94</v>
      </c>
      <c r="G80" s="132">
        <f t="shared" si="39"/>
        <v>1.98</v>
      </c>
      <c r="H80" s="140"/>
      <c r="I80" s="140"/>
      <c r="J80" s="140"/>
      <c r="K80" s="140"/>
      <c r="L80" s="140"/>
      <c r="M80" s="140"/>
      <c r="N80" s="140"/>
      <c r="O80" s="140"/>
    </row>
    <row r="81" spans="1:15" s="28" customFormat="1" ht="13.15" x14ac:dyDescent="0.4">
      <c r="C81" s="56" t="str">
        <f>C73</f>
        <v>Cable up a pole (per cable)</v>
      </c>
      <c r="D81" s="132">
        <f t="shared" si="39"/>
        <v>1.1000000000000001</v>
      </c>
      <c r="E81" s="132">
        <f t="shared" si="39"/>
        <v>1.23</v>
      </c>
      <c r="F81" s="132">
        <f t="shared" si="39"/>
        <v>1.29</v>
      </c>
      <c r="G81" s="132">
        <f t="shared" si="39"/>
        <v>1.32</v>
      </c>
      <c r="H81" s="140"/>
      <c r="I81" s="140"/>
      <c r="J81" s="140"/>
      <c r="K81" s="140"/>
      <c r="L81" s="140"/>
      <c r="N81" s="140"/>
    </row>
    <row r="82" spans="1:15" s="28" customFormat="1" ht="9" customHeight="1" thickBot="1" x14ac:dyDescent="0.45">
      <c r="A82" s="81"/>
      <c r="B82" s="81"/>
      <c r="C82" s="81"/>
      <c r="D82" s="81"/>
      <c r="E82" s="81"/>
      <c r="F82" s="81"/>
      <c r="G82" s="81"/>
      <c r="H82" s="81"/>
      <c r="I82" s="81"/>
      <c r="J82" s="81"/>
      <c r="K82" s="81"/>
      <c r="L82" s="81"/>
      <c r="M82" s="81"/>
      <c r="N82" s="81"/>
      <c r="O82" s="81"/>
    </row>
    <row r="83" spans="1:15" s="28" customFormat="1" ht="9" customHeight="1" x14ac:dyDescent="0.4"/>
    <row r="84" spans="1:15" s="28" customFormat="1" ht="15.75" x14ac:dyDescent="0.5">
      <c r="A84" s="8" t="s">
        <v>230</v>
      </c>
      <c r="C84" s="66" t="s">
        <v>231</v>
      </c>
      <c r="D84" s="65" t="str">
        <f>D23</f>
        <v>2022/23</v>
      </c>
      <c r="E84" s="65" t="str">
        <f>E23</f>
        <v>2023/24</v>
      </c>
      <c r="F84" s="65" t="str">
        <f>F23</f>
        <v>2024/25</v>
      </c>
      <c r="G84" s="65" t="str">
        <f>G23</f>
        <v>2025/26</v>
      </c>
      <c r="H84" s="322" t="s">
        <v>139</v>
      </c>
      <c r="I84" s="322" t="s">
        <v>140</v>
      </c>
      <c r="J84" s="322" t="s">
        <v>141</v>
      </c>
      <c r="K84" s="322" t="s">
        <v>142</v>
      </c>
      <c r="L84" s="322" t="s">
        <v>143</v>
      </c>
      <c r="N84" s="140"/>
    </row>
    <row r="85" spans="1:15" s="28" customFormat="1" ht="13.15" x14ac:dyDescent="0.4">
      <c r="C85" s="56" t="str">
        <f>C78</f>
        <v>Facility on pole for Multi-end-user attachment</v>
      </c>
      <c r="D85" s="71">
        <f>D78</f>
        <v>5.65</v>
      </c>
      <c r="E85" s="71">
        <f t="shared" ref="E85:G85" si="40">E78</f>
        <v>6.29</v>
      </c>
      <c r="F85" s="71">
        <f t="shared" si="40"/>
        <v>6.6</v>
      </c>
      <c r="G85" s="71">
        <f t="shared" si="40"/>
        <v>6.77</v>
      </c>
      <c r="H85" s="71">
        <f t="shared" ref="H85:H88" si="41">H70</f>
        <v>6.1</v>
      </c>
      <c r="I85" s="71">
        <f t="shared" ref="I85:L85" si="42">I70</f>
        <v>6.34</v>
      </c>
      <c r="J85" s="71">
        <f t="shared" si="42"/>
        <v>6.51</v>
      </c>
      <c r="K85" s="71">
        <f t="shared" si="42"/>
        <v>6.66</v>
      </c>
      <c r="L85" s="71">
        <f t="shared" si="42"/>
        <v>6.8</v>
      </c>
      <c r="N85" s="140"/>
    </row>
    <row r="86" spans="1:15" s="28" customFormat="1" ht="13.15" x14ac:dyDescent="0.4">
      <c r="C86" s="56" t="str">
        <f>C79</f>
        <v>Facility on pole for Single-end-user attachment</v>
      </c>
      <c r="D86" s="71">
        <f t="shared" ref="D86:G88" si="43">D79</f>
        <v>2.21</v>
      </c>
      <c r="E86" s="71">
        <f t="shared" si="43"/>
        <v>2.46</v>
      </c>
      <c r="F86" s="71">
        <f t="shared" si="43"/>
        <v>2.58</v>
      </c>
      <c r="G86" s="71">
        <f t="shared" si="43"/>
        <v>2.64</v>
      </c>
      <c r="H86" s="71">
        <f t="shared" si="41"/>
        <v>2.76</v>
      </c>
      <c r="I86" s="71">
        <f t="shared" ref="I86:L86" si="44">I71</f>
        <v>2.5499999999999998</v>
      </c>
      <c r="J86" s="71">
        <f t="shared" si="44"/>
        <v>2.2999999999999998</v>
      </c>
      <c r="K86" s="71">
        <f t="shared" si="44"/>
        <v>2.0299999999999998</v>
      </c>
      <c r="L86" s="71">
        <f t="shared" si="44"/>
        <v>1.74</v>
      </c>
      <c r="N86" s="140"/>
    </row>
    <row r="87" spans="1:15" s="28" customFormat="1" ht="13.15" x14ac:dyDescent="0.4">
      <c r="C87" s="56" t="str">
        <f>C80</f>
        <v>Pole top equipment</v>
      </c>
      <c r="D87" s="71">
        <f t="shared" si="43"/>
        <v>1.66</v>
      </c>
      <c r="E87" s="71">
        <f t="shared" si="43"/>
        <v>1.85</v>
      </c>
      <c r="F87" s="71">
        <f t="shared" si="43"/>
        <v>1.94</v>
      </c>
      <c r="G87" s="71">
        <f t="shared" si="43"/>
        <v>1.98</v>
      </c>
      <c r="H87" s="71">
        <f t="shared" si="41"/>
        <v>0</v>
      </c>
      <c r="I87" s="71">
        <f t="shared" ref="I87:L87" si="45">I72</f>
        <v>0</v>
      </c>
      <c r="J87" s="71">
        <f t="shared" si="45"/>
        <v>0</v>
      </c>
      <c r="K87" s="71">
        <f t="shared" si="45"/>
        <v>0</v>
      </c>
      <c r="L87" s="71">
        <f t="shared" si="45"/>
        <v>0</v>
      </c>
    </row>
    <row r="88" spans="1:15" s="28" customFormat="1" ht="13.15" x14ac:dyDescent="0.4">
      <c r="C88" s="56" t="str">
        <f>C81</f>
        <v>Cable up a pole (per cable)</v>
      </c>
      <c r="D88" s="71">
        <f t="shared" si="43"/>
        <v>1.1000000000000001</v>
      </c>
      <c r="E88" s="71">
        <f t="shared" si="43"/>
        <v>1.23</v>
      </c>
      <c r="F88" s="71">
        <f t="shared" si="43"/>
        <v>1.29</v>
      </c>
      <c r="G88" s="71">
        <f t="shared" si="43"/>
        <v>1.32</v>
      </c>
      <c r="H88" s="71">
        <f t="shared" si="41"/>
        <v>0</v>
      </c>
      <c r="I88" s="71">
        <f t="shared" ref="I88:L88" si="46">I73</f>
        <v>0</v>
      </c>
      <c r="J88" s="71">
        <f t="shared" si="46"/>
        <v>0</v>
      </c>
      <c r="K88" s="71">
        <f t="shared" si="46"/>
        <v>0</v>
      </c>
      <c r="L88" s="71">
        <f t="shared" si="46"/>
        <v>0</v>
      </c>
    </row>
    <row r="89" spans="1:15" s="28" customFormat="1" ht="9" customHeight="1" x14ac:dyDescent="0.4">
      <c r="C89" s="56"/>
      <c r="D89" s="130"/>
      <c r="E89" s="130"/>
      <c r="F89" s="130"/>
      <c r="G89" s="130"/>
      <c r="H89" s="130"/>
      <c r="I89" s="130"/>
      <c r="J89" s="130"/>
      <c r="N89" s="65" t="s">
        <v>232</v>
      </c>
    </row>
    <row r="90" spans="1:15" s="28" customFormat="1" ht="13.15" x14ac:dyDescent="0.4">
      <c r="C90" s="28" t="s">
        <v>117</v>
      </c>
      <c r="D90" s="56" cm="1">
        <f t="array" ref="D90:L90">CPI</f>
        <v>0.10036409874522789</v>
      </c>
      <c r="E90" s="56">
        <v>5.6703919580784135E-2</v>
      </c>
      <c r="F90" s="56">
        <v>2.3545128743536425E-2</v>
      </c>
      <c r="G90" s="56">
        <v>3.5422237353326391E-2</v>
      </c>
      <c r="H90" s="56">
        <v>2.1823266989722256E-2</v>
      </c>
      <c r="I90" s="56">
        <v>1.9935780988294516E-2</v>
      </c>
      <c r="J90" s="56">
        <v>2.0957399820160205E-2</v>
      </c>
      <c r="K90" s="56">
        <v>2.0094840093029198E-2</v>
      </c>
      <c r="L90" s="56">
        <v>1.9998866368604373E-2</v>
      </c>
      <c r="N90" s="41">
        <f>(L91/G91)^(1/5)-1</f>
        <v>2.0561768875003938E-2</v>
      </c>
    </row>
    <row r="91" spans="1:15" s="28" customFormat="1" ht="13.15" x14ac:dyDescent="0.4">
      <c r="C91" s="28" t="s">
        <v>330</v>
      </c>
      <c r="D91" s="133"/>
      <c r="E91" s="133"/>
      <c r="F91" s="133"/>
      <c r="G91" s="133">
        <v>100</v>
      </c>
      <c r="H91" s="133">
        <f t="shared" ref="H91:L91" si="47">G91*(1+H90)</f>
        <v>102.18232669897222</v>
      </c>
      <c r="I91" s="133">
        <f t="shared" si="47"/>
        <v>104.21941118491729</v>
      </c>
      <c r="J91" s="133">
        <f t="shared" si="47"/>
        <v>106.40357905414128</v>
      </c>
      <c r="K91" s="133">
        <f t="shared" si="47"/>
        <v>108.54174196056023</v>
      </c>
      <c r="L91" s="133">
        <f t="shared" si="47"/>
        <v>110.71245375344502</v>
      </c>
    </row>
    <row r="92" spans="1:15" s="28" customFormat="1" ht="9" customHeight="1" x14ac:dyDescent="0.4">
      <c r="E92" s="133"/>
      <c r="F92" s="133"/>
      <c r="G92" s="133"/>
      <c r="H92" s="133"/>
      <c r="I92" s="133"/>
      <c r="J92" s="133"/>
      <c r="K92" s="133"/>
      <c r="L92" s="133"/>
    </row>
    <row r="93" spans="1:15" s="40" customFormat="1" ht="13.15" x14ac:dyDescent="0.4">
      <c r="C93" s="97" t="s">
        <v>234</v>
      </c>
      <c r="G93" s="143" t="s">
        <v>235</v>
      </c>
      <c r="L93" s="65" t="s">
        <v>236</v>
      </c>
      <c r="N93" s="65" t="s">
        <v>237</v>
      </c>
      <c r="O93" s="142" t="s">
        <v>238</v>
      </c>
    </row>
    <row r="94" spans="1:15" s="28" customFormat="1" ht="13.15" x14ac:dyDescent="0.4">
      <c r="C94" s="56" t="str">
        <f>C85</f>
        <v>Facility on pole for Multi-end-user attachment</v>
      </c>
      <c r="E94" s="133"/>
      <c r="G94" s="141">
        <f>G85</f>
        <v>6.77</v>
      </c>
      <c r="H94" s="133"/>
      <c r="L94" s="71">
        <f>L85</f>
        <v>6.8</v>
      </c>
      <c r="N94" s="134">
        <f>100*L94/G94</f>
        <v>100.44313146233384</v>
      </c>
      <c r="O94" s="283">
        <f>(N94/100)^(1/5)-1-$N$90</f>
        <v>-1.9677072710437171E-2</v>
      </c>
    </row>
    <row r="95" spans="1:15" s="28" customFormat="1" ht="13.15" x14ac:dyDescent="0.4">
      <c r="C95" s="56" t="str">
        <f t="shared" ref="C95:C97" si="48">C86</f>
        <v>Facility on pole for Single-end-user attachment</v>
      </c>
      <c r="E95" s="133"/>
      <c r="G95" s="141">
        <f t="shared" ref="G95:G97" si="49">G86</f>
        <v>2.64</v>
      </c>
      <c r="H95" s="133"/>
      <c r="L95" s="71">
        <f t="shared" ref="L95:L97" si="50">L86</f>
        <v>1.74</v>
      </c>
      <c r="N95" s="134">
        <f t="shared" ref="N95:N97" si="51">100*L95/G95</f>
        <v>65.909090909090907</v>
      </c>
      <c r="O95" s="283">
        <f t="shared" ref="O95" si="52">(N95/100)^(1/5)-1-$N$90</f>
        <v>-0.10055914857079429</v>
      </c>
    </row>
    <row r="96" spans="1:15" s="28" customFormat="1" ht="13.15" x14ac:dyDescent="0.4">
      <c r="C96" s="56" t="str">
        <f t="shared" si="48"/>
        <v>Pole top equipment</v>
      </c>
      <c r="E96" s="133"/>
      <c r="G96" s="141">
        <f t="shared" si="49"/>
        <v>1.98</v>
      </c>
      <c r="H96" s="133"/>
      <c r="L96" s="71">
        <f t="shared" si="50"/>
        <v>0</v>
      </c>
      <c r="N96" s="134">
        <f t="shared" si="51"/>
        <v>0</v>
      </c>
      <c r="O96" s="283" t="s">
        <v>331</v>
      </c>
    </row>
    <row r="97" spans="3:15" s="28" customFormat="1" ht="13.15" x14ac:dyDescent="0.4">
      <c r="C97" s="56" t="str">
        <f t="shared" si="48"/>
        <v>Cable up a pole (per cable)</v>
      </c>
      <c r="E97" s="133"/>
      <c r="G97" s="141">
        <f t="shared" si="49"/>
        <v>1.32</v>
      </c>
      <c r="H97" s="133"/>
      <c r="L97" s="71">
        <f t="shared" si="50"/>
        <v>0</v>
      </c>
      <c r="N97" s="134">
        <f t="shared" si="51"/>
        <v>0</v>
      </c>
      <c r="O97" s="283" t="s">
        <v>331</v>
      </c>
    </row>
    <row r="98" spans="3:15" s="28" customFormat="1" ht="9" customHeight="1" x14ac:dyDescent="0.4">
      <c r="C98" s="56"/>
      <c r="E98" s="133"/>
      <c r="F98" s="133"/>
      <c r="G98" s="133"/>
      <c r="H98" s="133"/>
      <c r="I98" s="133"/>
      <c r="J98" s="133"/>
      <c r="K98" s="133"/>
      <c r="L98" s="133"/>
    </row>
    <row r="99" spans="3:15" s="28" customFormat="1" ht="13.15" x14ac:dyDescent="0.4">
      <c r="C99" s="66" t="s">
        <v>239</v>
      </c>
      <c r="D99" s="65" t="str">
        <f t="shared" ref="D99:J99" si="53">D84</f>
        <v>2022/23</v>
      </c>
      <c r="E99" s="65" t="str">
        <f t="shared" si="53"/>
        <v>2023/24</v>
      </c>
      <c r="F99" s="65" t="str">
        <f t="shared" si="53"/>
        <v>2024/25</v>
      </c>
      <c r="G99" s="65" t="str">
        <f t="shared" si="53"/>
        <v>2025/26</v>
      </c>
      <c r="H99" s="65" t="str">
        <f t="shared" si="53"/>
        <v>2026/27</v>
      </c>
      <c r="I99" s="65" t="str">
        <f t="shared" si="53"/>
        <v>2027/28</v>
      </c>
      <c r="J99" s="65" t="str">
        <f t="shared" si="53"/>
        <v>2028/29</v>
      </c>
      <c r="K99" s="322" t="s">
        <v>142</v>
      </c>
      <c r="L99" s="322" t="s">
        <v>143</v>
      </c>
      <c r="N99" s="217" t="s">
        <v>240</v>
      </c>
    </row>
    <row r="100" spans="3:15" s="28" customFormat="1" ht="13.15" x14ac:dyDescent="0.4">
      <c r="C100" s="56" t="str">
        <f>C70</f>
        <v>Facility on pole for Multi-end-user attachment</v>
      </c>
      <c r="D100" s="124">
        <f>D85</f>
        <v>5.65</v>
      </c>
      <c r="E100" s="124">
        <f t="shared" ref="E100:G100" si="54">E85</f>
        <v>6.29</v>
      </c>
      <c r="F100" s="124">
        <f t="shared" si="54"/>
        <v>6.6</v>
      </c>
      <c r="G100" s="124">
        <f t="shared" si="54"/>
        <v>6.77</v>
      </c>
      <c r="H100" s="124">
        <f>G100*(1+H$90+$O94)</f>
        <v>6.7845297352707599</v>
      </c>
      <c r="I100" s="124">
        <f t="shared" ref="I100:L100" si="55">H100*(1+I$90+$O94)</f>
        <v>6.786284949274644</v>
      </c>
      <c r="J100" s="124">
        <f t="shared" si="55"/>
        <v>6.794973613869506</v>
      </c>
      <c r="K100" s="124">
        <f t="shared" si="55"/>
        <v>6.7978123322109543</v>
      </c>
      <c r="L100" s="124">
        <f t="shared" si="55"/>
        <v>6.7999998251088707</v>
      </c>
      <c r="N100" s="151" t="str">
        <f>IF(ABS(L100-L85)&lt;0.001,"ok","error")</f>
        <v>ok</v>
      </c>
    </row>
    <row r="101" spans="3:15" s="28" customFormat="1" ht="13.15" x14ac:dyDescent="0.4">
      <c r="C101" s="56" t="str">
        <f>C71</f>
        <v>Facility on pole for Single-end-user attachment</v>
      </c>
      <c r="D101" s="124">
        <f t="shared" ref="D101:G103" si="56">D86</f>
        <v>2.21</v>
      </c>
      <c r="E101" s="124">
        <f t="shared" si="56"/>
        <v>2.46</v>
      </c>
      <c r="F101" s="124">
        <f t="shared" si="56"/>
        <v>2.58</v>
      </c>
      <c r="G101" s="124">
        <f t="shared" si="56"/>
        <v>2.64</v>
      </c>
      <c r="H101" s="124">
        <f>G101*(1+H$90+$O95)</f>
        <v>2.4321372726259698</v>
      </c>
      <c r="I101" s="124">
        <f t="shared" ref="I101:L101" si="57">H101*(1+I$90+$O95)</f>
        <v>2.2360501752839479</v>
      </c>
      <c r="J101" s="124">
        <f t="shared" si="57"/>
        <v>2.0580566710371837</v>
      </c>
      <c r="K101" s="124">
        <f t="shared" si="57"/>
        <v>1.8924565641941253</v>
      </c>
      <c r="L101" s="124">
        <f t="shared" si="57"/>
        <v>1.7399997293272598</v>
      </c>
      <c r="N101" s="151" t="str">
        <f t="shared" ref="N101:N103" si="58">IF(ABS(L101-L86)&lt;0.001,"ok","error")</f>
        <v>ok</v>
      </c>
    </row>
    <row r="102" spans="3:15" s="28" customFormat="1" ht="13.15" x14ac:dyDescent="0.4">
      <c r="C102" s="56" t="str">
        <f>C72</f>
        <v>Pole top equipment</v>
      </c>
      <c r="D102" s="124">
        <f t="shared" si="56"/>
        <v>1.66</v>
      </c>
      <c r="E102" s="124">
        <f t="shared" si="56"/>
        <v>1.85</v>
      </c>
      <c r="F102" s="124">
        <f t="shared" si="56"/>
        <v>1.94</v>
      </c>
      <c r="G102" s="124">
        <f t="shared" si="56"/>
        <v>1.98</v>
      </c>
      <c r="H102" s="325"/>
      <c r="I102" s="325"/>
      <c r="J102" s="325"/>
      <c r="K102" s="325"/>
      <c r="L102" s="325"/>
      <c r="N102" s="151" t="str">
        <f t="shared" si="58"/>
        <v>ok</v>
      </c>
    </row>
    <row r="103" spans="3:15" s="28" customFormat="1" ht="13.15" x14ac:dyDescent="0.4">
      <c r="C103" s="56" t="str">
        <f>C73</f>
        <v>Cable up a pole (per cable)</v>
      </c>
      <c r="D103" s="124">
        <f t="shared" si="56"/>
        <v>1.1000000000000001</v>
      </c>
      <c r="E103" s="124">
        <f t="shared" si="56"/>
        <v>1.23</v>
      </c>
      <c r="F103" s="124">
        <f t="shared" si="56"/>
        <v>1.29</v>
      </c>
      <c r="G103" s="124">
        <f t="shared" si="56"/>
        <v>1.32</v>
      </c>
      <c r="H103" s="325"/>
      <c r="I103" s="325"/>
      <c r="J103" s="325"/>
      <c r="K103" s="325"/>
      <c r="L103" s="325"/>
      <c r="N103" s="151" t="str">
        <f t="shared" si="58"/>
        <v>ok</v>
      </c>
    </row>
  </sheetData>
  <conditionalFormatting sqref="D31:L31 D37:L37">
    <cfRule type="cellIs" dxfId="1" priority="1" stopIfTrue="1" operator="notEqual">
      <formula>TRUE</formula>
    </cfRule>
  </conditionalFormatting>
  <printOptions horizontalCentered="1" verticalCentered="1"/>
  <pageMargins left="0.19685039370078741" right="0.19685039370078741" top="0.39370078740157483" bottom="0.27559055118110237" header="0.19685039370078741" footer="0.11811023622047245"/>
  <pageSetup paperSize="9" scale="60" orientation="landscape" r:id="rId1"/>
  <headerFooter>
    <oddHeader>&amp;CPage &amp;P of &amp;N&amp;R&amp;D &amp;T&amp;L&amp;"Calibri"&amp;12&amp;K000000Classification: HIGHLY SENSITIVE&amp;1#_x000D_&amp;"Calibri"&amp;11&amp;K000000File: &amp;F Tab: &amp;A</oddHeader>
  </headerFooter>
  <rowBreaks count="1" manualBreakCount="1">
    <brk id="37"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FB544-E59E-44EA-8FAE-1469DFE098DC}">
  <sheetPr codeName="Sheet21">
    <tabColor rgb="FF7030A0"/>
  </sheetPr>
  <dimension ref="A1"/>
  <sheetViews>
    <sheetView workbookViewId="0"/>
  </sheetViews>
  <sheetFormatPr defaultColWidth="9" defaultRowHeight="14.25" x14ac:dyDescent="0.45"/>
  <sheetData/>
  <pageMargins left="0.7" right="0.7" top="0.75" bottom="0.75" header="0.3" footer="0.3"/>
  <pageSetup paperSize="9" orientation="portrait" r:id="rId1"/>
  <headerFooter>
    <oddHeader>&amp;L&amp;"Calibri"&amp;12&amp;K000000Classification: HIGHLY SENSITIVE&amp;1#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B94DA-E21F-44E8-847E-08730C7FF402}">
  <sheetPr>
    <outlinePr summaryBelow="0"/>
    <pageSetUpPr autoPageBreaks="0" fitToPage="1"/>
  </sheetPr>
  <dimension ref="A1:K49"/>
  <sheetViews>
    <sheetView defaultGridColor="0" colorId="22" zoomScaleNormal="100" workbookViewId="0">
      <pane ySplit="2" topLeftCell="A3" activePane="bottomLeft" state="frozen"/>
      <selection pane="bottomLeft"/>
    </sheetView>
  </sheetViews>
  <sheetFormatPr defaultColWidth="12.59765625" defaultRowHeight="14.25" x14ac:dyDescent="0.45"/>
  <cols>
    <col min="1" max="1" width="2.59765625" style="229" customWidth="1"/>
    <col min="2" max="2" width="42.73046875" style="229" customWidth="1"/>
    <col min="3" max="6" width="12.59765625" style="229"/>
    <col min="7" max="7" width="7" style="229" customWidth="1"/>
    <col min="8" max="16384" width="12.59765625" style="229"/>
  </cols>
  <sheetData>
    <row r="1" spans="1:8" ht="12" customHeight="1" x14ac:dyDescent="0.75">
      <c r="C1" s="230"/>
    </row>
    <row r="2" spans="1:8" ht="64.5" customHeight="1" x14ac:dyDescent="0.9">
      <c r="H2" s="231" t="s">
        <v>0</v>
      </c>
    </row>
    <row r="3" spans="1:8" x14ac:dyDescent="0.45">
      <c r="A3" s="232" t="s">
        <v>1</v>
      </c>
    </row>
    <row r="5" spans="1:8" ht="18" x14ac:dyDescent="0.45">
      <c r="A5" s="233" t="s">
        <v>2</v>
      </c>
    </row>
    <row r="6" spans="1:8" ht="8.25" customHeight="1" x14ac:dyDescent="0.45"/>
    <row r="7" spans="1:8" ht="6.75" customHeight="1" x14ac:dyDescent="0.45">
      <c r="A7" s="234"/>
    </row>
    <row r="8" spans="1:8" x14ac:dyDescent="0.45">
      <c r="B8" s="235" t="s">
        <v>3</v>
      </c>
      <c r="C8" s="236">
        <v>100</v>
      </c>
      <c r="E8" s="229" t="s">
        <v>4</v>
      </c>
    </row>
    <row r="9" spans="1:8" x14ac:dyDescent="0.45">
      <c r="B9" s="235"/>
      <c r="C9" s="237"/>
    </row>
    <row r="10" spans="1:8" ht="15" customHeight="1" x14ac:dyDescent="0.45">
      <c r="B10" s="235" t="s">
        <v>5</v>
      </c>
      <c r="C10" s="238">
        <v>100</v>
      </c>
      <c r="E10" s="229" t="s">
        <v>6</v>
      </c>
    </row>
    <row r="11" spans="1:8" x14ac:dyDescent="0.45">
      <c r="B11" s="235"/>
      <c r="C11" s="237"/>
    </row>
    <row r="12" spans="1:8" x14ac:dyDescent="0.45">
      <c r="B12" s="235" t="s">
        <v>7</v>
      </c>
      <c r="C12" s="239">
        <v>100</v>
      </c>
      <c r="E12" s="229" t="s">
        <v>8</v>
      </c>
    </row>
    <row r="13" spans="1:8" x14ac:dyDescent="0.45">
      <c r="B13" s="235"/>
      <c r="C13" s="237"/>
    </row>
    <row r="14" spans="1:8" x14ac:dyDescent="0.45">
      <c r="B14" s="235" t="s">
        <v>9</v>
      </c>
      <c r="C14" s="240">
        <v>100</v>
      </c>
      <c r="E14" s="229" t="s">
        <v>10</v>
      </c>
    </row>
    <row r="15" spans="1:8" ht="14.65" thickBot="1" x14ac:dyDescent="0.5">
      <c r="B15" s="235"/>
      <c r="C15" s="237"/>
    </row>
    <row r="16" spans="1:8" ht="14.65" thickBot="1" x14ac:dyDescent="0.5">
      <c r="B16" s="235" t="s">
        <v>11</v>
      </c>
      <c r="C16" s="241">
        <v>100</v>
      </c>
      <c r="E16" s="229" t="s">
        <v>12</v>
      </c>
    </row>
    <row r="17" spans="2:11" ht="14.65" thickBot="1" x14ac:dyDescent="0.5">
      <c r="B17" s="235"/>
      <c r="C17" s="237"/>
    </row>
    <row r="18" spans="2:11" ht="14.65" thickBot="1" x14ac:dyDescent="0.5">
      <c r="B18" s="235" t="s">
        <v>13</v>
      </c>
      <c r="C18" s="242">
        <v>100</v>
      </c>
      <c r="E18" s="229" t="s">
        <v>14</v>
      </c>
    </row>
    <row r="19" spans="2:11" ht="14.65" thickBot="1" x14ac:dyDescent="0.5">
      <c r="B19" s="235"/>
      <c r="C19" s="237"/>
    </row>
    <row r="20" spans="2:11" ht="14.65" thickBot="1" x14ac:dyDescent="0.5">
      <c r="B20" s="235" t="s">
        <v>15</v>
      </c>
      <c r="C20" s="243">
        <v>100</v>
      </c>
      <c r="E20" s="229" t="s">
        <v>16</v>
      </c>
    </row>
    <row r="21" spans="2:11" x14ac:dyDescent="0.45">
      <c r="B21" s="235"/>
      <c r="C21" s="237"/>
    </row>
    <row r="22" spans="2:11" x14ac:dyDescent="0.45">
      <c r="B22" s="229" t="s">
        <v>17</v>
      </c>
      <c r="C22" s="244">
        <v>100</v>
      </c>
      <c r="E22" s="229" t="s">
        <v>18</v>
      </c>
    </row>
    <row r="24" spans="2:11" x14ac:dyDescent="0.45">
      <c r="B24" s="229" t="s">
        <v>19</v>
      </c>
      <c r="C24" s="245"/>
      <c r="E24" s="229" t="s">
        <v>20</v>
      </c>
    </row>
    <row r="26" spans="2:11" x14ac:dyDescent="0.45">
      <c r="B26" s="229" t="s">
        <v>21</v>
      </c>
      <c r="C26" s="246">
        <v>100</v>
      </c>
      <c r="E26" s="229" t="s">
        <v>22</v>
      </c>
    </row>
    <row r="27" spans="2:11" x14ac:dyDescent="0.45">
      <c r="B27" s="235"/>
      <c r="C27" s="237"/>
    </row>
    <row r="28" spans="2:11" x14ac:dyDescent="0.45">
      <c r="B28" s="229" t="s">
        <v>23</v>
      </c>
      <c r="C28" s="247">
        <v>100</v>
      </c>
      <c r="E28" s="229" t="s">
        <v>24</v>
      </c>
    </row>
    <row r="30" spans="2:11" x14ac:dyDescent="0.45">
      <c r="B30" s="229" t="s">
        <v>25</v>
      </c>
      <c r="C30" s="248">
        <v>100</v>
      </c>
      <c r="E30" s="229" t="s">
        <v>26</v>
      </c>
    </row>
    <row r="32" spans="2:11" x14ac:dyDescent="0.45">
      <c r="B32" s="229" t="s">
        <v>27</v>
      </c>
      <c r="C32" s="249" t="b">
        <v>1</v>
      </c>
      <c r="E32" s="229" t="s">
        <v>28</v>
      </c>
      <c r="F32" s="250"/>
      <c r="G32" s="250"/>
      <c r="H32" s="250"/>
      <c r="I32" s="250"/>
      <c r="J32" s="250"/>
      <c r="K32" s="250"/>
    </row>
    <row r="33" spans="2:11" x14ac:dyDescent="0.45">
      <c r="B33" s="229" t="s">
        <v>29</v>
      </c>
      <c r="C33" s="251" t="b">
        <v>0</v>
      </c>
      <c r="F33" s="250"/>
      <c r="G33" s="250"/>
      <c r="H33" s="250"/>
      <c r="I33" s="250"/>
      <c r="J33" s="250"/>
      <c r="K33" s="250"/>
    </row>
    <row r="35" spans="2:11" x14ac:dyDescent="0.45">
      <c r="B35" s="229" t="s">
        <v>30</v>
      </c>
      <c r="C35" s="232" t="s">
        <v>31</v>
      </c>
      <c r="E35" s="229" t="s">
        <v>32</v>
      </c>
    </row>
    <row r="37" spans="2:11" x14ac:dyDescent="0.45">
      <c r="B37" s="229" t="s">
        <v>33</v>
      </c>
      <c r="C37" s="252"/>
      <c r="E37" s="229" t="s">
        <v>34</v>
      </c>
    </row>
    <row r="38" spans="2:11" x14ac:dyDescent="0.45">
      <c r="C38" s="253"/>
    </row>
    <row r="39" spans="2:11" x14ac:dyDescent="0.45">
      <c r="B39" s="229" t="s">
        <v>35</v>
      </c>
      <c r="C39" s="254" t="s">
        <v>36</v>
      </c>
      <c r="E39" s="229" t="s">
        <v>37</v>
      </c>
    </row>
    <row r="41" spans="2:11" x14ac:dyDescent="0.45">
      <c r="B41" s="255" t="s">
        <v>38</v>
      </c>
      <c r="C41" s="237"/>
      <c r="E41" s="229" t="s">
        <v>39</v>
      </c>
    </row>
    <row r="42" spans="2:11" x14ac:dyDescent="0.45">
      <c r="B42" s="235"/>
      <c r="C42" s="237"/>
    </row>
    <row r="43" spans="2:11" ht="30.75" x14ac:dyDescent="0.45">
      <c r="B43" s="256" t="s">
        <v>40</v>
      </c>
      <c r="C43" s="256" t="s">
        <v>41</v>
      </c>
      <c r="E43" s="229" t="s">
        <v>42</v>
      </c>
    </row>
    <row r="45" spans="2:11" ht="21" x14ac:dyDescent="0.45">
      <c r="B45" s="257" t="s">
        <v>43</v>
      </c>
      <c r="C45" s="257" t="s">
        <v>41</v>
      </c>
      <c r="E45" s="229" t="s">
        <v>44</v>
      </c>
    </row>
    <row r="47" spans="2:11" ht="18" x14ac:dyDescent="0.45">
      <c r="B47" s="233" t="s">
        <v>45</v>
      </c>
      <c r="C47" s="233" t="s">
        <v>41</v>
      </c>
      <c r="E47" s="229" t="s">
        <v>46</v>
      </c>
    </row>
    <row r="49" spans="2:5" x14ac:dyDescent="0.45">
      <c r="B49" s="258" t="s">
        <v>47</v>
      </c>
      <c r="C49" s="258" t="s">
        <v>41</v>
      </c>
      <c r="E49" s="229" t="s">
        <v>48</v>
      </c>
    </row>
  </sheetData>
  <pageMargins left="0.74803149606299213" right="0.74803149606299213" top="0.51181102362204722" bottom="0.51181102362204722" header="0.51181102362204722" footer="0.35433070866141736"/>
  <pageSetup paperSize="9" fitToHeight="0" orientation="landscape" horizontalDpi="4294967292" verticalDpi="4294967292" r:id="rId1"/>
  <headerFooter alignWithMargins="0">
    <oddFooter>&amp;L&amp;A :page&amp;P&amp;COfcom Confidential&amp;R&amp;D</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66023-5184-416F-98BD-257295B03849}">
  <sheetPr codeName="Sheet20"/>
  <dimension ref="A1:P44"/>
  <sheetViews>
    <sheetView zoomScale="88" zoomScaleNormal="88" workbookViewId="0"/>
  </sheetViews>
  <sheetFormatPr defaultColWidth="8.796875" defaultRowHeight="14.25" x14ac:dyDescent="0.45"/>
  <cols>
    <col min="1" max="1" width="4.265625" customWidth="1"/>
    <col min="2" max="2" width="39.59765625" customWidth="1"/>
    <col min="3" max="3" width="15.265625" customWidth="1"/>
    <col min="4" max="6" width="10.59765625" customWidth="1"/>
    <col min="7" max="15" width="13.265625" customWidth="1"/>
    <col min="16" max="16" width="9.265625" customWidth="1"/>
    <col min="17" max="17" width="3.73046875" customWidth="1"/>
  </cols>
  <sheetData>
    <row r="1" spans="1:16" ht="22.5" x14ac:dyDescent="0.6">
      <c r="A1" s="342" t="s">
        <v>332</v>
      </c>
    </row>
    <row r="3" spans="1:16" ht="28.5" x14ac:dyDescent="0.45">
      <c r="P3" s="329" t="s">
        <v>333</v>
      </c>
    </row>
    <row r="4" spans="1:16" x14ac:dyDescent="0.45">
      <c r="B4" s="148" t="s">
        <v>334</v>
      </c>
      <c r="C4" s="148" t="s">
        <v>335</v>
      </c>
      <c r="D4" s="18" t="s">
        <v>336</v>
      </c>
      <c r="E4" s="18" t="s">
        <v>337</v>
      </c>
      <c r="F4" s="18" t="s">
        <v>338</v>
      </c>
      <c r="G4" s="18" t="s">
        <v>92</v>
      </c>
      <c r="H4" s="18" t="s">
        <v>93</v>
      </c>
      <c r="I4" s="18" t="s">
        <v>51</v>
      </c>
      <c r="J4" s="18" t="s">
        <v>138</v>
      </c>
      <c r="K4" s="18" t="s">
        <v>139</v>
      </c>
      <c r="L4" s="18" t="s">
        <v>140</v>
      </c>
      <c r="M4" s="18" t="s">
        <v>141</v>
      </c>
      <c r="N4" s="18" t="s">
        <v>142</v>
      </c>
      <c r="O4" s="18" t="s">
        <v>143</v>
      </c>
      <c r="P4" s="330" t="s">
        <v>339</v>
      </c>
    </row>
    <row r="6" spans="1:16" x14ac:dyDescent="0.45">
      <c r="B6" s="4" t="s">
        <v>340</v>
      </c>
    </row>
    <row r="7" spans="1:16" x14ac:dyDescent="0.45">
      <c r="B7" s="112" t="str">
        <f>'D&amp;C Forecast UCs, Charges &amp; Xs'!C128</f>
        <v>Lead-in duct</v>
      </c>
      <c r="C7" s="111" t="s">
        <v>341</v>
      </c>
      <c r="D7" s="346">
        <f>'Input data'!C6</f>
        <v>9.3800000000000008</v>
      </c>
      <c r="E7" s="346">
        <f>'Input data'!D6</f>
        <v>9.3800000000000008</v>
      </c>
      <c r="F7" s="346">
        <f>'Input data'!E6</f>
        <v>9.5500000000000007</v>
      </c>
      <c r="G7" s="147">
        <f>'D&amp;C Forecast UCs, Charges &amp; Xs'!D128</f>
        <v>9.94</v>
      </c>
      <c r="H7" s="147">
        <f>'D&amp;C Forecast UCs, Charges &amp; Xs'!E128</f>
        <v>11.09</v>
      </c>
      <c r="I7" s="147">
        <f>'D&amp;C Forecast UCs, Charges &amp; Xs'!F128</f>
        <v>11.64</v>
      </c>
      <c r="J7" s="147">
        <f>'D&amp;C Forecast UCs, Charges &amp; Xs'!G128</f>
        <v>11.96</v>
      </c>
      <c r="K7" s="147">
        <f>'D&amp;C Forecast UCs, Charges &amp; Xs'!H128</f>
        <v>11.278544068758888</v>
      </c>
      <c r="L7" s="147">
        <f>'D&amp;C Forecast UCs, Charges &amp; Xs'!I128</f>
        <v>10.614627985463455</v>
      </c>
      <c r="M7" s="147">
        <f>'D&amp;C Forecast UCs, Charges &amp; Xs'!J128</f>
        <v>10.000637696251657</v>
      </c>
      <c r="N7" s="147">
        <f>'D&amp;C Forecast UCs, Charges &amp; Xs'!K128</f>
        <v>9.4135367837435933</v>
      </c>
      <c r="O7" s="147">
        <f>'D&amp;C Forecast UCs, Charges &amp; Xs'!L128</f>
        <v>8.8599989692781769</v>
      </c>
      <c r="P7" s="326">
        <f>'D&amp;C Forecast UCs, Charges &amp; Xs'!O120</f>
        <v>-7.8801187662056127E-2</v>
      </c>
    </row>
    <row r="8" spans="1:16" x14ac:dyDescent="0.45">
      <c r="B8" s="112" t="str">
        <f>'D&amp;C Forecast UCs, Charges &amp; Xs'!C129</f>
        <v>Spine duct – single bore</v>
      </c>
      <c r="C8" s="111" t="s">
        <v>342</v>
      </c>
      <c r="D8" s="346">
        <f>'Input data'!C7</f>
        <v>0.28000000000000003</v>
      </c>
      <c r="E8" s="346">
        <f>'Input data'!D7</f>
        <v>0.28999999999999998</v>
      </c>
      <c r="F8" s="346">
        <f>'Input data'!E7</f>
        <v>0.3</v>
      </c>
      <c r="G8" s="147">
        <f>'D&amp;C Forecast UCs, Charges &amp; Xs'!D129</f>
        <v>0.31</v>
      </c>
      <c r="H8" s="147">
        <f>'D&amp;C Forecast UCs, Charges &amp; Xs'!E129</f>
        <v>0.35</v>
      </c>
      <c r="I8" s="147">
        <f>'D&amp;C Forecast UCs, Charges &amp; Xs'!F129</f>
        <v>0.37</v>
      </c>
      <c r="J8" s="147">
        <f>'D&amp;C Forecast UCs, Charges &amp; Xs'!G129</f>
        <v>0.39</v>
      </c>
      <c r="K8" s="147">
        <f>'D&amp;C Forecast UCs, Charges &amp; Xs'!H129</f>
        <v>0.3821420086717035</v>
      </c>
      <c r="L8" s="147">
        <f>'D&amp;C Forecast UCs, Charges &amp; Xs'!I129</f>
        <v>0.37372105792767546</v>
      </c>
      <c r="M8" s="147">
        <f>'D&amp;C Forecast UCs, Charges &amp; Xs'!J129</f>
        <v>0.36586747325509966</v>
      </c>
      <c r="N8" s="147">
        <f>'D&amp;C Forecast UCs, Charges &amp; Xs'!K129</f>
        <v>0.35786334568358674</v>
      </c>
      <c r="O8" s="147">
        <f>'D&amp;C Forecast UCs, Charges &amp; Xs'!L129</f>
        <v>0.34999997991422371</v>
      </c>
      <c r="P8" s="326">
        <f>'D&amp;C Forecast UCs, Charges &amp; Xs'!O121</f>
        <v>-4.1971962703303056E-2</v>
      </c>
    </row>
    <row r="9" spans="1:16" x14ac:dyDescent="0.45">
      <c r="B9" s="112" t="str">
        <f>'D&amp;C Forecast UCs, Charges &amp; Xs'!C130</f>
        <v>Spine duct – 2 bores</v>
      </c>
      <c r="C9" s="111" t="s">
        <v>342</v>
      </c>
      <c r="D9" s="346">
        <f>'Input data'!C8</f>
        <v>0.43</v>
      </c>
      <c r="E9" s="346">
        <f>'Input data'!D8</f>
        <v>0.18</v>
      </c>
      <c r="F9" s="346">
        <f>'Input data'!E8</f>
        <v>0.19</v>
      </c>
      <c r="G9" s="147">
        <f>'D&amp;C Forecast UCs, Charges &amp; Xs'!D130</f>
        <v>0.2</v>
      </c>
      <c r="H9" s="147">
        <f>'D&amp;C Forecast UCs, Charges &amp; Xs'!E130</f>
        <v>0.24</v>
      </c>
      <c r="I9" s="147">
        <f>'D&amp;C Forecast UCs, Charges &amp; Xs'!F130</f>
        <v>0.26</v>
      </c>
      <c r="J9" s="147">
        <f>'D&amp;C Forecast UCs, Charges &amp; Xs'!G130</f>
        <v>0.28000000000000003</v>
      </c>
      <c r="K9" s="147">
        <f>'D&amp;C Forecast UCs, Charges &amp; Xs'!H130</f>
        <v>0.29640438137747499</v>
      </c>
      <c r="L9" s="147">
        <f>'D&amp;C Forecast UCs, Charges &amp; Xs'!I130</f>
        <v>0.31321038837854404</v>
      </c>
      <c r="M9" s="147">
        <f>'D&amp;C Forecast UCs, Charges &amp; Xs'!J130</f>
        <v>0.33128927072304087</v>
      </c>
      <c r="N9" s="147">
        <f>'D&amp;C Forecast UCs, Charges &amp; Xs'!K130</f>
        <v>0.35012593123410274</v>
      </c>
      <c r="O9" s="147">
        <f>'D&amp;C Forecast UCs, Charges &amp; Xs'!L130</f>
        <v>0.37000001593236048</v>
      </c>
      <c r="P9" s="326">
        <f>'D&amp;C Forecast UCs, Charges &amp; Xs'!O122</f>
        <v>3.6763809358402622E-2</v>
      </c>
    </row>
    <row r="10" spans="1:16" x14ac:dyDescent="0.45">
      <c r="B10" s="112" t="str">
        <f>'D&amp;C Forecast UCs, Charges &amp; Xs'!C131</f>
        <v>Spine duct – 3+ bores</v>
      </c>
      <c r="C10" s="111" t="s">
        <v>342</v>
      </c>
      <c r="D10" s="346">
        <f>'Input data'!C9</f>
        <v>0.13</v>
      </c>
      <c r="E10" s="346">
        <f>'Input data'!D9</f>
        <v>0.13</v>
      </c>
      <c r="F10" s="346">
        <f>'Input data'!E9</f>
        <v>0.14000000000000001</v>
      </c>
      <c r="G10" s="147">
        <f>'D&amp;C Forecast UCs, Charges &amp; Xs'!D131</f>
        <v>0.14000000000000001</v>
      </c>
      <c r="H10" s="147">
        <f>'D&amp;C Forecast UCs, Charges &amp; Xs'!E131</f>
        <v>0.16</v>
      </c>
      <c r="I10" s="147">
        <f>'D&amp;C Forecast UCs, Charges &amp; Xs'!F131</f>
        <v>0.18</v>
      </c>
      <c r="J10" s="147">
        <f>'D&amp;C Forecast UCs, Charges &amp; Xs'!G131</f>
        <v>0.19</v>
      </c>
      <c r="K10" s="147">
        <f>'D&amp;C Forecast UCs, Charges &amp; Xs'!H131</f>
        <v>0.19589309257017498</v>
      </c>
      <c r="L10" s="147">
        <f>'D&amp;C Forecast UCs, Charges &amp; Xs'!I131</f>
        <v>0.20159922146003501</v>
      </c>
      <c r="M10" s="147">
        <f>'D&amp;C Forecast UCs, Charges &amp; Xs'!J131</f>
        <v>0.20767752054507502</v>
      </c>
      <c r="N10" s="147">
        <f>'D&amp;C Forecast UCs, Charges &amp; Xs'!K131</f>
        <v>0.21375994857123448</v>
      </c>
      <c r="O10" s="147">
        <f>'D&amp;C Forecast UCs, Charges &amp; Xs'!L131</f>
        <v>0.22000000249737586</v>
      </c>
      <c r="P10" s="326">
        <f>'D&amp;C Forecast UCs, Charges &amp; Xs'!O123</f>
        <v>9.1930096954091489E-3</v>
      </c>
    </row>
    <row r="11" spans="1:16" x14ac:dyDescent="0.45">
      <c r="P11" s="327"/>
    </row>
    <row r="12" spans="1:16" x14ac:dyDescent="0.45">
      <c r="B12" s="4" t="s">
        <v>343</v>
      </c>
      <c r="P12" s="328"/>
    </row>
    <row r="13" spans="1:16" x14ac:dyDescent="0.45">
      <c r="B13" s="112" t="str">
        <f>'D&amp;C Forecast UCs, Charges &amp; Xs'!C132</f>
        <v>Joint boxes</v>
      </c>
      <c r="C13" s="111" t="s">
        <v>344</v>
      </c>
      <c r="D13" s="346">
        <f>'Input data'!C10</f>
        <v>2.0499999999999998</v>
      </c>
      <c r="E13" s="346">
        <f>'Input data'!D10</f>
        <v>2.08</v>
      </c>
      <c r="F13" s="346">
        <f>'Input data'!E10</f>
        <v>2.14</v>
      </c>
      <c r="G13" s="147">
        <f>'D&amp;C Forecast UCs, Charges &amp; Xs'!D132</f>
        <v>2.2400000000000002</v>
      </c>
      <c r="H13" s="147">
        <f>'D&amp;C Forecast UCs, Charges &amp; Xs'!E132</f>
        <v>2.5099999999999998</v>
      </c>
      <c r="I13" s="147">
        <f>'D&amp;C Forecast UCs, Charges &amp; Xs'!F132</f>
        <v>2.65</v>
      </c>
      <c r="J13" s="147">
        <f>'D&amp;C Forecast UCs, Charges &amp; Xs'!G132</f>
        <v>2.75</v>
      </c>
      <c r="K13" s="147">
        <f>'D&amp;C Forecast UCs, Charges &amp; Xs'!H132</f>
        <v>2.8165116505370587</v>
      </c>
      <c r="L13" s="147">
        <f>'D&amp;C Forecast UCs, Charges &amp; Xs'!I132</f>
        <v>2.8793158291816576</v>
      </c>
      <c r="M13" s="147">
        <f>'D&amp;C Forecast UCs, Charges &amp; Xs'!J132</f>
        <v>2.9464620143948603</v>
      </c>
      <c r="N13" s="147">
        <f>'D&amp;C Forecast UCs, Charges &amp; Xs'!K132</f>
        <v>3.0126325617707863</v>
      </c>
      <c r="O13" s="147">
        <f>'D&amp;C Forecast UCs, Charges &amp; Xs'!L132</f>
        <v>3.0800000091066417</v>
      </c>
      <c r="P13" s="326">
        <f>'D&amp;C Forecast UCs, Charges &amp; Xs'!O124</f>
        <v>2.3627877510263851E-3</v>
      </c>
    </row>
    <row r="14" spans="1:16" x14ac:dyDescent="0.45">
      <c r="B14" s="112" t="str">
        <f>'D&amp;C Forecast UCs, Charges &amp; Xs'!C133</f>
        <v>Manholes</v>
      </c>
      <c r="C14" s="111" t="s">
        <v>344</v>
      </c>
      <c r="D14" s="346">
        <f>'Input data'!C11</f>
        <v>8.5399999999999991</v>
      </c>
      <c r="E14" s="346">
        <f>'Input data'!D11</f>
        <v>8.66</v>
      </c>
      <c r="F14" s="346">
        <f>'Input data'!E11</f>
        <v>9</v>
      </c>
      <c r="G14" s="147">
        <f>'D&amp;C Forecast UCs, Charges &amp; Xs'!D133</f>
        <v>9.43</v>
      </c>
      <c r="H14" s="147">
        <f>'D&amp;C Forecast UCs, Charges &amp; Xs'!E133</f>
        <v>10.63</v>
      </c>
      <c r="I14" s="147">
        <f>'D&amp;C Forecast UCs, Charges &amp; Xs'!F133</f>
        <v>11.29</v>
      </c>
      <c r="J14" s="147">
        <f>'D&amp;C Forecast UCs, Charges &amp; Xs'!G133</f>
        <v>11.73</v>
      </c>
      <c r="K14" s="147">
        <f>'D&amp;C Forecast UCs, Charges &amp; Xs'!H133</f>
        <v>12.717525136795818</v>
      </c>
      <c r="L14" s="147">
        <f>'D&amp;C Forecast UCs, Charges &amp; Xs'!I133</f>
        <v>13.76418388045114</v>
      </c>
      <c r="M14" s="147">
        <f>'D&amp;C Forecast UCs, Charges &amp; Xs'!J133</f>
        <v>14.911044916939099</v>
      </c>
      <c r="N14" s="147">
        <f>'D&amp;C Forecast UCs, Charges &amp; Xs'!K133</f>
        <v>16.140603184122128</v>
      </c>
      <c r="O14" s="147">
        <f>'D&amp;C Forecast UCs, Charges &amp; Xs'!L133</f>
        <v>17.470001216502631</v>
      </c>
      <c r="P14" s="326">
        <f>'D&amp;C Forecast UCs, Charges &amp; Xs'!O125</f>
        <v>6.2364724211967149E-2</v>
      </c>
    </row>
    <row r="15" spans="1:16" x14ac:dyDescent="0.45">
      <c r="P15" s="328"/>
    </row>
    <row r="16" spans="1:16" x14ac:dyDescent="0.45">
      <c r="B16" s="4" t="s">
        <v>58</v>
      </c>
      <c r="P16" s="328"/>
    </row>
    <row r="17" spans="2:16" x14ac:dyDescent="0.45">
      <c r="B17" s="111" t="s">
        <v>345</v>
      </c>
      <c r="C17" s="111" t="s">
        <v>346</v>
      </c>
      <c r="D17" s="346">
        <f>'Input data'!C13</f>
        <v>11.39</v>
      </c>
      <c r="E17" s="346">
        <f>'Input data'!D13</f>
        <v>11.56</v>
      </c>
      <c r="F17" s="346">
        <f>'Input data'!E13</f>
        <v>4.8499999999999996</v>
      </c>
      <c r="G17" s="147">
        <f>'Poles Fcast UCs, Charges &amp; Xs'!D100</f>
        <v>5.65</v>
      </c>
      <c r="H17" s="147">
        <f>'Poles Fcast UCs, Charges &amp; Xs'!E100</f>
        <v>6.29</v>
      </c>
      <c r="I17" s="147">
        <f>'Poles Fcast UCs, Charges &amp; Xs'!F100</f>
        <v>6.6</v>
      </c>
      <c r="J17" s="147">
        <f>'Poles Fcast UCs, Charges &amp; Xs'!G100</f>
        <v>6.77</v>
      </c>
      <c r="K17" s="147">
        <f>'Poles Fcast UCs, Charges &amp; Xs'!H100</f>
        <v>6.7845297352707599</v>
      </c>
      <c r="L17" s="147">
        <f>'Poles Fcast UCs, Charges &amp; Xs'!I100</f>
        <v>6.786284949274644</v>
      </c>
      <c r="M17" s="147">
        <f>'Poles Fcast UCs, Charges &amp; Xs'!J100</f>
        <v>6.794973613869506</v>
      </c>
      <c r="N17" s="147">
        <f>'Poles Fcast UCs, Charges &amp; Xs'!K100</f>
        <v>6.7978123322109543</v>
      </c>
      <c r="O17" s="147">
        <f>'Poles Fcast UCs, Charges &amp; Xs'!L100</f>
        <v>6.7999998251088707</v>
      </c>
      <c r="P17" s="326">
        <f>'Poles Fcast UCs, Charges &amp; Xs'!O94</f>
        <v>-1.9677072710437171E-2</v>
      </c>
    </row>
    <row r="18" spans="2:16" x14ac:dyDescent="0.45">
      <c r="B18" s="111" t="s">
        <v>347</v>
      </c>
      <c r="C18" s="111" t="s">
        <v>346</v>
      </c>
      <c r="D18" s="346">
        <f>'Input data'!C14</f>
        <v>4.87</v>
      </c>
      <c r="E18" s="346">
        <f>'Input data'!D14</f>
        <v>4.9400000000000004</v>
      </c>
      <c r="F18" s="346">
        <f>'Input data'!E14</f>
        <v>1.86</v>
      </c>
      <c r="G18" s="147">
        <f>'Poles Fcast UCs, Charges &amp; Xs'!D101</f>
        <v>2.21</v>
      </c>
      <c r="H18" s="147">
        <f>'Poles Fcast UCs, Charges &amp; Xs'!E101</f>
        <v>2.46</v>
      </c>
      <c r="I18" s="147">
        <f>'Poles Fcast UCs, Charges &amp; Xs'!F101</f>
        <v>2.58</v>
      </c>
      <c r="J18" s="147">
        <f>'Poles Fcast UCs, Charges &amp; Xs'!G101</f>
        <v>2.64</v>
      </c>
      <c r="K18" s="147">
        <f>'Poles Fcast UCs, Charges &amp; Xs'!H101</f>
        <v>2.4321372726259698</v>
      </c>
      <c r="L18" s="147">
        <f>'Poles Fcast UCs, Charges &amp; Xs'!I101</f>
        <v>2.2360501752839479</v>
      </c>
      <c r="M18" s="147">
        <f>'Poles Fcast UCs, Charges &amp; Xs'!J101</f>
        <v>2.0580566710371837</v>
      </c>
      <c r="N18" s="147">
        <f>'Poles Fcast UCs, Charges &amp; Xs'!K101</f>
        <v>1.8924565641941253</v>
      </c>
      <c r="O18" s="147">
        <f>'Poles Fcast UCs, Charges &amp; Xs'!L101</f>
        <v>1.7399997293272598</v>
      </c>
      <c r="P18" s="326">
        <f>'Poles Fcast UCs, Charges &amp; Xs'!O95</f>
        <v>-0.10055914857079429</v>
      </c>
    </row>
    <row r="19" spans="2:16" x14ac:dyDescent="0.45">
      <c r="B19" s="112" t="str">
        <f>'Poles Fcast UCs, Charges &amp; Xs'!C102</f>
        <v>Pole top equipment</v>
      </c>
      <c r="C19" s="111" t="s">
        <v>348</v>
      </c>
      <c r="D19" s="346">
        <f>'Input data'!C15</f>
        <v>3.53</v>
      </c>
      <c r="E19" s="346">
        <f>'Input data'!D15</f>
        <v>3.58</v>
      </c>
      <c r="F19" s="346">
        <f>'Input data'!E15</f>
        <v>1.42</v>
      </c>
      <c r="G19" s="147">
        <f>'Poles Fcast UCs, Charges &amp; Xs'!D102</f>
        <v>1.66</v>
      </c>
      <c r="H19" s="147">
        <f>'Poles Fcast UCs, Charges &amp; Xs'!E102</f>
        <v>1.85</v>
      </c>
      <c r="I19" s="147">
        <f>'Poles Fcast UCs, Charges &amp; Xs'!F102</f>
        <v>1.94</v>
      </c>
      <c r="J19" s="147">
        <f>'Poles Fcast UCs, Charges &amp; Xs'!G102</f>
        <v>1.98</v>
      </c>
      <c r="K19" s="147">
        <f>'Poles Fcast UCs, Charges &amp; Xs'!H102</f>
        <v>0</v>
      </c>
      <c r="L19" s="147">
        <f>'Poles Fcast UCs, Charges &amp; Xs'!I102</f>
        <v>0</v>
      </c>
      <c r="M19" s="147">
        <f>'Poles Fcast UCs, Charges &amp; Xs'!J102</f>
        <v>0</v>
      </c>
      <c r="N19" s="147">
        <f>'Poles Fcast UCs, Charges &amp; Xs'!K102</f>
        <v>0</v>
      </c>
      <c r="O19" s="147">
        <f>'Poles Fcast UCs, Charges &amp; Xs'!L102</f>
        <v>0</v>
      </c>
      <c r="P19" s="326" t="str">
        <f>'Poles Fcast UCs, Charges &amp; Xs'!O96</f>
        <v>n/a</v>
      </c>
    </row>
    <row r="20" spans="2:16" x14ac:dyDescent="0.45">
      <c r="B20" s="112" t="str">
        <f>'Poles Fcast UCs, Charges &amp; Xs'!C103</f>
        <v>Cable up a pole (per cable)</v>
      </c>
      <c r="C20" s="111" t="s">
        <v>349</v>
      </c>
      <c r="D20" s="346">
        <f>'Input data'!C16</f>
        <v>2.2999999999999998</v>
      </c>
      <c r="E20" s="346">
        <f>'Input data'!D16</f>
        <v>2.33</v>
      </c>
      <c r="F20" s="346">
        <f>'Input data'!E16</f>
        <v>0.94</v>
      </c>
      <c r="G20" s="147">
        <f>'Poles Fcast UCs, Charges &amp; Xs'!D103</f>
        <v>1.1000000000000001</v>
      </c>
      <c r="H20" s="147">
        <f>'Poles Fcast UCs, Charges &amp; Xs'!E103</f>
        <v>1.23</v>
      </c>
      <c r="I20" s="147">
        <f>'Poles Fcast UCs, Charges &amp; Xs'!F103</f>
        <v>1.29</v>
      </c>
      <c r="J20" s="147">
        <f>'Poles Fcast UCs, Charges &amp; Xs'!G103</f>
        <v>1.32</v>
      </c>
      <c r="K20" s="147">
        <f>'Poles Fcast UCs, Charges &amp; Xs'!H103</f>
        <v>0</v>
      </c>
      <c r="L20" s="147">
        <f>'Poles Fcast UCs, Charges &amp; Xs'!I103</f>
        <v>0</v>
      </c>
      <c r="M20" s="147">
        <f>'Poles Fcast UCs, Charges &amp; Xs'!J103</f>
        <v>0</v>
      </c>
      <c r="N20" s="147">
        <f>'Poles Fcast UCs, Charges &amp; Xs'!K103</f>
        <v>0</v>
      </c>
      <c r="O20" s="147">
        <f>'Poles Fcast UCs, Charges &amp; Xs'!L103</f>
        <v>0</v>
      </c>
      <c r="P20" s="326" t="str">
        <f>'Poles Fcast UCs, Charges &amp; Xs'!O97</f>
        <v>n/a</v>
      </c>
    </row>
    <row r="21" spans="2:16" x14ac:dyDescent="0.45">
      <c r="P21" s="328"/>
    </row>
    <row r="22" spans="2:16" x14ac:dyDescent="0.45">
      <c r="B22" s="111" t="s">
        <v>350</v>
      </c>
      <c r="C22" s="111" t="s">
        <v>346</v>
      </c>
      <c r="D22" s="147">
        <f t="shared" ref="D22:F22" si="0">D17*(1-D31) +D18*D31</f>
        <v>5.6072208510821673</v>
      </c>
      <c r="E22" s="147">
        <f t="shared" si="0"/>
        <v>5.6885279193502987</v>
      </c>
      <c r="F22" s="147">
        <f t="shared" si="0"/>
        <v>2.1980813412171289</v>
      </c>
      <c r="G22" s="147">
        <f t="shared" ref="G22:O22" si="1">G17*(1-G31) +G18*G31</f>
        <v>2.5989631484237203</v>
      </c>
      <c r="H22" s="147">
        <f t="shared" si="1"/>
        <v>2.9176849499058206</v>
      </c>
      <c r="I22" s="147">
        <f t="shared" si="1"/>
        <v>3.0052441070070586</v>
      </c>
      <c r="J22" s="147">
        <f t="shared" si="1"/>
        <v>3.0768801397858589</v>
      </c>
      <c r="K22" s="147">
        <f t="shared" si="1"/>
        <v>2.8925425577308546</v>
      </c>
      <c r="L22" s="147">
        <f t="shared" si="1"/>
        <v>2.7173836387511461</v>
      </c>
      <c r="M22" s="147">
        <f t="shared" si="1"/>
        <v>2.559137769375825</v>
      </c>
      <c r="N22" s="147">
        <f t="shared" si="1"/>
        <v>2.4113554779061257</v>
      </c>
      <c r="O22" s="147">
        <f t="shared" si="1"/>
        <v>2.275257247284046</v>
      </c>
    </row>
    <row r="24" spans="2:16" x14ac:dyDescent="0.45">
      <c r="B24" s="4" t="s">
        <v>351</v>
      </c>
    </row>
    <row r="25" spans="2:16" x14ac:dyDescent="0.45">
      <c r="B25" t="s">
        <v>352</v>
      </c>
      <c r="D25" s="348"/>
      <c r="E25" s="348"/>
      <c r="F25" s="343">
        <v>0.9</v>
      </c>
      <c r="G25" s="343">
        <v>0.9</v>
      </c>
      <c r="H25" s="343">
        <v>0.9</v>
      </c>
      <c r="I25" s="343">
        <v>0.9</v>
      </c>
      <c r="J25" s="343">
        <v>0.9</v>
      </c>
      <c r="K25" s="343">
        <v>1</v>
      </c>
      <c r="L25" s="343">
        <v>1</v>
      </c>
      <c r="M25" s="343">
        <v>1</v>
      </c>
      <c r="N25" s="343">
        <v>1</v>
      </c>
      <c r="O25" s="343">
        <v>1</v>
      </c>
    </row>
    <row r="26" spans="2:16" x14ac:dyDescent="0.45">
      <c r="B26" t="s">
        <v>353</v>
      </c>
      <c r="D26" s="348"/>
      <c r="E26" s="348"/>
      <c r="F26" s="343">
        <v>0.1</v>
      </c>
      <c r="G26" s="343">
        <v>0.1</v>
      </c>
      <c r="H26" s="343">
        <v>0.1</v>
      </c>
      <c r="I26" s="343">
        <v>0.1</v>
      </c>
      <c r="J26" s="343">
        <v>0.1</v>
      </c>
      <c r="K26" s="343">
        <v>0</v>
      </c>
      <c r="L26" s="343">
        <v>0</v>
      </c>
      <c r="M26" s="343">
        <v>0</v>
      </c>
      <c r="N26" s="343">
        <v>0</v>
      </c>
      <c r="O26" s="343">
        <v>0</v>
      </c>
    </row>
    <row r="28" spans="2:16" x14ac:dyDescent="0.45">
      <c r="B28" s="4" t="s">
        <v>354</v>
      </c>
      <c r="D28" s="18" t="s">
        <v>336</v>
      </c>
      <c r="E28" s="18" t="s">
        <v>337</v>
      </c>
      <c r="F28" s="18" t="s">
        <v>338</v>
      </c>
      <c r="G28" s="18" t="s">
        <v>92</v>
      </c>
      <c r="H28" s="18" t="s">
        <v>93</v>
      </c>
      <c r="I28" s="18" t="s">
        <v>51</v>
      </c>
      <c r="J28" s="18" t="s">
        <v>138</v>
      </c>
      <c r="K28" s="18" t="s">
        <v>139</v>
      </c>
      <c r="L28" s="18" t="s">
        <v>140</v>
      </c>
      <c r="M28" s="18" t="s">
        <v>141</v>
      </c>
      <c r="N28" s="18" t="s">
        <v>142</v>
      </c>
      <c r="O28" s="18" t="s">
        <v>143</v>
      </c>
    </row>
    <row r="29" spans="2:16" x14ac:dyDescent="0.45">
      <c r="B29" t="str">
        <f>'Poles Fcast UCs, Charges &amp; Xs'!C51</f>
        <v>Total attachments - Single</v>
      </c>
      <c r="G29" s="152">
        <f>'Poles Fcast UCs, Charges &amp; Xs'!D51</f>
        <v>19759791.780524131</v>
      </c>
      <c r="H29" s="152">
        <f>'Poles Fcast UCs, Charges &amp; Xs'!E51</f>
        <v>21448550.214769274</v>
      </c>
      <c r="I29" s="152">
        <f>'Poles Fcast UCs, Charges &amp; Xs'!F51</f>
        <v>22174036.831337366</v>
      </c>
      <c r="J29" s="152">
        <f>'Poles Fcast UCs, Charges &amp; Xs'!G51</f>
        <v>22279419.921067193</v>
      </c>
      <c r="K29" s="152">
        <f>'Poles Fcast UCs, Charges &amp; Xs'!H51</f>
        <v>22384770.627697289</v>
      </c>
      <c r="L29" s="152">
        <f>'Poles Fcast UCs, Charges &amp; Xs'!I51</f>
        <v>22510262.269845221</v>
      </c>
      <c r="M29" s="152">
        <f>'Poles Fcast UCs, Charges &amp; Xs'!J51</f>
        <v>22586576.816116069</v>
      </c>
      <c r="N29" s="152">
        <f>'Poles Fcast UCs, Charges &amp; Xs'!K51</f>
        <v>22661551.549132887</v>
      </c>
      <c r="O29" s="152">
        <f>'Poles Fcast UCs, Charges &amp; Xs'!L51</f>
        <v>22733165.602946855</v>
      </c>
    </row>
    <row r="30" spans="2:16" x14ac:dyDescent="0.45">
      <c r="B30" t="str">
        <f>'Poles Fcast UCs, Charges &amp; Xs'!C52</f>
        <v>Total attachments - Multi</v>
      </c>
      <c r="G30" s="152">
        <f>'Poles Fcast UCs, Charges &amp; Xs'!D52</f>
        <v>2519088.1647919221</v>
      </c>
      <c r="H30" s="152">
        <f>'Poles Fcast UCs, Charges &amp; Xs'!E52</f>
        <v>2910961.3084118553</v>
      </c>
      <c r="I30" s="152">
        <f>'Poles Fcast UCs, Charges &amp; Xs'!F52</f>
        <v>2623092.8529705866</v>
      </c>
      <c r="J30" s="152">
        <f>'Poles Fcast UCs, Charges &amp; Xs'!G52</f>
        <v>2635559.2176472973</v>
      </c>
      <c r="K30" s="152">
        <f>'Poles Fcast UCs, Charges &amp; Xs'!H52</f>
        <v>2648021.7515430772</v>
      </c>
      <c r="L30" s="152">
        <f>'Poles Fcast UCs, Charges &amp; Xs'!I52</f>
        <v>2662866.8711814</v>
      </c>
      <c r="M30" s="152">
        <f>'Poles Fcast UCs, Charges &amp; Xs'!J52</f>
        <v>2671894.5526281018</v>
      </c>
      <c r="N30" s="152">
        <f>'Poles Fcast UCs, Charges &amp; Xs'!K52</f>
        <v>2680763.7399495495</v>
      </c>
      <c r="O30" s="152">
        <f>'Poles Fcast UCs, Charges &amp; Xs'!L52</f>
        <v>2689235.3734261468</v>
      </c>
    </row>
    <row r="31" spans="2:16" x14ac:dyDescent="0.45">
      <c r="B31" t="s">
        <v>355</v>
      </c>
      <c r="D31" s="347">
        <f t="shared" ref="D31:E31" si="2">E31</f>
        <v>0.88692931731868596</v>
      </c>
      <c r="E31" s="347">
        <f t="shared" si="2"/>
        <v>0.88692931731868596</v>
      </c>
      <c r="F31" s="347">
        <f>G31</f>
        <v>0.88692931731868596</v>
      </c>
      <c r="G31" s="178">
        <f t="shared" ref="G31:H31" si="3">G29/SUM(G29:G30)</f>
        <v>0.88692931731868596</v>
      </c>
      <c r="H31" s="178">
        <f t="shared" si="3"/>
        <v>0.88050001307942027</v>
      </c>
      <c r="I31" s="178">
        <f t="shared" ref="I31:O31" si="4">I29/SUM(I29:I30)</f>
        <v>0.89421788382908995</v>
      </c>
      <c r="J31" s="178">
        <f t="shared" si="4"/>
        <v>0.89421788382908984</v>
      </c>
      <c r="K31" s="178">
        <f t="shared" si="4"/>
        <v>0.89421788382908984</v>
      </c>
      <c r="L31" s="178">
        <f t="shared" si="4"/>
        <v>0.89421788382908995</v>
      </c>
      <c r="M31" s="178">
        <f t="shared" si="4"/>
        <v>0.89421788382908984</v>
      </c>
      <c r="N31" s="178">
        <f t="shared" si="4"/>
        <v>0.89421788382908984</v>
      </c>
      <c r="O31" s="178">
        <f t="shared" si="4"/>
        <v>0.89421788382908995</v>
      </c>
    </row>
    <row r="34" spans="2:15" x14ac:dyDescent="0.45">
      <c r="B34" s="4" t="s">
        <v>356</v>
      </c>
      <c r="D34" s="348"/>
      <c r="E34" s="348"/>
      <c r="F34" s="348"/>
      <c r="G34" s="18" t="s">
        <v>92</v>
      </c>
      <c r="H34" s="18" t="s">
        <v>93</v>
      </c>
      <c r="I34" s="18" t="s">
        <v>51</v>
      </c>
      <c r="J34" s="18" t="s">
        <v>138</v>
      </c>
      <c r="K34" s="18" t="s">
        <v>139</v>
      </c>
      <c r="L34" s="18" t="s">
        <v>140</v>
      </c>
      <c r="M34" s="18" t="s">
        <v>141</v>
      </c>
      <c r="N34" s="18" t="s">
        <v>142</v>
      </c>
      <c r="O34" s="18" t="s">
        <v>143</v>
      </c>
    </row>
    <row r="35" spans="2:15" x14ac:dyDescent="0.45">
      <c r="B35" s="6" t="str">
        <f>'D&amp;C Forecast UCs, Charges &amp; Xs'!C66</f>
        <v>Lead-in duct</v>
      </c>
      <c r="C35" s="6"/>
      <c r="D35" s="349"/>
      <c r="E35" s="349"/>
      <c r="F35" s="349"/>
      <c r="G35" s="51">
        <f>'D&amp;C Forecast UCs, Charges &amp; Xs'!D66</f>
        <v>10.548901249787939</v>
      </c>
      <c r="H35" s="51">
        <f>'D&amp;C Forecast UCs, Charges &amp; Xs'!E66</f>
        <v>72.041155492998215</v>
      </c>
      <c r="I35" s="51">
        <f>'D&amp;C Forecast UCs, Charges &amp; Xs'!F66</f>
        <v>84.117568533909292</v>
      </c>
      <c r="J35" s="51">
        <f>'D&amp;C Forecast UCs, Charges &amp; Xs'!G66</f>
        <v>71.148057321217763</v>
      </c>
      <c r="K35" s="51">
        <f>'D&amp;C Forecast UCs, Charges &amp; Xs'!H66</f>
        <v>87.94074772971689</v>
      </c>
      <c r="L35" s="51">
        <f>'D&amp;C Forecast UCs, Charges &amp; Xs'!I66</f>
        <v>90.366887327547559</v>
      </c>
      <c r="M35" s="51">
        <f>'D&amp;C Forecast UCs, Charges &amp; Xs'!J66</f>
        <v>92.33519999229631</v>
      </c>
      <c r="N35" s="51">
        <f>'D&amp;C Forecast UCs, Charges &amp; Xs'!K66</f>
        <v>94.092991949891342</v>
      </c>
      <c r="O35" s="51">
        <f>'D&amp;C Forecast UCs, Charges &amp; Xs'!L66</f>
        <v>95.896548296523733</v>
      </c>
    </row>
    <row r="36" spans="2:15" x14ac:dyDescent="0.45">
      <c r="B36" s="6" t="str">
        <f>'D&amp;C Forecast UCs, Charges &amp; Xs'!C67</f>
        <v>Spine duct – single bore</v>
      </c>
      <c r="D36" s="348"/>
      <c r="E36" s="348"/>
      <c r="F36" s="348"/>
      <c r="G36" s="51">
        <f>'D&amp;C Forecast UCs, Charges &amp; Xs'!D67</f>
        <v>42.841571830591192</v>
      </c>
      <c r="H36" s="51">
        <f>'D&amp;C Forecast UCs, Charges &amp; Xs'!E67</f>
        <v>281.80076981948986</v>
      </c>
      <c r="I36" s="51">
        <f>'D&amp;C Forecast UCs, Charges &amp; Xs'!F67</f>
        <v>363.37348205487831</v>
      </c>
      <c r="J36" s="51">
        <f>'D&amp;C Forecast UCs, Charges &amp; Xs'!G67</f>
        <v>312.66176420614801</v>
      </c>
      <c r="K36" s="51">
        <f>'D&amp;C Forecast UCs, Charges &amp; Xs'!H67</f>
        <v>392.30922911744068</v>
      </c>
      <c r="L36" s="51">
        <f>'D&amp;C Forecast UCs, Charges &amp; Xs'!I67</f>
        <v>406.0595686391307</v>
      </c>
      <c r="M36" s="51">
        <f>'D&amp;C Forecast UCs, Charges &amp; Xs'!J67</f>
        <v>417.28595270540666</v>
      </c>
      <c r="N36" s="51">
        <f>'D&amp;C Forecast UCs, Charges &amp; Xs'!K67</f>
        <v>427.39224674271986</v>
      </c>
      <c r="O36" s="51">
        <f>'D&amp;C Forecast UCs, Charges &amp; Xs'!L67</f>
        <v>437.797074691592</v>
      </c>
    </row>
    <row r="37" spans="2:15" x14ac:dyDescent="0.45">
      <c r="B37" s="6" t="str">
        <f>'D&amp;C Forecast UCs, Charges &amp; Xs'!C68</f>
        <v>Spine duct – 2 bores</v>
      </c>
      <c r="D37" s="348"/>
      <c r="E37" s="348"/>
      <c r="F37" s="348"/>
      <c r="G37" s="51">
        <f>'D&amp;C Forecast UCs, Charges &amp; Xs'!D68</f>
        <v>11.03164007823375</v>
      </c>
      <c r="H37" s="51">
        <f>'D&amp;C Forecast UCs, Charges &amp; Xs'!E68</f>
        <v>72.671243242554283</v>
      </c>
      <c r="I37" s="51">
        <f>'D&amp;C Forecast UCs, Charges &amp; Xs'!F68</f>
        <v>84.142098883567712</v>
      </c>
      <c r="J37" s="51">
        <f>'D&amp;C Forecast UCs, Charges &amp; Xs'!G68</f>
        <v>70.603732694377101</v>
      </c>
      <c r="K37" s="51">
        <f>'D&amp;C Forecast UCs, Charges &amp; Xs'!H68</f>
        <v>86.629460217978874</v>
      </c>
      <c r="L37" s="51">
        <f>'D&amp;C Forecast UCs, Charges &amp; Xs'!I68</f>
        <v>88.663840351673031</v>
      </c>
      <c r="M37" s="51">
        <f>'D&amp;C Forecast UCs, Charges &amp; Xs'!J68</f>
        <v>90.295450838892606</v>
      </c>
      <c r="N37" s="51">
        <f>'D&amp;C Forecast UCs, Charges &amp; Xs'!K68</f>
        <v>91.720410639472746</v>
      </c>
      <c r="O37" s="51">
        <f>'D&amp;C Forecast UCs, Charges &amp; Xs'!L68</f>
        <v>93.171308657775995</v>
      </c>
    </row>
    <row r="38" spans="2:15" x14ac:dyDescent="0.45">
      <c r="B38" s="6" t="str">
        <f>'D&amp;C Forecast UCs, Charges &amp; Xs'!C69</f>
        <v>Spine duct – 3+ bores</v>
      </c>
      <c r="D38" s="348"/>
      <c r="E38" s="348"/>
      <c r="F38" s="348"/>
      <c r="G38" s="51">
        <f>'D&amp;C Forecast UCs, Charges &amp; Xs'!D69</f>
        <v>18.092598983912154</v>
      </c>
      <c r="H38" s="51">
        <f>'D&amp;C Forecast UCs, Charges &amp; Xs'!E69</f>
        <v>107.24597687583116</v>
      </c>
      <c r="I38" s="51">
        <f>'D&amp;C Forecast UCs, Charges &amp; Xs'!F69</f>
        <v>114.55682145719526</v>
      </c>
      <c r="J38" s="51">
        <f>'D&amp;C Forecast UCs, Charges &amp; Xs'!G69</f>
        <v>93.204733589687265</v>
      </c>
      <c r="K38" s="51">
        <f>'D&amp;C Forecast UCs, Charges &amp; Xs'!H69</f>
        <v>111.13070925982674</v>
      </c>
      <c r="L38" s="51">
        <f>'D&amp;C Forecast UCs, Charges &amp; Xs'!I69</f>
        <v>112.13627654439026</v>
      </c>
      <c r="M38" s="51">
        <f>'D&amp;C Forecast UCs, Charges &amp; Xs'!J69</f>
        <v>112.89559229612777</v>
      </c>
      <c r="N38" s="51">
        <f>'D&amp;C Forecast UCs, Charges &amp; Xs'!K69</f>
        <v>113.50277832806523</v>
      </c>
      <c r="O38" s="51">
        <f>'D&amp;C Forecast UCs, Charges &amp; Xs'!L69</f>
        <v>114.09648342186205</v>
      </c>
    </row>
    <row r="39" spans="2:15" x14ac:dyDescent="0.45">
      <c r="B39" s="6" t="str">
        <f>'D&amp;C Forecast UCs, Charges &amp; Xs'!C70</f>
        <v>Joint boxes</v>
      </c>
      <c r="D39" s="348"/>
      <c r="E39" s="348"/>
      <c r="F39" s="348"/>
      <c r="G39" s="51">
        <f>'D&amp;C Forecast UCs, Charges &amp; Xs'!D70</f>
        <v>20.448073135088393</v>
      </c>
      <c r="H39" s="51">
        <f>'D&amp;C Forecast UCs, Charges &amp; Xs'!E70</f>
        <v>117.48707804930304</v>
      </c>
      <c r="I39" s="51">
        <f>'D&amp;C Forecast UCs, Charges &amp; Xs'!F70</f>
        <v>138.5071708819367</v>
      </c>
      <c r="J39" s="51">
        <f>'D&amp;C Forecast UCs, Charges &amp; Xs'!G70</f>
        <v>114.2999793351748</v>
      </c>
      <c r="K39" s="51">
        <f>'D&amp;C Forecast UCs, Charges &amp; Xs'!H70</f>
        <v>138.13621079984978</v>
      </c>
      <c r="L39" s="51">
        <f>'D&amp;C Forecast UCs, Charges &amp; Xs'!I70</f>
        <v>140.38148528934283</v>
      </c>
      <c r="M39" s="51">
        <f>'D&amp;C Forecast UCs, Charges &amp; Xs'!J70</f>
        <v>142.17219741319678</v>
      </c>
      <c r="N39" s="51">
        <f>'D&amp;C Forecast UCs, Charges &amp; Xs'!K70</f>
        <v>143.72207188675807</v>
      </c>
      <c r="O39" s="51">
        <f>'D&amp;C Forecast UCs, Charges &amp; Xs'!L70</f>
        <v>145.29296681766328</v>
      </c>
    </row>
    <row r="40" spans="2:15" x14ac:dyDescent="0.45">
      <c r="B40" s="222" t="str">
        <f>'D&amp;C Forecast UCs, Charges &amp; Xs'!C71</f>
        <v>Manholes</v>
      </c>
      <c r="C40" s="5"/>
      <c r="D40" s="350"/>
      <c r="E40" s="350"/>
      <c r="F40" s="350"/>
      <c r="G40" s="54">
        <f>'D&amp;C Forecast UCs, Charges &amp; Xs'!D71</f>
        <v>13.487300767035535</v>
      </c>
      <c r="H40" s="54">
        <f>'D&amp;C Forecast UCs, Charges &amp; Xs'!E71</f>
        <v>82.785656920133832</v>
      </c>
      <c r="I40" s="54">
        <f>'D&amp;C Forecast UCs, Charges &amp; Xs'!F71</f>
        <v>103.11865186242748</v>
      </c>
      <c r="J40" s="54">
        <f>'D&amp;C Forecast UCs, Charges &amp; Xs'!G71</f>
        <v>86.747719784220692</v>
      </c>
      <c r="K40" s="54">
        <f>'D&amp;C Forecast UCs, Charges &amp; Xs'!H71</f>
        <v>106.68182633066772</v>
      </c>
      <c r="L40" s="54">
        <f>'D&amp;C Forecast UCs, Charges &amp; Xs'!I71</f>
        <v>109.30755833811274</v>
      </c>
      <c r="M40" s="54">
        <f>'D&amp;C Forecast UCs, Charges &amp; Xs'!J71</f>
        <v>111.41651127124321</v>
      </c>
      <c r="N40" s="54">
        <f>'D&amp;C Forecast UCs, Charges &amp; Xs'!K71</f>
        <v>113.26227570272401</v>
      </c>
      <c r="O40" s="54">
        <f>'D&amp;C Forecast UCs, Charges &amp; Xs'!L71</f>
        <v>115.14335984689407</v>
      </c>
    </row>
    <row r="41" spans="2:15" x14ac:dyDescent="0.45">
      <c r="B41" s="6" t="str">
        <f>'D&amp;C Forecast UCs, Charges &amp; Xs'!C72</f>
        <v>Sub-total</v>
      </c>
      <c r="D41" s="348"/>
      <c r="E41" s="348"/>
      <c r="F41" s="348"/>
      <c r="G41" s="51">
        <f>'D&amp;C Forecast UCs, Charges &amp; Xs'!D72</f>
        <v>116.45008604464897</v>
      </c>
      <c r="H41" s="51">
        <f>'D&amp;C Forecast UCs, Charges &amp; Xs'!E72</f>
        <v>734.03188040031046</v>
      </c>
      <c r="I41" s="51">
        <f>'D&amp;C Forecast UCs, Charges &amp; Xs'!F72</f>
        <v>887.81579367391487</v>
      </c>
      <c r="J41" s="51">
        <f>'D&amp;C Forecast UCs, Charges &amp; Xs'!G72</f>
        <v>748.66598693082574</v>
      </c>
      <c r="K41" s="51">
        <f>'D&amp;C Forecast UCs, Charges &amp; Xs'!H72</f>
        <v>922.82818345548071</v>
      </c>
      <c r="L41" s="51">
        <f>'D&amp;C Forecast UCs, Charges &amp; Xs'!I72</f>
        <v>946.91561649019707</v>
      </c>
      <c r="M41" s="51">
        <f>'D&amp;C Forecast UCs, Charges &amp; Xs'!J72</f>
        <v>966.40090451716344</v>
      </c>
      <c r="N41" s="51">
        <f>'D&amp;C Forecast UCs, Charges &amp; Xs'!K72</f>
        <v>983.69277524963127</v>
      </c>
      <c r="O41" s="51">
        <f>'D&amp;C Forecast UCs, Charges &amp; Xs'!L72</f>
        <v>1001.397741732311</v>
      </c>
    </row>
    <row r="42" spans="2:15" x14ac:dyDescent="0.45">
      <c r="D42" s="348"/>
      <c r="E42" s="348"/>
      <c r="F42" s="348"/>
      <c r="G42" s="336" t="b">
        <f t="shared" ref="G42:H42" si="5">G41=SUM(G35:G40)</f>
        <v>1</v>
      </c>
      <c r="H42" s="336" t="b">
        <f t="shared" si="5"/>
        <v>1</v>
      </c>
      <c r="I42" s="336" t="b">
        <f>I41=SUM(I35:I40)</f>
        <v>1</v>
      </c>
      <c r="J42" s="336" t="b">
        <f t="shared" ref="J42:O42" si="6">J41=SUM(J35:J40)</f>
        <v>1</v>
      </c>
      <c r="K42" s="336" t="b">
        <f t="shared" si="6"/>
        <v>1</v>
      </c>
      <c r="L42" s="336" t="b">
        <f t="shared" si="6"/>
        <v>1</v>
      </c>
      <c r="M42" s="336" t="b">
        <f t="shared" si="6"/>
        <v>1</v>
      </c>
      <c r="N42" s="336" t="b">
        <f t="shared" si="6"/>
        <v>1</v>
      </c>
      <c r="O42" s="336" t="b">
        <f t="shared" si="6"/>
        <v>1</v>
      </c>
    </row>
    <row r="43" spans="2:15" x14ac:dyDescent="0.45">
      <c r="D43" s="348"/>
      <c r="E43" s="348"/>
      <c r="F43" s="348"/>
    </row>
    <row r="44" spans="2:15" x14ac:dyDescent="0.45">
      <c r="B44" t="s">
        <v>357</v>
      </c>
      <c r="D44" s="351">
        <f t="shared" ref="D44:E44" si="7">E44</f>
        <v>1.4112645250886706</v>
      </c>
      <c r="E44" s="351">
        <f t="shared" si="7"/>
        <v>1.4112645250886706</v>
      </c>
      <c r="F44" s="351">
        <f>G44</f>
        <v>1.4112645250886706</v>
      </c>
      <c r="G44" s="218">
        <f t="shared" ref="G44:H44" si="8">G41/SUM(G35:G38)</f>
        <v>1.4112645250886706</v>
      </c>
      <c r="H44" s="218">
        <f t="shared" si="8"/>
        <v>1.3752118098281352</v>
      </c>
      <c r="I44" s="218">
        <f>I41/SUM(I35:I38)</f>
        <v>1.3739238205705717</v>
      </c>
      <c r="J44" s="218">
        <f t="shared" ref="J44:O44" si="9">J41/SUM(J35:J38)</f>
        <v>1.3671310903857641</v>
      </c>
      <c r="K44" s="218">
        <f t="shared" si="9"/>
        <v>1.3610831467014342</v>
      </c>
      <c r="L44" s="218">
        <f t="shared" si="9"/>
        <v>1.358117509208316</v>
      </c>
      <c r="M44" s="218">
        <f t="shared" si="9"/>
        <v>1.3557580947225403</v>
      </c>
      <c r="N44" s="218">
        <f t="shared" si="9"/>
        <v>1.3536278620256523</v>
      </c>
      <c r="O44" s="218">
        <f t="shared" si="9"/>
        <v>1.3514843301803279</v>
      </c>
    </row>
  </sheetData>
  <phoneticPr fontId="50" type="noConversion"/>
  <conditionalFormatting sqref="G42:O42">
    <cfRule type="cellIs" dxfId="0" priority="1" stopIfTrue="1" operator="notEqual">
      <formula>TRUE</formula>
    </cfRule>
  </conditionalFormatting>
  <pageMargins left="0.31496062992125984" right="0.31496062992125984" top="0.55118110236220474" bottom="0.55118110236220474" header="0.31496062992125984" footer="0.31496062992125984"/>
  <pageSetup paperSize="9" scale="90" orientation="landscape" r:id="rId1"/>
  <headerFooter>
    <oddHeader>&amp;CPrinted: &amp;D &amp;T&amp;RPage &amp;P of &amp;N&amp;L&amp;"Calibri"&amp;12&amp;K000000Classification: HIGHLY SENSITIVE&amp;1#_x000D_&amp;"Calibri"&amp;11&amp;K000000File: &amp;F Tab: &amp;A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EBA9D4-F9CA-4B58-8170-00C102DEFCE7}">
  <sheetPr codeName="Sheet2">
    <tabColor rgb="FFFF0000"/>
  </sheetPr>
  <dimension ref="A1:A2"/>
  <sheetViews>
    <sheetView zoomScale="88" zoomScaleNormal="88" workbookViewId="0"/>
  </sheetViews>
  <sheetFormatPr defaultColWidth="9" defaultRowHeight="14.25" x14ac:dyDescent="0.45"/>
  <cols>
    <col min="1" max="10" width="11" customWidth="1"/>
  </cols>
  <sheetData>
    <row r="1" spans="1:1" ht="25.5" x14ac:dyDescent="0.75">
      <c r="A1" s="93" t="s">
        <v>49</v>
      </c>
    </row>
    <row r="2" spans="1:1" ht="21" x14ac:dyDescent="0.65">
      <c r="A2" s="150"/>
    </row>
  </sheetData>
  <pageMargins left="0.7" right="0.7" top="0.75" bottom="0.75" header="0.3" footer="0.3"/>
  <pageSetup paperSize="9" orientation="portrait" r:id="rId1"/>
  <headerFooter>
    <oddHeader>&amp;L&amp;"Calibri"&amp;12&amp;K000000Classification: HIGHLY SENSITIVE&amp;1#</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213B6-6284-4D21-8045-D1CC56AEC4C5}">
  <sheetPr codeName="Sheet4">
    <tabColor rgb="FF7030A0"/>
  </sheetPr>
  <dimension ref="A1"/>
  <sheetViews>
    <sheetView workbookViewId="0"/>
  </sheetViews>
  <sheetFormatPr defaultRowHeight="14.25" x14ac:dyDescent="0.45"/>
  <sheetData/>
  <pageMargins left="0.7" right="0.7" top="0.75" bottom="0.75" header="0.3" footer="0.3"/>
  <pageSetup paperSize="9" orientation="portrait" r:id="rId1"/>
  <headerFooter>
    <oddHeader>&amp;L&amp;"Calibri"&amp;12&amp;K000000Classification: HIGHLY SENSITIVE&amp;1#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5BCD4-597E-48A0-ACA7-9FCFF9D9B77D}">
  <sheetPr codeName="Sheet5"/>
  <dimension ref="A1:O198"/>
  <sheetViews>
    <sheetView zoomScale="85" zoomScaleNormal="85" workbookViewId="0">
      <pane ySplit="1" topLeftCell="A3" activePane="bottomLeft" state="frozen"/>
      <selection pane="bottomLeft"/>
    </sheetView>
  </sheetViews>
  <sheetFormatPr defaultColWidth="8.796875" defaultRowHeight="14.25" x14ac:dyDescent="0.45"/>
  <cols>
    <col min="1" max="1" width="17.796875" customWidth="1"/>
    <col min="2" max="2" width="18.73046875" customWidth="1"/>
    <col min="3" max="3" width="12.265625" customWidth="1"/>
    <col min="4" max="4" width="14.265625" customWidth="1"/>
    <col min="5" max="5" width="16.73046875" customWidth="1"/>
    <col min="6" max="8" width="16" customWidth="1"/>
    <col min="9" max="11" width="15.9296875" customWidth="1"/>
  </cols>
  <sheetData>
    <row r="1" spans="1:11" ht="25.5" x14ac:dyDescent="0.75">
      <c r="A1" s="93" t="s">
        <v>392</v>
      </c>
      <c r="E1" s="360" t="s">
        <v>50</v>
      </c>
      <c r="F1" s="362" t="s">
        <v>51</v>
      </c>
      <c r="G1" s="361" t="s">
        <v>52</v>
      </c>
    </row>
    <row r="2" spans="1:11" s="28" customFormat="1" ht="9" customHeight="1" x14ac:dyDescent="0.4"/>
    <row r="3" spans="1:11" ht="21" x14ac:dyDescent="0.45">
      <c r="A3" s="168" t="s">
        <v>53</v>
      </c>
    </row>
    <row r="4" spans="1:11" ht="26.25" x14ac:dyDescent="0.45">
      <c r="B4" s="155"/>
      <c r="C4" s="144" t="s">
        <v>54</v>
      </c>
      <c r="D4" s="144" t="s">
        <v>55</v>
      </c>
      <c r="E4" s="144" t="s">
        <v>56</v>
      </c>
      <c r="F4" s="144" t="s">
        <v>326</v>
      </c>
      <c r="G4" s="144" t="s">
        <v>327</v>
      </c>
      <c r="H4" s="144" t="s">
        <v>328</v>
      </c>
      <c r="I4" s="144" t="s">
        <v>329</v>
      </c>
    </row>
    <row r="5" spans="1:11" x14ac:dyDescent="0.45">
      <c r="A5" s="160" t="s">
        <v>57</v>
      </c>
      <c r="B5" s="155"/>
      <c r="C5" s="155"/>
      <c r="D5" s="155"/>
      <c r="E5" s="155"/>
      <c r="F5" s="155"/>
      <c r="G5" s="155"/>
      <c r="H5" s="155"/>
      <c r="I5" s="155"/>
      <c r="J5" s="155"/>
      <c r="K5" s="155"/>
    </row>
    <row r="6" spans="1:11" x14ac:dyDescent="0.45">
      <c r="A6" s="56" t="s">
        <v>393</v>
      </c>
      <c r="B6" s="28"/>
      <c r="C6" s="345">
        <f>D6</f>
        <v>9.3800000000000008</v>
      </c>
      <c r="D6" s="344">
        <v>9.3800000000000008</v>
      </c>
      <c r="E6" s="344">
        <v>9.5500000000000007</v>
      </c>
      <c r="F6" s="294">
        <v>9.94</v>
      </c>
      <c r="G6" s="294">
        <v>11.09</v>
      </c>
      <c r="H6" s="294">
        <v>11.64</v>
      </c>
      <c r="I6" s="294">
        <v>11.96</v>
      </c>
    </row>
    <row r="7" spans="1:11" x14ac:dyDescent="0.45">
      <c r="A7" s="56" t="s">
        <v>64</v>
      </c>
      <c r="B7" s="28"/>
      <c r="C7" s="344">
        <v>0.28000000000000003</v>
      </c>
      <c r="D7" s="344">
        <v>0.28999999999999998</v>
      </c>
      <c r="E7" s="344">
        <v>0.3</v>
      </c>
      <c r="F7" s="294">
        <v>0.31</v>
      </c>
      <c r="G7" s="294">
        <v>0.35</v>
      </c>
      <c r="H7" s="294">
        <v>0.37</v>
      </c>
      <c r="I7" s="294">
        <v>0.39</v>
      </c>
    </row>
    <row r="8" spans="1:11" x14ac:dyDescent="0.45">
      <c r="A8" s="56" t="s">
        <v>71</v>
      </c>
      <c r="B8" s="28"/>
      <c r="C8" s="344">
        <v>0.43</v>
      </c>
      <c r="D8" s="344">
        <v>0.18</v>
      </c>
      <c r="E8" s="344">
        <v>0.19</v>
      </c>
      <c r="F8" s="294">
        <v>0.2</v>
      </c>
      <c r="G8" s="294">
        <v>0.24</v>
      </c>
      <c r="H8" s="294">
        <v>0.26</v>
      </c>
      <c r="I8" s="294">
        <v>0.28000000000000003</v>
      </c>
    </row>
    <row r="9" spans="1:11" x14ac:dyDescent="0.45">
      <c r="A9" s="56" t="s">
        <v>72</v>
      </c>
      <c r="B9" s="28"/>
      <c r="C9" s="344">
        <v>0.13</v>
      </c>
      <c r="D9" s="344">
        <v>0.13</v>
      </c>
      <c r="E9" s="344">
        <v>0.14000000000000001</v>
      </c>
      <c r="F9" s="294">
        <v>0.14000000000000001</v>
      </c>
      <c r="G9" s="294">
        <v>0.16</v>
      </c>
      <c r="H9" s="294">
        <v>0.18</v>
      </c>
      <c r="I9" s="294">
        <v>0.19</v>
      </c>
    </row>
    <row r="10" spans="1:11" x14ac:dyDescent="0.45">
      <c r="A10" s="56" t="s">
        <v>73</v>
      </c>
      <c r="B10" s="28"/>
      <c r="C10" s="344">
        <v>2.0499999999999998</v>
      </c>
      <c r="D10" s="344">
        <v>2.08</v>
      </c>
      <c r="E10" s="344">
        <v>2.14</v>
      </c>
      <c r="F10" s="294">
        <v>2.2400000000000002</v>
      </c>
      <c r="G10" s="294">
        <v>2.5099999999999998</v>
      </c>
      <c r="H10" s="294">
        <v>2.65</v>
      </c>
      <c r="I10" s="294">
        <v>2.75</v>
      </c>
    </row>
    <row r="11" spans="1:11" x14ac:dyDescent="0.45">
      <c r="A11" s="56" t="s">
        <v>75</v>
      </c>
      <c r="B11" s="28"/>
      <c r="C11" s="344">
        <v>8.5399999999999991</v>
      </c>
      <c r="D11" s="344">
        <v>8.66</v>
      </c>
      <c r="E11" s="344">
        <v>9</v>
      </c>
      <c r="F11" s="294">
        <v>9.43</v>
      </c>
      <c r="G11" s="294">
        <v>10.63</v>
      </c>
      <c r="H11" s="294">
        <v>11.29</v>
      </c>
      <c r="I11" s="294">
        <v>11.73</v>
      </c>
    </row>
    <row r="12" spans="1:11" x14ac:dyDescent="0.45">
      <c r="A12" s="4" t="s">
        <v>58</v>
      </c>
    </row>
    <row r="13" spans="1:11" x14ac:dyDescent="0.45">
      <c r="A13" s="56" t="s">
        <v>394</v>
      </c>
      <c r="B13" s="28"/>
      <c r="C13" s="344">
        <v>11.39</v>
      </c>
      <c r="D13" s="344">
        <v>11.56</v>
      </c>
      <c r="E13" s="344">
        <v>4.8499999999999996</v>
      </c>
      <c r="F13" s="294">
        <v>5.65</v>
      </c>
      <c r="G13" s="294">
        <v>6.29</v>
      </c>
      <c r="H13" s="294">
        <v>6.6</v>
      </c>
      <c r="I13" s="294">
        <v>6.77</v>
      </c>
    </row>
    <row r="14" spans="1:11" x14ac:dyDescent="0.45">
      <c r="A14" s="56" t="s">
        <v>395</v>
      </c>
      <c r="B14" s="28"/>
      <c r="C14" s="344">
        <v>4.87</v>
      </c>
      <c r="D14" s="344">
        <v>4.9400000000000004</v>
      </c>
      <c r="E14" s="344">
        <v>1.86</v>
      </c>
      <c r="F14" s="294">
        <v>2.21</v>
      </c>
      <c r="G14" s="294">
        <v>2.46</v>
      </c>
      <c r="H14" s="294">
        <v>2.58</v>
      </c>
      <c r="I14" s="294">
        <v>2.64</v>
      </c>
    </row>
    <row r="15" spans="1:11" x14ac:dyDescent="0.45">
      <c r="A15" s="56" t="s">
        <v>396</v>
      </c>
      <c r="B15" s="28"/>
      <c r="C15" s="344">
        <v>3.53</v>
      </c>
      <c r="D15" s="344">
        <v>3.58</v>
      </c>
      <c r="E15" s="344">
        <v>1.42</v>
      </c>
      <c r="F15" s="294">
        <v>1.66</v>
      </c>
      <c r="G15" s="294">
        <v>1.85</v>
      </c>
      <c r="H15" s="294">
        <v>1.94</v>
      </c>
      <c r="I15" s="294">
        <v>1.98</v>
      </c>
    </row>
    <row r="16" spans="1:11" x14ac:dyDescent="0.45">
      <c r="A16" s="56" t="s">
        <v>397</v>
      </c>
      <c r="B16" s="28"/>
      <c r="C16" s="344">
        <v>2.2999999999999998</v>
      </c>
      <c r="D16" s="344">
        <v>2.33</v>
      </c>
      <c r="E16" s="344">
        <v>0.94</v>
      </c>
      <c r="F16" s="294">
        <v>1.1000000000000001</v>
      </c>
      <c r="G16" s="294">
        <v>1.23</v>
      </c>
      <c r="H16" s="294">
        <v>1.29</v>
      </c>
      <c r="I16" s="294">
        <v>1.32</v>
      </c>
    </row>
    <row r="17" spans="1:15" s="28" customFormat="1" ht="9" customHeight="1" thickBot="1" x14ac:dyDescent="0.5">
      <c r="A17" s="81"/>
      <c r="B17" s="81"/>
      <c r="C17" s="81"/>
      <c r="D17" s="166"/>
      <c r="E17" s="81"/>
      <c r="F17" s="81"/>
      <c r="G17" s="81"/>
      <c r="H17" s="81"/>
      <c r="I17" s="81"/>
      <c r="J17" s="81"/>
      <c r="K17"/>
    </row>
    <row r="18" spans="1:15" s="28" customFormat="1" ht="9" customHeight="1" x14ac:dyDescent="0.45">
      <c r="D18" s="176"/>
      <c r="K18"/>
    </row>
    <row r="19" spans="1:15" ht="15.75" x14ac:dyDescent="0.45">
      <c r="A19" s="169" t="s">
        <v>59</v>
      </c>
      <c r="L19" s="28"/>
    </row>
    <row r="20" spans="1:15" x14ac:dyDescent="0.45">
      <c r="L20" s="28"/>
    </row>
    <row r="21" spans="1:15" ht="26.25" customHeight="1" x14ac:dyDescent="0.45">
      <c r="A21" s="161" t="s">
        <v>60</v>
      </c>
      <c r="B21" s="352"/>
      <c r="C21" s="28"/>
      <c r="D21" s="94" t="s">
        <v>61</v>
      </c>
      <c r="E21" s="161" t="s">
        <v>62</v>
      </c>
      <c r="L21" s="28"/>
    </row>
    <row r="22" spans="1:15" x14ac:dyDescent="0.45">
      <c r="A22" s="28" t="s">
        <v>63</v>
      </c>
      <c r="B22" s="28"/>
      <c r="C22" s="28"/>
      <c r="D22" s="354">
        <v>10.51</v>
      </c>
      <c r="E22" s="353" t="s">
        <v>442</v>
      </c>
      <c r="L22" s="28"/>
    </row>
    <row r="23" spans="1:15" x14ac:dyDescent="0.45">
      <c r="A23" s="28" t="s">
        <v>64</v>
      </c>
      <c r="B23" s="28"/>
      <c r="C23" s="28"/>
      <c r="D23" s="354">
        <v>8.69</v>
      </c>
      <c r="E23" s="353" t="s">
        <v>442</v>
      </c>
      <c r="L23" s="28"/>
    </row>
    <row r="24" spans="1:15" x14ac:dyDescent="0.45">
      <c r="A24" s="28" t="s">
        <v>65</v>
      </c>
      <c r="B24" s="28"/>
      <c r="C24" s="28"/>
      <c r="D24" s="354">
        <v>0.45333333333333337</v>
      </c>
      <c r="E24" s="353" t="s">
        <v>443</v>
      </c>
      <c r="L24" s="28"/>
    </row>
    <row r="25" spans="1:15" s="28" customFormat="1" ht="9" customHeight="1" thickBot="1" x14ac:dyDescent="0.5">
      <c r="A25" s="81"/>
      <c r="B25" s="81"/>
      <c r="C25" s="81"/>
      <c r="D25" s="166"/>
      <c r="E25" s="81"/>
      <c r="F25" s="81"/>
      <c r="G25" s="81"/>
      <c r="H25" s="81"/>
      <c r="I25" s="81"/>
      <c r="J25" s="81"/>
      <c r="K25"/>
    </row>
    <row r="26" spans="1:15" s="28" customFormat="1" ht="9" customHeight="1" x14ac:dyDescent="0.45">
      <c r="D26" s="176"/>
      <c r="K26"/>
    </row>
    <row r="27" spans="1:15" ht="21" x14ac:dyDescent="0.65">
      <c r="A27" s="83" t="s">
        <v>66</v>
      </c>
    </row>
    <row r="28" spans="1:15" s="28" customFormat="1" ht="9" customHeight="1" x14ac:dyDescent="0.45">
      <c r="A28" s="66"/>
      <c r="F28"/>
      <c r="G28"/>
      <c r="H28"/>
      <c r="I28"/>
    </row>
    <row r="29" spans="1:15" x14ac:dyDescent="0.45">
      <c r="A29" s="66"/>
      <c r="B29" s="28"/>
      <c r="D29" s="28"/>
      <c r="E29" s="28"/>
    </row>
    <row r="30" spans="1:15" ht="15.75" x14ac:dyDescent="0.5">
      <c r="A30" s="8" t="s">
        <v>67</v>
      </c>
      <c r="B30" s="28"/>
      <c r="C30" s="159" t="s">
        <v>68</v>
      </c>
      <c r="D30" s="28"/>
      <c r="E30" s="196" t="s">
        <v>92</v>
      </c>
      <c r="F30" s="196" t="s">
        <v>93</v>
      </c>
      <c r="G30" s="196" t="s">
        <v>51</v>
      </c>
    </row>
    <row r="31" spans="1:15" s="28" customFormat="1" ht="9" customHeight="1" x14ac:dyDescent="0.45">
      <c r="H31"/>
      <c r="I31"/>
    </row>
    <row r="32" spans="1:15" x14ac:dyDescent="0.45">
      <c r="A32" s="28" t="s">
        <v>69</v>
      </c>
      <c r="B32" s="28"/>
      <c r="C32" s="167" t="s">
        <v>70</v>
      </c>
      <c r="D32" s="28"/>
      <c r="E32" s="293">
        <v>108451.31080010424</v>
      </c>
      <c r="F32" s="293">
        <v>113182.21023988165</v>
      </c>
      <c r="G32" s="293">
        <v>90939.157591115814</v>
      </c>
      <c r="I32" s="375"/>
      <c r="J32" s="375"/>
      <c r="K32" s="375"/>
      <c r="M32" s="178"/>
      <c r="N32" s="178"/>
      <c r="O32" s="178"/>
    </row>
    <row r="33" spans="1:15" x14ac:dyDescent="0.45">
      <c r="A33" s="28" t="s">
        <v>64</v>
      </c>
      <c r="B33" s="28"/>
      <c r="C33" s="167" t="s">
        <v>70</v>
      </c>
      <c r="D33" s="28"/>
      <c r="E33" s="293">
        <v>285536.68009643612</v>
      </c>
      <c r="F33" s="293">
        <v>417195.63958633947</v>
      </c>
      <c r="G33" s="293">
        <v>430290.57063175144</v>
      </c>
      <c r="I33" s="375"/>
      <c r="J33" s="375"/>
      <c r="K33" s="375"/>
      <c r="M33" s="178"/>
      <c r="N33" s="178"/>
      <c r="O33" s="178"/>
    </row>
    <row r="34" spans="1:15" x14ac:dyDescent="0.45">
      <c r="A34" s="28" t="s">
        <v>71</v>
      </c>
      <c r="B34" s="28"/>
      <c r="C34" s="167" t="s">
        <v>70</v>
      </c>
      <c r="D34" s="28"/>
      <c r="E34" s="293">
        <v>61989.499747717033</v>
      </c>
      <c r="F34" s="293">
        <v>53377.6102691653</v>
      </c>
      <c r="G34" s="293">
        <v>72358.418892454385</v>
      </c>
      <c r="I34" s="375"/>
      <c r="J34" s="375"/>
      <c r="K34" s="375"/>
      <c r="M34" s="178"/>
      <c r="N34" s="178"/>
      <c r="O34" s="178"/>
    </row>
    <row r="35" spans="1:15" x14ac:dyDescent="0.45">
      <c r="A35" s="28" t="s">
        <v>72</v>
      </c>
      <c r="B35" s="28"/>
      <c r="C35" s="167" t="s">
        <v>70</v>
      </c>
      <c r="D35" s="28"/>
      <c r="E35" s="293">
        <v>62204.433199120969</v>
      </c>
      <c r="F35" s="293">
        <v>54831.7939380143</v>
      </c>
      <c r="G35" s="293">
        <v>50666.730123942034</v>
      </c>
      <c r="I35" s="375"/>
      <c r="J35" s="375"/>
      <c r="K35" s="375"/>
      <c r="M35" s="178"/>
      <c r="N35" s="178"/>
      <c r="O35" s="178"/>
    </row>
    <row r="36" spans="1:15" x14ac:dyDescent="0.45">
      <c r="A36" s="28" t="s">
        <v>73</v>
      </c>
      <c r="B36" s="28"/>
      <c r="C36" s="167" t="s">
        <v>74</v>
      </c>
      <c r="D36" s="28"/>
      <c r="E36" s="293">
        <v>7739610.3417109717</v>
      </c>
      <c r="F36" s="293">
        <v>5835754.5796198752</v>
      </c>
      <c r="G36" s="293">
        <v>8018331.1438497743</v>
      </c>
      <c r="I36" s="375"/>
      <c r="J36" s="375"/>
      <c r="K36" s="375"/>
      <c r="M36" s="178"/>
      <c r="N36" s="178"/>
      <c r="O36" s="178"/>
    </row>
    <row r="37" spans="1:15" x14ac:dyDescent="0.45">
      <c r="A37" s="28" t="s">
        <v>75</v>
      </c>
      <c r="B37" s="28"/>
      <c r="C37" s="167" t="s">
        <v>74</v>
      </c>
      <c r="D37" s="28"/>
      <c r="E37" s="293">
        <v>196164.26722301039</v>
      </c>
      <c r="F37" s="293">
        <v>181023.11618585562</v>
      </c>
      <c r="G37" s="293">
        <v>253916.23590253637</v>
      </c>
      <c r="I37" s="375"/>
      <c r="J37" s="375"/>
      <c r="K37" s="375"/>
      <c r="M37" s="178"/>
      <c r="N37" s="178"/>
      <c r="O37" s="178"/>
    </row>
    <row r="38" spans="1:15" s="28" customFormat="1" ht="9" customHeight="1" thickBot="1" x14ac:dyDescent="0.45">
      <c r="A38" s="81"/>
      <c r="B38" s="81"/>
      <c r="C38" s="81"/>
      <c r="D38" s="166"/>
      <c r="E38" s="81"/>
      <c r="F38" s="81"/>
      <c r="G38" s="81"/>
      <c r="H38" s="81"/>
      <c r="I38" s="81"/>
      <c r="J38" s="81"/>
    </row>
    <row r="39" spans="1:15" s="28" customFormat="1" ht="9" customHeight="1" x14ac:dyDescent="0.4">
      <c r="C39" s="70"/>
      <c r="D39" s="39"/>
    </row>
    <row r="40" spans="1:15" ht="15.75" x14ac:dyDescent="0.45">
      <c r="A40" s="169" t="s">
        <v>76</v>
      </c>
      <c r="E40" s="204" t="s">
        <v>92</v>
      </c>
      <c r="F40" s="204" t="s">
        <v>93</v>
      </c>
      <c r="G40" s="204" t="s">
        <v>51</v>
      </c>
    </row>
    <row r="41" spans="1:15" ht="9" customHeight="1" x14ac:dyDescent="0.45"/>
    <row r="42" spans="1:15" x14ac:dyDescent="0.45">
      <c r="A42" s="28" t="s">
        <v>77</v>
      </c>
      <c r="B42" s="28"/>
      <c r="C42" s="28"/>
      <c r="D42" s="28"/>
      <c r="E42" s="292">
        <v>23.955133512586301</v>
      </c>
      <c r="F42" s="292">
        <v>99.703105330746084</v>
      </c>
      <c r="G42" s="292">
        <v>87.584975013439589</v>
      </c>
      <c r="I42" s="375"/>
      <c r="J42" s="375"/>
      <c r="K42" s="375"/>
    </row>
    <row r="43" spans="1:15" x14ac:dyDescent="0.45">
      <c r="A43" s="28" t="s">
        <v>78</v>
      </c>
      <c r="B43" s="28"/>
      <c r="C43" s="28"/>
      <c r="D43" s="28"/>
      <c r="E43" s="292">
        <v>298.72853960187535</v>
      </c>
      <c r="F43" s="292">
        <v>358.75660365545167</v>
      </c>
      <c r="G43" s="292">
        <v>331.01110707154567</v>
      </c>
      <c r="I43" s="375"/>
      <c r="J43" s="375"/>
      <c r="K43" s="375"/>
    </row>
    <row r="44" spans="1:15" x14ac:dyDescent="0.45">
      <c r="A44" s="28" t="s">
        <v>79</v>
      </c>
      <c r="B44" s="28"/>
      <c r="C44" s="28"/>
      <c r="D44" s="28"/>
      <c r="E44" s="292">
        <v>-895.55332201265287</v>
      </c>
      <c r="F44" s="292">
        <v>-354.44972963335204</v>
      </c>
      <c r="G44" s="292">
        <v>-271.46931461289068</v>
      </c>
      <c r="I44" s="375"/>
      <c r="J44" s="375"/>
      <c r="K44" s="375"/>
    </row>
    <row r="45" spans="1:15" x14ac:dyDescent="0.45">
      <c r="A45" s="28" t="s">
        <v>80</v>
      </c>
      <c r="B45" s="28"/>
      <c r="C45" s="28"/>
      <c r="D45" s="28"/>
      <c r="E45" s="292">
        <v>23.158180633459544</v>
      </c>
      <c r="F45" s="292">
        <v>-35.106718346747925</v>
      </c>
      <c r="G45" s="292">
        <v>-27.939991837378937</v>
      </c>
      <c r="I45" s="375"/>
      <c r="J45" s="375"/>
      <c r="K45" s="375"/>
    </row>
    <row r="46" spans="1:15" x14ac:dyDescent="0.45">
      <c r="A46" s="60" t="s">
        <v>81</v>
      </c>
      <c r="B46" s="60"/>
      <c r="C46" s="60"/>
      <c r="D46" s="60"/>
      <c r="E46" s="292">
        <v>0</v>
      </c>
      <c r="F46" s="292">
        <v>0</v>
      </c>
      <c r="G46" s="292">
        <v>0</v>
      </c>
      <c r="I46" s="375"/>
      <c r="J46" s="375"/>
      <c r="K46" s="375"/>
    </row>
    <row r="47" spans="1:15" x14ac:dyDescent="0.45">
      <c r="A47" s="28" t="s">
        <v>82</v>
      </c>
      <c r="B47" s="28"/>
      <c r="C47" s="28"/>
      <c r="D47" s="28"/>
      <c r="E47" s="95">
        <f>SUM(E42:E46)</f>
        <v>-549.71146826473159</v>
      </c>
      <c r="F47" s="95">
        <f t="shared" ref="F47:G47" si="0">SUM(F42:F46)</f>
        <v>68.903261006097807</v>
      </c>
      <c r="G47" s="95">
        <f t="shared" si="0"/>
        <v>119.18677563471563</v>
      </c>
    </row>
    <row r="48" spans="1:15" ht="9" customHeight="1" x14ac:dyDescent="0.45">
      <c r="A48" s="28"/>
      <c r="B48" s="28"/>
      <c r="C48" s="28"/>
      <c r="D48" s="28"/>
      <c r="E48" s="95"/>
      <c r="F48" s="95"/>
      <c r="G48" s="95"/>
    </row>
    <row r="49" spans="1:11" x14ac:dyDescent="0.45">
      <c r="A49" s="28" t="s">
        <v>83</v>
      </c>
      <c r="B49" s="28"/>
      <c r="C49" s="28"/>
      <c r="D49" s="28"/>
      <c r="E49" s="95"/>
      <c r="F49" s="95"/>
      <c r="G49" s="95"/>
    </row>
    <row r="50" spans="1:11" x14ac:dyDescent="0.45">
      <c r="A50" s="28" t="s">
        <v>84</v>
      </c>
      <c r="B50" s="28"/>
      <c r="C50" s="28"/>
      <c r="D50" s="28"/>
      <c r="E50" s="292">
        <v>6509.9016684970757</v>
      </c>
      <c r="F50" s="292">
        <v>6201.9176034768743</v>
      </c>
      <c r="G50" s="292">
        <v>6191.6896614985208</v>
      </c>
      <c r="I50" s="375"/>
      <c r="J50" s="375"/>
      <c r="K50" s="375"/>
    </row>
    <row r="51" spans="1:11" x14ac:dyDescent="0.45">
      <c r="A51" s="28" t="s">
        <v>85</v>
      </c>
      <c r="B51" s="28"/>
      <c r="C51" s="28"/>
      <c r="D51" s="28"/>
      <c r="E51" s="292">
        <v>-159.84581232914391</v>
      </c>
      <c r="F51" s="292">
        <v>-99.026488978889091</v>
      </c>
      <c r="G51" s="292">
        <v>-149.67242129305393</v>
      </c>
      <c r="I51" s="375"/>
      <c r="J51" s="375"/>
      <c r="K51" s="375"/>
    </row>
    <row r="52" spans="1:11" x14ac:dyDescent="0.45">
      <c r="A52" s="28" t="s">
        <v>86</v>
      </c>
      <c r="B52" s="28"/>
      <c r="C52" s="28"/>
      <c r="D52" s="28"/>
      <c r="E52" s="292">
        <v>0</v>
      </c>
      <c r="F52" s="292">
        <v>0</v>
      </c>
      <c r="G52" s="292">
        <v>0</v>
      </c>
      <c r="I52" s="375"/>
      <c r="J52" s="375"/>
      <c r="K52" s="375"/>
    </row>
    <row r="53" spans="1:11" x14ac:dyDescent="0.45">
      <c r="A53" s="60" t="s">
        <v>87</v>
      </c>
      <c r="B53" s="60"/>
      <c r="C53" s="60"/>
      <c r="D53" s="60"/>
      <c r="E53" s="292">
        <v>59.214092914511546</v>
      </c>
      <c r="F53" s="292">
        <v>22.2490641433299</v>
      </c>
      <c r="G53" s="292">
        <v>18.666154212311849</v>
      </c>
      <c r="I53" s="375"/>
      <c r="J53" s="375"/>
      <c r="K53" s="375"/>
    </row>
    <row r="54" spans="1:11" x14ac:dyDescent="0.45">
      <c r="A54" s="28" t="s">
        <v>88</v>
      </c>
      <c r="B54" s="28"/>
      <c r="C54" s="28"/>
      <c r="D54" s="28"/>
      <c r="E54" s="95">
        <f>SUM(E50:E53)</f>
        <v>6409.2699490824434</v>
      </c>
      <c r="F54" s="95">
        <f t="shared" ref="F54:G54" si="1">SUM(F50:F53)</f>
        <v>6125.1401786413153</v>
      </c>
      <c r="G54" s="95">
        <f t="shared" si="1"/>
        <v>6060.6833944177788</v>
      </c>
    </row>
    <row r="55" spans="1:11" ht="9" customHeight="1" x14ac:dyDescent="0.45">
      <c r="E55" s="157"/>
      <c r="F55" s="157"/>
      <c r="G55" s="157"/>
    </row>
    <row r="56" spans="1:11" x14ac:dyDescent="0.45">
      <c r="A56" s="4" t="s">
        <v>89</v>
      </c>
      <c r="B56" s="28"/>
      <c r="C56" s="28"/>
      <c r="E56" s="28"/>
      <c r="F56" s="28"/>
      <c r="G56" s="28"/>
    </row>
    <row r="57" spans="1:11" x14ac:dyDescent="0.45">
      <c r="A57" s="28"/>
      <c r="B57" s="28"/>
      <c r="C57" s="28"/>
      <c r="D57" s="28"/>
      <c r="E57" s="204" t="s">
        <v>92</v>
      </c>
      <c r="F57" s="204" t="s">
        <v>93</v>
      </c>
      <c r="G57" s="204" t="s">
        <v>51</v>
      </c>
    </row>
    <row r="58" spans="1:11" x14ac:dyDescent="0.45">
      <c r="A58" s="28" t="s">
        <v>398</v>
      </c>
      <c r="B58" s="28" t="s">
        <v>95</v>
      </c>
      <c r="C58" s="28"/>
      <c r="D58" s="28"/>
      <c r="E58" s="292">
        <v>1625.8728910900854</v>
      </c>
      <c r="F58" s="292">
        <f>E62</f>
        <v>2286.3840420909446</v>
      </c>
      <c r="G58" s="292">
        <f>F62</f>
        <v>2899.1995423633516</v>
      </c>
      <c r="I58" s="375"/>
    </row>
    <row r="59" spans="1:11" x14ac:dyDescent="0.45">
      <c r="A59" s="28" t="s">
        <v>399</v>
      </c>
      <c r="B59" s="28" t="s">
        <v>181</v>
      </c>
      <c r="C59" s="28"/>
      <c r="D59" s="28"/>
      <c r="E59" s="292">
        <v>371.16531053668234</v>
      </c>
      <c r="F59" s="292">
        <v>489.97463999906387</v>
      </c>
      <c r="G59" s="292">
        <v>495.70619785554618</v>
      </c>
      <c r="I59" s="375"/>
      <c r="J59" s="375"/>
      <c r="K59" s="375"/>
    </row>
    <row r="60" spans="1:11" x14ac:dyDescent="0.45">
      <c r="A60" s="28"/>
      <c r="B60" s="28" t="s">
        <v>182</v>
      </c>
      <c r="C60" s="28"/>
      <c r="D60" s="28"/>
      <c r="E60" s="292">
        <v>289.34584046417717</v>
      </c>
      <c r="F60" s="292">
        <v>122.84086027334286</v>
      </c>
      <c r="G60" s="292">
        <v>112.40602013011274</v>
      </c>
      <c r="I60" s="375"/>
      <c r="J60" s="375"/>
      <c r="K60" s="375"/>
    </row>
    <row r="61" spans="1:11" x14ac:dyDescent="0.45">
      <c r="A61" s="28"/>
      <c r="B61" s="28" t="s">
        <v>183</v>
      </c>
      <c r="C61" s="28"/>
      <c r="D61" s="28"/>
      <c r="E61" s="292">
        <v>0</v>
      </c>
      <c r="F61" s="292">
        <v>0</v>
      </c>
      <c r="G61" s="292">
        <v>0</v>
      </c>
      <c r="I61" s="375"/>
      <c r="J61" s="375"/>
      <c r="K61" s="375"/>
    </row>
    <row r="62" spans="1:11" x14ac:dyDescent="0.45">
      <c r="A62" s="28"/>
      <c r="B62" s="28" t="s">
        <v>96</v>
      </c>
      <c r="C62" s="28"/>
      <c r="D62" s="28"/>
      <c r="E62" s="292">
        <f>SUM(E58:E61)</f>
        <v>2286.3840420909446</v>
      </c>
      <c r="F62" s="292">
        <f t="shared" ref="F62:G62" si="2">SUM(F58:F61)</f>
        <v>2899.1995423633516</v>
      </c>
      <c r="G62" s="292">
        <f t="shared" si="2"/>
        <v>3507.3117603490105</v>
      </c>
    </row>
    <row r="63" spans="1:11" s="197" customFormat="1" ht="13.15" x14ac:dyDescent="0.4">
      <c r="A63" s="28"/>
      <c r="B63" s="28"/>
      <c r="C63" s="28"/>
      <c r="D63" s="28"/>
      <c r="E63" s="95"/>
      <c r="F63" s="95"/>
      <c r="G63" s="95"/>
    </row>
    <row r="64" spans="1:11" x14ac:dyDescent="0.45">
      <c r="A64" s="28" t="s">
        <v>398</v>
      </c>
      <c r="B64" s="28" t="s">
        <v>184</v>
      </c>
      <c r="C64" s="28"/>
      <c r="D64" s="28"/>
      <c r="E64" s="292">
        <v>1528.6273035350068</v>
      </c>
      <c r="F64" s="292">
        <f>E69</f>
        <v>2086.8500432809674</v>
      </c>
      <c r="G64" s="292">
        <f>F69</f>
        <v>2779.9618543774086</v>
      </c>
      <c r="I64" s="375"/>
    </row>
    <row r="65" spans="1:11" x14ac:dyDescent="0.45">
      <c r="A65" s="28" t="s">
        <v>400</v>
      </c>
      <c r="B65" s="28" t="s">
        <v>185</v>
      </c>
      <c r="C65" s="28"/>
      <c r="D65" s="28"/>
      <c r="E65" s="292">
        <v>410.01584213972569</v>
      </c>
      <c r="F65" s="292">
        <v>691.60455881936184</v>
      </c>
      <c r="G65" s="292">
        <v>370.30529818021097</v>
      </c>
      <c r="I65" s="375"/>
      <c r="J65" s="375"/>
      <c r="K65" s="375"/>
    </row>
    <row r="66" spans="1:11" x14ac:dyDescent="0.45">
      <c r="A66" s="28"/>
      <c r="B66" s="28" t="s">
        <v>101</v>
      </c>
      <c r="C66" s="28"/>
      <c r="D66" s="28"/>
      <c r="E66" s="292">
        <v>-46.162801734494295</v>
      </c>
      <c r="F66" s="292">
        <v>-82.569187602612942</v>
      </c>
      <c r="G66" s="292">
        <v>-68.943826514709073</v>
      </c>
      <c r="I66" s="375"/>
      <c r="J66" s="375"/>
      <c r="K66" s="375"/>
    </row>
    <row r="67" spans="1:11" x14ac:dyDescent="0.45">
      <c r="A67" s="28"/>
      <c r="B67" s="28" t="s">
        <v>182</v>
      </c>
      <c r="C67" s="28"/>
      <c r="D67" s="28"/>
      <c r="E67" s="292">
        <v>194.36969934072917</v>
      </c>
      <c r="F67" s="292">
        <v>84.076439879692515</v>
      </c>
      <c r="G67" s="292">
        <v>98.900983771299707</v>
      </c>
      <c r="I67" s="375"/>
      <c r="J67" s="375"/>
      <c r="K67" s="375"/>
    </row>
    <row r="68" spans="1:11" x14ac:dyDescent="0.45">
      <c r="A68" s="28"/>
      <c r="B68" s="28" t="s">
        <v>401</v>
      </c>
      <c r="C68" s="28"/>
      <c r="D68" s="28"/>
      <c r="E68" s="292">
        <v>0</v>
      </c>
      <c r="F68" s="292">
        <v>0</v>
      </c>
      <c r="G68" s="292">
        <v>0</v>
      </c>
      <c r="I68" s="375"/>
      <c r="J68" s="375"/>
      <c r="K68" s="375"/>
    </row>
    <row r="69" spans="1:11" x14ac:dyDescent="0.45">
      <c r="A69" s="28"/>
      <c r="B69" s="28" t="s">
        <v>99</v>
      </c>
      <c r="C69" s="28"/>
      <c r="D69" s="28"/>
      <c r="E69" s="292">
        <f>SUM(E64:E68)</f>
        <v>2086.8500432809674</v>
      </c>
      <c r="F69" s="292">
        <f t="shared" ref="F69:G69" si="3">SUM(F64:F68)</f>
        <v>2779.9618543774086</v>
      </c>
      <c r="G69" s="292">
        <f t="shared" si="3"/>
        <v>3180.2243098142103</v>
      </c>
    </row>
    <row r="70" spans="1:11" s="197" customFormat="1" ht="13.15" x14ac:dyDescent="0.4">
      <c r="A70" s="28"/>
      <c r="B70" s="28"/>
      <c r="C70" s="28"/>
      <c r="D70" s="28"/>
      <c r="E70" s="95"/>
      <c r="F70" s="95"/>
      <c r="G70" s="95"/>
    </row>
    <row r="71" spans="1:11" x14ac:dyDescent="0.45">
      <c r="A71" s="28" t="s">
        <v>402</v>
      </c>
      <c r="B71" s="28" t="s">
        <v>95</v>
      </c>
      <c r="C71" s="28"/>
      <c r="D71" s="28"/>
      <c r="E71" s="292">
        <v>6952.5110808378004</v>
      </c>
      <c r="F71" s="292">
        <f>E75</f>
        <v>7823.7929857138733</v>
      </c>
      <c r="G71" s="292">
        <f>F75</f>
        <v>8089.7362334093086</v>
      </c>
      <c r="I71" s="375"/>
    </row>
    <row r="72" spans="1:11" x14ac:dyDescent="0.45">
      <c r="A72" s="28" t="s">
        <v>399</v>
      </c>
      <c r="B72" s="28" t="s">
        <v>181</v>
      </c>
      <c r="C72" s="28"/>
      <c r="D72" s="28"/>
      <c r="E72" s="292">
        <v>0</v>
      </c>
      <c r="F72" s="292">
        <v>0</v>
      </c>
      <c r="G72" s="292">
        <v>0</v>
      </c>
      <c r="I72" s="375"/>
      <c r="J72" s="375"/>
      <c r="K72" s="375"/>
    </row>
    <row r="73" spans="1:11" x14ac:dyDescent="0.45">
      <c r="A73" s="28"/>
      <c r="B73" s="28" t="s">
        <v>182</v>
      </c>
      <c r="C73" s="28"/>
      <c r="D73" s="28"/>
      <c r="E73" s="292">
        <v>881.87299803359144</v>
      </c>
      <c r="F73" s="292">
        <v>265.94324769543528</v>
      </c>
      <c r="G73" s="292">
        <v>273.04151636064773</v>
      </c>
      <c r="I73" s="375"/>
      <c r="J73" s="375"/>
      <c r="K73" s="375"/>
    </row>
    <row r="74" spans="1:11" x14ac:dyDescent="0.45">
      <c r="A74" s="28"/>
      <c r="B74" s="28" t="s">
        <v>183</v>
      </c>
      <c r="C74" s="28"/>
      <c r="D74" s="28"/>
      <c r="E74" s="292">
        <v>-10.591093157517944</v>
      </c>
      <c r="F74" s="292">
        <v>0</v>
      </c>
      <c r="G74" s="292">
        <v>0</v>
      </c>
      <c r="I74" s="375"/>
      <c r="J74" s="375"/>
      <c r="K74" s="375"/>
    </row>
    <row r="75" spans="1:11" x14ac:dyDescent="0.45">
      <c r="A75" s="28"/>
      <c r="B75" s="28" t="s">
        <v>96</v>
      </c>
      <c r="C75" s="28"/>
      <c r="D75" s="28"/>
      <c r="E75" s="292">
        <f>SUM(E71:E74)</f>
        <v>7823.7929857138733</v>
      </c>
      <c r="F75" s="292">
        <f t="shared" ref="F75:G75" si="4">SUM(F71:F74)</f>
        <v>8089.7362334093086</v>
      </c>
      <c r="G75" s="292">
        <f t="shared" si="4"/>
        <v>8362.7777497699572</v>
      </c>
    </row>
    <row r="76" spans="1:11" s="197" customFormat="1" ht="13.15" x14ac:dyDescent="0.4">
      <c r="A76" s="28"/>
      <c r="B76" s="28"/>
      <c r="C76" s="28"/>
      <c r="D76" s="28"/>
      <c r="E76" s="95"/>
      <c r="F76" s="95"/>
      <c r="G76" s="95"/>
    </row>
    <row r="77" spans="1:11" x14ac:dyDescent="0.45">
      <c r="A77" s="28" t="s">
        <v>402</v>
      </c>
      <c r="B77" s="28" t="s">
        <v>184</v>
      </c>
      <c r="C77" s="28"/>
      <c r="D77" s="28"/>
      <c r="E77" s="292">
        <v>4304.7210967013953</v>
      </c>
      <c r="F77" s="292">
        <f>E82</f>
        <v>4594.4401590942743</v>
      </c>
      <c r="G77" s="292">
        <f>F82</f>
        <v>4666.8591326486185</v>
      </c>
      <c r="I77" s="375"/>
    </row>
    <row r="78" spans="1:11" x14ac:dyDescent="0.45">
      <c r="A78" s="28" t="s">
        <v>400</v>
      </c>
      <c r="B78" s="28" t="s">
        <v>185</v>
      </c>
      <c r="C78" s="28"/>
      <c r="D78" s="28"/>
      <c r="E78" s="292">
        <v>0</v>
      </c>
      <c r="F78" s="292">
        <v>0</v>
      </c>
      <c r="G78" s="292">
        <v>0</v>
      </c>
      <c r="I78" s="375"/>
      <c r="J78" s="375"/>
      <c r="K78" s="375"/>
    </row>
    <row r="79" spans="1:11" x14ac:dyDescent="0.45">
      <c r="A79" s="28"/>
      <c r="B79" s="28" t="s">
        <v>101</v>
      </c>
      <c r="C79" s="28"/>
      <c r="D79" s="28"/>
      <c r="E79" s="292">
        <v>-140.30413353436774</v>
      </c>
      <c r="F79" s="292">
        <v>-103.67109871337563</v>
      </c>
      <c r="G79" s="292">
        <v>-211.23577614484824</v>
      </c>
      <c r="I79" s="375"/>
      <c r="J79" s="375"/>
      <c r="K79" s="375"/>
    </row>
    <row r="80" spans="1:11" x14ac:dyDescent="0.45">
      <c r="A80" s="28"/>
      <c r="B80" s="28" t="s">
        <v>182</v>
      </c>
      <c r="C80" s="28"/>
      <c r="D80" s="28"/>
      <c r="E80" s="292">
        <v>441.3576495054516</v>
      </c>
      <c r="F80" s="292">
        <v>176.09007226771956</v>
      </c>
      <c r="G80" s="292">
        <v>139.47166778974841</v>
      </c>
      <c r="I80" s="375"/>
      <c r="J80" s="375"/>
      <c r="K80" s="375"/>
    </row>
    <row r="81" spans="1:11" x14ac:dyDescent="0.45">
      <c r="A81" s="28"/>
      <c r="B81" s="28" t="s">
        <v>401</v>
      </c>
      <c r="C81" s="28"/>
      <c r="D81" s="28"/>
      <c r="E81" s="292">
        <v>-11.334453578204762</v>
      </c>
      <c r="F81" s="292">
        <v>0</v>
      </c>
      <c r="G81" s="292">
        <v>5.4244379409591694</v>
      </c>
      <c r="I81" s="375"/>
      <c r="J81" s="375"/>
      <c r="K81" s="375"/>
    </row>
    <row r="82" spans="1:11" x14ac:dyDescent="0.45">
      <c r="A82" s="28"/>
      <c r="B82" s="28" t="s">
        <v>99</v>
      </c>
      <c r="C82" s="28"/>
      <c r="D82" s="28"/>
      <c r="E82" s="292">
        <f>SUM(E77:E81)</f>
        <v>4594.4401590942743</v>
      </c>
      <c r="F82" s="292">
        <f t="shared" ref="F82:G82" si="5">SUM(F77:F81)</f>
        <v>4666.8591326486185</v>
      </c>
      <c r="G82" s="292">
        <f t="shared" si="5"/>
        <v>4600.5194622344779</v>
      </c>
    </row>
    <row r="83" spans="1:11" s="197" customFormat="1" ht="13.15" x14ac:dyDescent="0.4">
      <c r="A83" s="28"/>
      <c r="B83" s="28"/>
      <c r="C83" s="28"/>
      <c r="D83" s="28"/>
      <c r="E83" s="95"/>
      <c r="F83" s="95"/>
      <c r="G83" s="95"/>
    </row>
    <row r="84" spans="1:11" x14ac:dyDescent="0.45">
      <c r="A84" s="28" t="s">
        <v>403</v>
      </c>
      <c r="B84" s="28" t="s">
        <v>95</v>
      </c>
      <c r="C84" s="28"/>
      <c r="D84" s="28"/>
      <c r="E84" s="292">
        <v>5263.1361359253879</v>
      </c>
      <c r="F84" s="292">
        <f>E88</f>
        <v>5958.7908909207299</v>
      </c>
      <c r="G84" s="292">
        <f>F88</f>
        <v>6314.1712020604327</v>
      </c>
      <c r="I84" s="375"/>
    </row>
    <row r="85" spans="1:11" x14ac:dyDescent="0.45">
      <c r="A85" s="28" t="s">
        <v>404</v>
      </c>
      <c r="B85" s="28" t="s">
        <v>181</v>
      </c>
      <c r="C85" s="28"/>
      <c r="D85" s="28"/>
      <c r="E85" s="292">
        <v>-7.4157857409663736E-3</v>
      </c>
      <c r="F85" s="292">
        <v>0</v>
      </c>
      <c r="G85" s="292">
        <v>0</v>
      </c>
      <c r="I85" s="375"/>
      <c r="J85" s="375"/>
      <c r="K85" s="375"/>
    </row>
    <row r="86" spans="1:11" x14ac:dyDescent="0.45">
      <c r="A86" s="28"/>
      <c r="B86" s="28" t="s">
        <v>182</v>
      </c>
      <c r="C86" s="28"/>
      <c r="D86" s="28"/>
      <c r="E86" s="292">
        <v>695.65428508204616</v>
      </c>
      <c r="F86" s="292">
        <v>210.22261063243627</v>
      </c>
      <c r="G86" s="292">
        <v>175.17342355618518</v>
      </c>
      <c r="I86" s="375"/>
      <c r="J86" s="375"/>
      <c r="K86" s="375"/>
    </row>
    <row r="87" spans="1:11" x14ac:dyDescent="0.45">
      <c r="A87" s="28"/>
      <c r="B87" s="28" t="s">
        <v>183</v>
      </c>
      <c r="C87" s="28"/>
      <c r="D87" s="28"/>
      <c r="E87" s="292">
        <v>7.8856990370334279E-3</v>
      </c>
      <c r="F87" s="292">
        <v>145.15770050726709</v>
      </c>
      <c r="G87" s="292">
        <v>-24.299289914085222</v>
      </c>
      <c r="I87" s="375"/>
      <c r="J87" s="375"/>
      <c r="K87" s="375"/>
    </row>
    <row r="88" spans="1:11" x14ac:dyDescent="0.45">
      <c r="A88" s="28"/>
      <c r="B88" s="28" t="s">
        <v>96</v>
      </c>
      <c r="C88" s="28"/>
      <c r="D88" s="28"/>
      <c r="E88" s="292">
        <f>SUM(E84:E87)</f>
        <v>5958.7908909207299</v>
      </c>
      <c r="F88" s="292">
        <f t="shared" ref="F88:G88" si="6">SUM(F84:F87)</f>
        <v>6314.1712020604327</v>
      </c>
      <c r="G88" s="292">
        <f t="shared" si="6"/>
        <v>6465.0453357025326</v>
      </c>
    </row>
    <row r="89" spans="1:11" s="197" customFormat="1" ht="13.15" x14ac:dyDescent="0.4">
      <c r="A89" s="28"/>
      <c r="B89" s="28"/>
      <c r="C89" s="28"/>
      <c r="D89" s="28"/>
      <c r="E89" s="95"/>
      <c r="F89" s="95"/>
      <c r="G89" s="95"/>
    </row>
    <row r="90" spans="1:11" x14ac:dyDescent="0.45">
      <c r="A90" s="28" t="s">
        <v>403</v>
      </c>
      <c r="B90" s="28" t="s">
        <v>184</v>
      </c>
      <c r="C90" s="28"/>
      <c r="D90" s="28"/>
      <c r="E90" s="292">
        <v>722.2811261958152</v>
      </c>
      <c r="F90" s="292">
        <f>E95</f>
        <v>734.92528521876079</v>
      </c>
      <c r="G90" s="292">
        <f>F95</f>
        <v>689.44887510719104</v>
      </c>
      <c r="I90" s="375"/>
    </row>
    <row r="91" spans="1:11" x14ac:dyDescent="0.45">
      <c r="A91" s="28" t="s">
        <v>405</v>
      </c>
      <c r="B91" s="28" t="s">
        <v>185</v>
      </c>
      <c r="C91" s="28"/>
      <c r="D91" s="28"/>
      <c r="E91" s="292">
        <v>-7.8423534005303396E-3</v>
      </c>
      <c r="F91" s="292">
        <v>0</v>
      </c>
      <c r="G91" s="292">
        <v>0</v>
      </c>
      <c r="I91" s="375"/>
      <c r="J91" s="375"/>
      <c r="K91" s="375"/>
    </row>
    <row r="92" spans="1:11" x14ac:dyDescent="0.45">
      <c r="A92" s="28"/>
      <c r="B92" s="28" t="s">
        <v>101</v>
      </c>
      <c r="C92" s="28"/>
      <c r="D92" s="28"/>
      <c r="E92" s="292">
        <v>-81.517819293983749</v>
      </c>
      <c r="F92" s="292">
        <v>-140.44469331518823</v>
      </c>
      <c r="G92" s="292">
        <v>-101.92761891971035</v>
      </c>
      <c r="I92" s="375"/>
      <c r="J92" s="375"/>
      <c r="K92" s="375"/>
    </row>
    <row r="93" spans="1:11" x14ac:dyDescent="0.45">
      <c r="A93" s="28"/>
      <c r="B93" s="28" t="s">
        <v>182</v>
      </c>
      <c r="C93" s="28"/>
      <c r="D93" s="28"/>
      <c r="E93" s="292">
        <v>94.161522613911714</v>
      </c>
      <c r="F93" s="292">
        <v>38.581142711825322</v>
      </c>
      <c r="G93" s="292">
        <v>15.959001726456622</v>
      </c>
      <c r="I93" s="375"/>
      <c r="J93" s="375"/>
      <c r="K93" s="375"/>
    </row>
    <row r="94" spans="1:11" x14ac:dyDescent="0.45">
      <c r="A94" s="28"/>
      <c r="B94" s="28" t="s">
        <v>401</v>
      </c>
      <c r="C94" s="28"/>
      <c r="D94" s="28"/>
      <c r="E94" s="292">
        <v>8.298056418134539E-3</v>
      </c>
      <c r="F94" s="292">
        <v>56.387140491793133</v>
      </c>
      <c r="G94" s="292">
        <v>-15.341879815950335</v>
      </c>
      <c r="I94" s="375"/>
      <c r="J94" s="375"/>
      <c r="K94" s="375"/>
    </row>
    <row r="95" spans="1:11" x14ac:dyDescent="0.45">
      <c r="A95" s="28"/>
      <c r="B95" s="28" t="s">
        <v>99</v>
      </c>
      <c r="C95" s="28"/>
      <c r="D95" s="28"/>
      <c r="E95" s="292">
        <f>SUM(E90:E94)</f>
        <v>734.92528521876079</v>
      </c>
      <c r="F95" s="292">
        <f t="shared" ref="F95:G95" si="7">SUM(F90:F94)</f>
        <v>689.44887510719104</v>
      </c>
      <c r="G95" s="292">
        <f t="shared" si="7"/>
        <v>588.13837809798702</v>
      </c>
    </row>
    <row r="96" spans="1:11" s="197" customFormat="1" x14ac:dyDescent="0.45">
      <c r="A96" s="28"/>
      <c r="B96" s="28"/>
      <c r="C96" s="28"/>
      <c r="D96" s="28"/>
      <c r="E96" s="95"/>
      <c r="F96" s="95"/>
      <c r="G96" s="95"/>
      <c r="H96"/>
      <c r="I96"/>
    </row>
    <row r="97" spans="1:11" x14ac:dyDescent="0.45">
      <c r="A97" s="28" t="s">
        <v>406</v>
      </c>
      <c r="B97" s="28" t="s">
        <v>95</v>
      </c>
      <c r="C97" s="28"/>
      <c r="D97" s="28"/>
      <c r="E97" s="292">
        <v>1999.460198170626</v>
      </c>
      <c r="F97" s="292">
        <f>E101</f>
        <v>2275.7438397397705</v>
      </c>
      <c r="G97" s="292">
        <f>F101</f>
        <v>2383.1460693196696</v>
      </c>
      <c r="I97" s="375"/>
    </row>
    <row r="98" spans="1:11" x14ac:dyDescent="0.45">
      <c r="A98" s="28" t="s">
        <v>407</v>
      </c>
      <c r="B98" s="28" t="s">
        <v>181</v>
      </c>
      <c r="C98" s="28"/>
      <c r="D98" s="28"/>
      <c r="E98" s="292">
        <v>-1.9666458496270037E-3</v>
      </c>
      <c r="F98" s="292">
        <v>0</v>
      </c>
      <c r="G98" s="292">
        <v>0</v>
      </c>
      <c r="I98" s="375"/>
      <c r="J98" s="375"/>
      <c r="K98" s="375"/>
    </row>
    <row r="99" spans="1:11" x14ac:dyDescent="0.45">
      <c r="A99" s="28"/>
      <c r="B99" s="28" t="s">
        <v>182</v>
      </c>
      <c r="C99" s="28"/>
      <c r="D99" s="28"/>
      <c r="E99" s="292">
        <v>276.2856082149944</v>
      </c>
      <c r="F99" s="292">
        <v>62.204440151200153</v>
      </c>
      <c r="G99" s="292">
        <v>43.563855388463203</v>
      </c>
      <c r="I99" s="375"/>
      <c r="J99" s="375"/>
      <c r="K99" s="375"/>
    </row>
    <row r="100" spans="1:11" x14ac:dyDescent="0.45">
      <c r="A100" s="28"/>
      <c r="B100" s="28" t="s">
        <v>183</v>
      </c>
      <c r="C100" s="28"/>
      <c r="D100" s="28"/>
      <c r="E100" s="292">
        <v>0</v>
      </c>
      <c r="F100" s="292">
        <v>45.197789428698982</v>
      </c>
      <c r="G100" s="292">
        <v>-5.7800915610669783</v>
      </c>
      <c r="I100" s="375"/>
      <c r="J100" s="375"/>
      <c r="K100" s="375"/>
    </row>
    <row r="101" spans="1:11" x14ac:dyDescent="0.45">
      <c r="A101" s="28"/>
      <c r="B101" s="28" t="s">
        <v>96</v>
      </c>
      <c r="C101" s="28"/>
      <c r="D101" s="28"/>
      <c r="E101" s="292">
        <f>SUM(E97:E100)</f>
        <v>2275.7438397397705</v>
      </c>
      <c r="F101" s="292">
        <f t="shared" ref="F101:G101" si="8">SUM(F97:F100)</f>
        <v>2383.1460693196696</v>
      </c>
      <c r="G101" s="292">
        <f t="shared" si="8"/>
        <v>2420.9298331470659</v>
      </c>
    </row>
    <row r="102" spans="1:11" s="197" customFormat="1" x14ac:dyDescent="0.45">
      <c r="A102" s="28"/>
      <c r="B102" s="28"/>
      <c r="C102" s="28"/>
      <c r="D102" s="28"/>
      <c r="E102" s="95"/>
      <c r="F102" s="95"/>
      <c r="G102" s="95"/>
      <c r="H102"/>
      <c r="I102"/>
    </row>
    <row r="103" spans="1:11" x14ac:dyDescent="0.45">
      <c r="A103" s="28" t="s">
        <v>406</v>
      </c>
      <c r="B103" s="28" t="s">
        <v>184</v>
      </c>
      <c r="C103" s="28"/>
      <c r="D103" s="28"/>
      <c r="E103" s="292">
        <v>285.5307173130949</v>
      </c>
      <c r="F103" s="292">
        <f>E108</f>
        <v>291.37325395853367</v>
      </c>
      <c r="G103" s="292">
        <f>F108</f>
        <v>279.49294789908134</v>
      </c>
      <c r="I103" s="375"/>
    </row>
    <row r="104" spans="1:11" x14ac:dyDescent="0.45">
      <c r="A104" s="28" t="s">
        <v>408</v>
      </c>
      <c r="B104" s="28" t="s">
        <v>185</v>
      </c>
      <c r="C104" s="28"/>
      <c r="D104" s="28"/>
      <c r="E104" s="292">
        <v>-1.631357338695421E-3</v>
      </c>
      <c r="F104" s="292">
        <v>0</v>
      </c>
      <c r="G104" s="292">
        <v>0</v>
      </c>
      <c r="I104" s="375"/>
      <c r="J104" s="375"/>
      <c r="K104" s="375"/>
    </row>
    <row r="105" spans="1:11" x14ac:dyDescent="0.45">
      <c r="A105" s="28"/>
      <c r="B105" s="28" t="s">
        <v>101</v>
      </c>
      <c r="C105" s="28"/>
      <c r="D105" s="28"/>
      <c r="E105" s="292">
        <v>-37.929516872753297</v>
      </c>
      <c r="F105" s="292">
        <v>-37.976052331293559</v>
      </c>
      <c r="G105" s="292">
        <v>-25.036239805486669</v>
      </c>
      <c r="I105" s="375"/>
      <c r="J105" s="375"/>
      <c r="K105" s="375"/>
    </row>
    <row r="106" spans="1:11" x14ac:dyDescent="0.45">
      <c r="A106" s="28"/>
      <c r="B106" s="28" t="s">
        <v>182</v>
      </c>
      <c r="C106" s="28"/>
      <c r="D106" s="28"/>
      <c r="E106" s="292">
        <v>43.773684875530776</v>
      </c>
      <c r="F106" s="292">
        <v>9.4555446515621551</v>
      </c>
      <c r="G106" s="292">
        <v>3.6730183319562029</v>
      </c>
      <c r="I106" s="375"/>
      <c r="J106" s="375"/>
      <c r="K106" s="375"/>
    </row>
    <row r="107" spans="1:11" x14ac:dyDescent="0.45">
      <c r="A107" s="28"/>
      <c r="B107" s="28" t="s">
        <v>401</v>
      </c>
      <c r="C107" s="28"/>
      <c r="D107" s="28"/>
      <c r="E107" s="292">
        <v>0</v>
      </c>
      <c r="F107" s="292">
        <v>16.640201620279068</v>
      </c>
      <c r="G107" s="292">
        <v>-2.7042450595798067</v>
      </c>
      <c r="I107" s="375"/>
      <c r="J107" s="375"/>
      <c r="K107" s="375"/>
    </row>
    <row r="108" spans="1:11" x14ac:dyDescent="0.45">
      <c r="A108" s="28"/>
      <c r="B108" s="28" t="s">
        <v>99</v>
      </c>
      <c r="C108" s="28"/>
      <c r="D108" s="28"/>
      <c r="E108" s="292">
        <f>SUM(E103:E107)</f>
        <v>291.37325395853367</v>
      </c>
      <c r="F108" s="292">
        <f t="shared" ref="F108:G108" si="9">SUM(F103:F107)</f>
        <v>279.49294789908134</v>
      </c>
      <c r="G108" s="292">
        <f t="shared" si="9"/>
        <v>255.42548136597105</v>
      </c>
    </row>
    <row r="109" spans="1:11" ht="9" customHeight="1" thickBot="1" x14ac:dyDescent="0.5">
      <c r="A109" s="1"/>
      <c r="B109" s="1"/>
      <c r="C109" s="1"/>
      <c r="D109" s="165"/>
      <c r="E109" s="1"/>
      <c r="F109" s="1"/>
      <c r="G109" s="1"/>
      <c r="H109" s="1"/>
      <c r="I109" s="1"/>
      <c r="J109" s="1"/>
    </row>
    <row r="110" spans="1:11" ht="9" customHeight="1" x14ac:dyDescent="0.45"/>
    <row r="111" spans="1:11" ht="18" x14ac:dyDescent="0.45">
      <c r="A111" s="170" t="s">
        <v>409</v>
      </c>
    </row>
    <row r="112" spans="1:11" ht="9" customHeight="1" x14ac:dyDescent="0.45"/>
    <row r="113" spans="1:11" ht="28.5" x14ac:dyDescent="0.45">
      <c r="A113" s="162" t="s">
        <v>410</v>
      </c>
      <c r="B113" s="162"/>
      <c r="C113" s="163" t="s">
        <v>178</v>
      </c>
      <c r="E113" s="164" t="s">
        <v>411</v>
      </c>
      <c r="F113" s="164" t="s">
        <v>412</v>
      </c>
      <c r="G113" s="164" t="s">
        <v>413</v>
      </c>
    </row>
    <row r="114" spans="1:11" x14ac:dyDescent="0.45">
      <c r="A114" t="s">
        <v>63</v>
      </c>
      <c r="C114" s="296">
        <v>9.3522440828465225E-2</v>
      </c>
      <c r="E114" s="295">
        <v>45702.015128404702</v>
      </c>
      <c r="F114" s="295">
        <v>45460.778447373792</v>
      </c>
      <c r="G114" s="295">
        <v>48652.921380061918</v>
      </c>
      <c r="I114" s="375"/>
      <c r="J114" s="375"/>
      <c r="K114" s="375"/>
    </row>
    <row r="115" spans="1:11" x14ac:dyDescent="0.45">
      <c r="A115" t="s">
        <v>64</v>
      </c>
      <c r="C115" s="296">
        <v>0.36632568438600105</v>
      </c>
      <c r="E115" s="295">
        <v>44551.205124676577</v>
      </c>
      <c r="F115" s="295">
        <v>55886.469570782465</v>
      </c>
      <c r="G115" s="295">
        <v>64300.994805950832</v>
      </c>
      <c r="I115" s="375"/>
      <c r="J115" s="375"/>
      <c r="K115" s="375"/>
    </row>
    <row r="116" spans="1:11" x14ac:dyDescent="0.45">
      <c r="A116" t="s">
        <v>71</v>
      </c>
      <c r="C116" s="296">
        <v>9.6567223901176141E-2</v>
      </c>
      <c r="E116" s="295">
        <v>72330.404915419989</v>
      </c>
      <c r="F116" s="295">
        <v>82694.760058296655</v>
      </c>
      <c r="G116" s="295">
        <v>71621.781524083111</v>
      </c>
      <c r="I116" s="375"/>
      <c r="J116" s="375"/>
      <c r="K116" s="375"/>
    </row>
    <row r="117" spans="1:11" x14ac:dyDescent="0.45">
      <c r="A117" t="s">
        <v>72</v>
      </c>
      <c r="C117" s="296">
        <v>0.15289390493367422</v>
      </c>
      <c r="E117" s="295">
        <v>70038.445431022687</v>
      </c>
      <c r="F117" s="295">
        <v>95457.763614224954</v>
      </c>
      <c r="G117" s="295">
        <v>53735.160929266654</v>
      </c>
      <c r="I117" s="375"/>
      <c r="J117" s="375"/>
      <c r="K117" s="375"/>
    </row>
    <row r="118" spans="1:11" x14ac:dyDescent="0.45">
      <c r="A118" t="s">
        <v>73</v>
      </c>
      <c r="C118" s="296">
        <v>0.17397355666977582</v>
      </c>
      <c r="E118" s="295">
        <v>720.60026896509532</v>
      </c>
      <c r="F118" s="295">
        <v>767.90563015124417</v>
      </c>
      <c r="G118" s="295">
        <v>736.53452551766577</v>
      </c>
      <c r="I118" s="375"/>
      <c r="J118" s="375"/>
      <c r="K118" s="375"/>
    </row>
    <row r="119" spans="1:11" x14ac:dyDescent="0.45">
      <c r="A119" s="5" t="s">
        <v>75</v>
      </c>
      <c r="B119" s="5"/>
      <c r="C119" s="296">
        <v>0.11671718928090756</v>
      </c>
      <c r="E119" s="295">
        <v>24191.495989883111</v>
      </c>
      <c r="F119" s="295">
        <v>23832.662273386093</v>
      </c>
      <c r="G119" s="295">
        <v>26527.056235984037</v>
      </c>
      <c r="I119" s="375"/>
      <c r="J119" s="375"/>
      <c r="K119" s="375"/>
    </row>
    <row r="120" spans="1:11" x14ac:dyDescent="0.45">
      <c r="A120" t="s">
        <v>159</v>
      </c>
      <c r="C120" s="158">
        <v>1</v>
      </c>
      <c r="D120" s="171"/>
      <c r="E120" s="158"/>
    </row>
    <row r="121" spans="1:11" ht="9" customHeight="1" thickBot="1" x14ac:dyDescent="0.5">
      <c r="A121" s="1"/>
      <c r="B121" s="1"/>
      <c r="C121" s="1"/>
      <c r="D121" s="165"/>
      <c r="E121" s="1"/>
      <c r="F121" s="1"/>
      <c r="G121" s="1"/>
      <c r="H121" s="1"/>
      <c r="I121" s="1"/>
      <c r="J121" s="1"/>
    </row>
    <row r="122" spans="1:11" ht="9" customHeight="1" x14ac:dyDescent="0.45"/>
    <row r="123" spans="1:11" ht="21" x14ac:dyDescent="0.65">
      <c r="A123" s="83" t="s">
        <v>414</v>
      </c>
    </row>
    <row r="124" spans="1:11" ht="9" customHeight="1" x14ac:dyDescent="0.45"/>
    <row r="125" spans="1:11" ht="15.75" x14ac:dyDescent="0.5">
      <c r="A125" s="8" t="s">
        <v>415</v>
      </c>
      <c r="B125" s="28"/>
      <c r="E125" s="156"/>
    </row>
    <row r="126" spans="1:11" x14ac:dyDescent="0.45">
      <c r="A126" s="28"/>
      <c r="B126" s="28"/>
      <c r="C126" s="29" t="s">
        <v>90</v>
      </c>
      <c r="E126" s="299">
        <v>44834</v>
      </c>
      <c r="F126" s="299">
        <v>45199</v>
      </c>
      <c r="G126" s="299">
        <v>45565</v>
      </c>
    </row>
    <row r="127" spans="1:11" x14ac:dyDescent="0.45">
      <c r="A127" s="153" t="s">
        <v>248</v>
      </c>
      <c r="B127" s="40"/>
      <c r="C127" s="40"/>
      <c r="D127" s="297"/>
      <c r="E127" s="298">
        <v>0.27393680838021445</v>
      </c>
      <c r="F127" s="298">
        <v>0.272742239054244</v>
      </c>
      <c r="G127" s="298">
        <v>0.2711116968698517</v>
      </c>
    </row>
    <row r="128" spans="1:11" x14ac:dyDescent="0.45">
      <c r="A128" s="153" t="s">
        <v>249</v>
      </c>
      <c r="B128" s="40"/>
      <c r="C128" s="40"/>
      <c r="D128" s="297"/>
      <c r="E128" s="298">
        <v>9.1562663630526037E-2</v>
      </c>
      <c r="F128" s="298">
        <v>9.1187899097023559E-2</v>
      </c>
      <c r="G128" s="298">
        <v>9.068431930507713E-2</v>
      </c>
    </row>
    <row r="129" spans="1:11" x14ac:dyDescent="0.45">
      <c r="A129" s="153" t="s">
        <v>250</v>
      </c>
      <c r="B129" s="40"/>
      <c r="C129" s="40"/>
      <c r="D129" s="297"/>
      <c r="E129" s="298">
        <v>0.34239933474324763</v>
      </c>
      <c r="F129" s="298">
        <v>0.34647191773927355</v>
      </c>
      <c r="G129" s="298">
        <v>0.35109660026958217</v>
      </c>
    </row>
    <row r="130" spans="1:11" x14ac:dyDescent="0.45">
      <c r="A130" s="153" t="s">
        <v>251</v>
      </c>
      <c r="B130" s="40"/>
      <c r="C130" s="40"/>
      <c r="D130" s="297"/>
      <c r="E130" s="298">
        <v>0.13031207225341154</v>
      </c>
      <c r="F130" s="298">
        <v>0.13783238824197075</v>
      </c>
      <c r="G130" s="298">
        <v>0.14468006589785831</v>
      </c>
    </row>
    <row r="131" spans="1:11" x14ac:dyDescent="0.45">
      <c r="A131" s="154" t="s">
        <v>252</v>
      </c>
      <c r="B131" s="76"/>
      <c r="C131" s="76"/>
      <c r="D131" s="76"/>
      <c r="E131" s="298">
        <v>0.16178912099260037</v>
      </c>
      <c r="F131" s="298">
        <v>0.15176555586748813</v>
      </c>
      <c r="G131" s="298">
        <v>0.14242731765763067</v>
      </c>
    </row>
    <row r="132" spans="1:11" x14ac:dyDescent="0.45">
      <c r="A132" s="154" t="s">
        <v>146</v>
      </c>
      <c r="B132" s="76"/>
      <c r="C132" s="76"/>
      <c r="D132" s="76"/>
      <c r="E132" s="177">
        <f>SUM(E127:E131)</f>
        <v>1.0000000000000002</v>
      </c>
      <c r="F132" s="177">
        <f t="shared" ref="F132:G132" si="10">SUM(F127:F131)</f>
        <v>1</v>
      </c>
      <c r="G132" s="177">
        <f t="shared" si="10"/>
        <v>1</v>
      </c>
    </row>
    <row r="133" spans="1:11" ht="9" customHeight="1" thickBot="1" x14ac:dyDescent="0.5">
      <c r="A133" s="81"/>
      <c r="B133" s="81"/>
      <c r="C133" s="81"/>
      <c r="D133" s="81"/>
      <c r="E133" s="81"/>
      <c r="F133" s="81"/>
      <c r="G133" s="81"/>
      <c r="H133" s="81"/>
      <c r="I133" s="81"/>
      <c r="J133" s="81"/>
    </row>
    <row r="134" spans="1:11" ht="9" customHeight="1" x14ac:dyDescent="0.45"/>
    <row r="135" spans="1:11" ht="15.75" x14ac:dyDescent="0.45">
      <c r="A135" s="169" t="s">
        <v>416</v>
      </c>
    </row>
    <row r="136" spans="1:11" ht="9" customHeight="1" x14ac:dyDescent="0.45">
      <c r="D136" s="90"/>
    </row>
    <row r="137" spans="1:11" x14ac:dyDescent="0.45">
      <c r="A137" s="161" t="s">
        <v>258</v>
      </c>
      <c r="E137" s="204" t="s">
        <v>92</v>
      </c>
      <c r="F137" s="204" t="s">
        <v>93</v>
      </c>
      <c r="G137" s="204" t="s">
        <v>51</v>
      </c>
    </row>
    <row r="138" spans="1:11" x14ac:dyDescent="0.45">
      <c r="A138" s="28" t="s">
        <v>248</v>
      </c>
      <c r="E138" s="293">
        <v>11250429.826421907</v>
      </c>
      <c r="F138" s="293">
        <v>12670933.230998844</v>
      </c>
      <c r="G138" s="293">
        <v>12368597.141154213</v>
      </c>
      <c r="I138" s="375"/>
      <c r="J138" s="375"/>
      <c r="K138" s="375"/>
    </row>
    <row r="139" spans="1:11" x14ac:dyDescent="0.45">
      <c r="A139" s="28"/>
      <c r="E139" s="293">
        <v>0</v>
      </c>
      <c r="F139" s="293">
        <v>0</v>
      </c>
      <c r="G139" s="293">
        <v>0</v>
      </c>
    </row>
    <row r="140" spans="1:11" x14ac:dyDescent="0.45">
      <c r="A140" s="28"/>
      <c r="E140" s="28"/>
      <c r="F140" s="28"/>
      <c r="G140" s="28"/>
    </row>
    <row r="141" spans="1:11" x14ac:dyDescent="0.45">
      <c r="A141" s="28" t="s">
        <v>249</v>
      </c>
      <c r="E141" s="293">
        <v>2844268.994039183</v>
      </c>
      <c r="F141" s="293">
        <v>2981399.4508138429</v>
      </c>
      <c r="G141" s="293">
        <v>3408607.7438295158</v>
      </c>
      <c r="I141" s="375"/>
      <c r="J141" s="375"/>
      <c r="K141" s="375"/>
    </row>
    <row r="142" spans="1:11" x14ac:dyDescent="0.45">
      <c r="A142" s="28"/>
      <c r="E142" s="293">
        <v>526786.2998319678</v>
      </c>
      <c r="F142" s="293">
        <v>577230.55946713826</v>
      </c>
      <c r="G142" s="293">
        <v>591560.7244067</v>
      </c>
      <c r="I142" s="375"/>
      <c r="J142" s="375"/>
      <c r="K142" s="375"/>
    </row>
    <row r="143" spans="1:11" x14ac:dyDescent="0.45">
      <c r="A143" s="28"/>
      <c r="E143" s="28"/>
      <c r="F143" s="28"/>
      <c r="G143" s="28"/>
    </row>
    <row r="144" spans="1:11" x14ac:dyDescent="0.45">
      <c r="A144" s="28" t="s">
        <v>250</v>
      </c>
      <c r="E144" s="293">
        <v>3775193.5958229033</v>
      </c>
      <c r="F144" s="293">
        <v>4002968.0796806798</v>
      </c>
      <c r="G144" s="293">
        <v>4285689.2165567949</v>
      </c>
      <c r="I144" s="375"/>
      <c r="J144" s="375"/>
      <c r="K144" s="375"/>
    </row>
    <row r="145" spans="1:11" x14ac:dyDescent="0.45">
      <c r="A145" s="28"/>
      <c r="E145" s="293">
        <v>0</v>
      </c>
      <c r="F145" s="293">
        <v>0</v>
      </c>
      <c r="G145" s="293">
        <v>0</v>
      </c>
    </row>
    <row r="146" spans="1:11" x14ac:dyDescent="0.45">
      <c r="A146" s="28"/>
      <c r="E146" s="28"/>
      <c r="F146" s="28"/>
      <c r="G146" s="28"/>
    </row>
    <row r="147" spans="1:11" x14ac:dyDescent="0.45">
      <c r="A147" s="28" t="s">
        <v>251</v>
      </c>
      <c r="E147" s="293">
        <v>1904751.3295025837</v>
      </c>
      <c r="F147" s="293">
        <v>1930624.7244562237</v>
      </c>
      <c r="G147" s="293">
        <v>2188169.0713374116</v>
      </c>
      <c r="I147" s="375"/>
      <c r="J147" s="375"/>
      <c r="K147" s="375"/>
    </row>
    <row r="148" spans="1:11" x14ac:dyDescent="0.45">
      <c r="A148" s="28"/>
      <c r="E148" s="293">
        <v>885493.17193619383</v>
      </c>
      <c r="F148" s="293">
        <v>1147689.9128430965</v>
      </c>
      <c r="G148" s="293">
        <v>1114237.7494294273</v>
      </c>
      <c r="I148" s="375"/>
      <c r="J148" s="375"/>
      <c r="K148" s="375"/>
    </row>
    <row r="149" spans="1:11" x14ac:dyDescent="0.45">
      <c r="A149" s="28"/>
      <c r="E149" s="28"/>
      <c r="F149" s="28"/>
      <c r="G149" s="28"/>
    </row>
    <row r="150" spans="1:11" x14ac:dyDescent="0.45">
      <c r="A150" s="28" t="s">
        <v>252</v>
      </c>
      <c r="E150" s="293">
        <v>0</v>
      </c>
      <c r="F150" s="293">
        <v>0</v>
      </c>
      <c r="G150" s="293">
        <v>0</v>
      </c>
    </row>
    <row r="151" spans="1:11" x14ac:dyDescent="0.45">
      <c r="A151" s="28"/>
      <c r="E151" s="293">
        <v>1108702.1041655422</v>
      </c>
      <c r="F151" s="293">
        <v>1204685.1777999757</v>
      </c>
      <c r="G151" s="293">
        <v>926406.26288942806</v>
      </c>
      <c r="I151" s="375"/>
      <c r="J151" s="375"/>
      <c r="K151" s="375"/>
    </row>
    <row r="152" spans="1:11" x14ac:dyDescent="0.45">
      <c r="A152" s="28"/>
      <c r="D152" s="28"/>
      <c r="E152" s="172"/>
      <c r="F152" s="28"/>
    </row>
    <row r="153" spans="1:11" x14ac:dyDescent="0.45">
      <c r="A153" s="28" t="s">
        <v>417</v>
      </c>
      <c r="D153" s="28"/>
      <c r="E153" s="301">
        <v>0.28999999999999998</v>
      </c>
      <c r="F153" s="301">
        <v>0.28999999999999998</v>
      </c>
      <c r="G153" s="301">
        <v>0.28999999999999998</v>
      </c>
    </row>
    <row r="154" spans="1:11" x14ac:dyDescent="0.45">
      <c r="D154" s="28"/>
      <c r="E154" s="173"/>
    </row>
    <row r="155" spans="1:11" x14ac:dyDescent="0.45">
      <c r="A155" s="28" t="s">
        <v>418</v>
      </c>
      <c r="B155" s="28"/>
      <c r="E155" s="300">
        <v>0.54755336515333619</v>
      </c>
      <c r="F155" s="300">
        <v>0.62702717186244927</v>
      </c>
      <c r="G155" s="300">
        <v>0.72346391134977894</v>
      </c>
    </row>
    <row r="156" spans="1:11" ht="9" customHeight="1" thickBot="1" x14ac:dyDescent="0.5">
      <c r="A156" s="1"/>
      <c r="B156" s="1"/>
      <c r="C156" s="1"/>
      <c r="D156" s="165"/>
      <c r="E156" s="1"/>
      <c r="F156" s="1"/>
      <c r="G156" s="1"/>
      <c r="H156" s="1"/>
      <c r="I156" s="1"/>
      <c r="J156" s="1"/>
    </row>
    <row r="157" spans="1:11" ht="9" customHeight="1" x14ac:dyDescent="0.45"/>
    <row r="158" spans="1:11" ht="15.75" x14ac:dyDescent="0.45">
      <c r="A158" s="169" t="s">
        <v>419</v>
      </c>
      <c r="E158" s="204" t="s">
        <v>92</v>
      </c>
      <c r="F158" s="204" t="s">
        <v>93</v>
      </c>
      <c r="G158" s="204" t="s">
        <v>51</v>
      </c>
    </row>
    <row r="159" spans="1:11" ht="9" customHeight="1" x14ac:dyDescent="0.45"/>
    <row r="160" spans="1:11" x14ac:dyDescent="0.45">
      <c r="A160" s="28" t="s">
        <v>77</v>
      </c>
      <c r="B160" s="28"/>
      <c r="C160" s="28"/>
      <c r="D160" s="28"/>
      <c r="E160" s="292">
        <v>52.532553388672049</v>
      </c>
      <c r="F160" s="292">
        <v>32.438035491127643</v>
      </c>
      <c r="G160" s="292">
        <v>39.970432439304439</v>
      </c>
      <c r="I160" s="375"/>
      <c r="J160" s="375"/>
      <c r="K160" s="375"/>
    </row>
    <row r="161" spans="1:11" x14ac:dyDescent="0.45">
      <c r="A161" s="28" t="s">
        <v>78</v>
      </c>
      <c r="B161" s="28"/>
      <c r="C161" s="28"/>
      <c r="D161" s="28"/>
      <c r="E161" s="292">
        <v>12.556003168574685</v>
      </c>
      <c r="F161" s="292">
        <v>23.510688132929992</v>
      </c>
      <c r="G161" s="292">
        <v>27.030847562404059</v>
      </c>
      <c r="I161" s="375"/>
      <c r="J161" s="375"/>
      <c r="K161" s="375"/>
    </row>
    <row r="162" spans="1:11" x14ac:dyDescent="0.45">
      <c r="A162" s="28" t="s">
        <v>79</v>
      </c>
      <c r="B162" s="28"/>
      <c r="C162" s="28"/>
      <c r="D162" s="28"/>
      <c r="E162" s="292">
        <v>-34.91711669763346</v>
      </c>
      <c r="F162" s="292">
        <v>-15.689617393834055</v>
      </c>
      <c r="G162" s="292">
        <v>-12.303506768345287</v>
      </c>
      <c r="I162" s="375"/>
      <c r="J162" s="375"/>
      <c r="K162" s="375"/>
    </row>
    <row r="163" spans="1:11" x14ac:dyDescent="0.45">
      <c r="A163" s="28" t="s">
        <v>80</v>
      </c>
      <c r="B163" s="28"/>
      <c r="C163" s="28"/>
      <c r="D163" s="28"/>
      <c r="E163" s="292">
        <v>14.150411302140501</v>
      </c>
      <c r="F163" s="292">
        <v>40.384336291771511</v>
      </c>
      <c r="G163" s="292">
        <v>8.0986703585532709</v>
      </c>
      <c r="I163" s="375"/>
      <c r="J163" s="375"/>
      <c r="K163" s="375"/>
    </row>
    <row r="164" spans="1:11" x14ac:dyDescent="0.45">
      <c r="A164" s="60" t="s">
        <v>81</v>
      </c>
      <c r="B164" s="60"/>
      <c r="C164" s="60"/>
      <c r="D164" s="60"/>
      <c r="E164" s="292">
        <v>0</v>
      </c>
      <c r="F164" s="292">
        <v>0</v>
      </c>
      <c r="G164" s="292">
        <v>0</v>
      </c>
      <c r="I164" s="375"/>
      <c r="J164" s="375"/>
      <c r="K164" s="375"/>
    </row>
    <row r="165" spans="1:11" x14ac:dyDescent="0.45">
      <c r="A165" s="28" t="s">
        <v>82</v>
      </c>
      <c r="B165" s="28"/>
      <c r="C165" s="28"/>
      <c r="D165" s="28"/>
      <c r="E165" s="95">
        <f>SUM(E160:E164)</f>
        <v>44.32185116175377</v>
      </c>
      <c r="F165" s="95">
        <f t="shared" ref="F165:G165" si="11">SUM(F160:F164)</f>
        <v>80.643442521995098</v>
      </c>
      <c r="G165" s="95">
        <f t="shared" si="11"/>
        <v>62.796443591916479</v>
      </c>
    </row>
    <row r="166" spans="1:11" x14ac:dyDescent="0.45">
      <c r="A166" s="28"/>
      <c r="B166" s="28"/>
      <c r="C166" s="28"/>
      <c r="D166" s="28"/>
      <c r="E166" s="95"/>
      <c r="F166" s="95"/>
      <c r="G166" s="95"/>
    </row>
    <row r="167" spans="1:11" x14ac:dyDescent="0.45">
      <c r="A167" s="28" t="s">
        <v>84</v>
      </c>
      <c r="B167" s="28"/>
      <c r="C167" s="28"/>
      <c r="D167" s="28"/>
      <c r="E167" s="292">
        <v>264.2306242258046</v>
      </c>
      <c r="F167" s="292">
        <v>339.77139188853891</v>
      </c>
      <c r="G167" s="292">
        <v>399.22772863337104</v>
      </c>
      <c r="I167" s="375"/>
      <c r="J167" s="375"/>
      <c r="K167" s="375"/>
    </row>
    <row r="168" spans="1:11" x14ac:dyDescent="0.45">
      <c r="A168" s="28" t="s">
        <v>85</v>
      </c>
      <c r="B168" s="28"/>
      <c r="C168" s="28"/>
      <c r="D168" s="28"/>
      <c r="E168" s="292">
        <v>42.991295737548981</v>
      </c>
      <c r="F168" s="292">
        <v>71.031561395775597</v>
      </c>
      <c r="G168" s="292">
        <v>81.517003621347413</v>
      </c>
      <c r="I168" s="375"/>
      <c r="J168" s="375"/>
      <c r="K168" s="375"/>
    </row>
    <row r="169" spans="1:11" x14ac:dyDescent="0.45">
      <c r="A169" s="28" t="s">
        <v>420</v>
      </c>
      <c r="B169" s="28"/>
      <c r="C169" s="28"/>
      <c r="D169" s="28"/>
      <c r="E169" s="321"/>
      <c r="F169" s="321"/>
      <c r="G169" s="321"/>
    </row>
    <row r="170" spans="1:11" x14ac:dyDescent="0.45">
      <c r="A170" s="60" t="s">
        <v>87</v>
      </c>
      <c r="B170" s="60"/>
      <c r="C170" s="60"/>
      <c r="D170" s="60"/>
      <c r="E170" s="292">
        <v>2.5757803449188321</v>
      </c>
      <c r="F170" s="292">
        <v>0.50610350561659911</v>
      </c>
      <c r="G170" s="292">
        <v>-3.071594152926135</v>
      </c>
      <c r="I170" s="375"/>
      <c r="J170" s="375"/>
      <c r="K170" s="375"/>
    </row>
    <row r="171" spans="1:11" x14ac:dyDescent="0.45">
      <c r="A171" s="28" t="s">
        <v>88</v>
      </c>
      <c r="B171" s="28"/>
      <c r="C171" s="28"/>
      <c r="D171" s="28"/>
      <c r="E171" s="95">
        <f>SUM(E167:E170)</f>
        <v>309.7977003082724</v>
      </c>
      <c r="F171" s="95">
        <f t="shared" ref="F171:G171" si="12">SUM(F167:F170)</f>
        <v>411.30905678993111</v>
      </c>
      <c r="G171" s="95">
        <f t="shared" si="12"/>
        <v>477.67313810179229</v>
      </c>
    </row>
    <row r="172" spans="1:11" ht="9" customHeight="1" x14ac:dyDescent="0.45">
      <c r="D172" s="320"/>
    </row>
    <row r="173" spans="1:11" x14ac:dyDescent="0.45">
      <c r="E173" s="358" t="s">
        <v>92</v>
      </c>
      <c r="F173" s="358" t="s">
        <v>93</v>
      </c>
      <c r="G173" s="358" t="s">
        <v>51</v>
      </c>
    </row>
    <row r="174" spans="1:11" x14ac:dyDescent="0.45">
      <c r="A174" s="28" t="s">
        <v>421</v>
      </c>
      <c r="E174" s="293">
        <v>460.12545391303627</v>
      </c>
      <c r="F174" s="293">
        <v>614.93773548410729</v>
      </c>
      <c r="G174" s="293">
        <v>741.21540499111381</v>
      </c>
      <c r="I174" s="375"/>
      <c r="J174" s="375"/>
      <c r="K174" s="375"/>
    </row>
    <row r="176" spans="1:11" x14ac:dyDescent="0.45">
      <c r="A176" s="332" t="s">
        <v>91</v>
      </c>
    </row>
    <row r="177" spans="1:11" x14ac:dyDescent="0.45">
      <c r="E177" s="143" t="s">
        <v>92</v>
      </c>
      <c r="F177" s="143" t="s">
        <v>93</v>
      </c>
      <c r="G177" s="143" t="s">
        <v>51</v>
      </c>
    </row>
    <row r="178" spans="1:11" x14ac:dyDescent="0.45">
      <c r="A178" t="s">
        <v>94</v>
      </c>
      <c r="C178" t="s">
        <v>95</v>
      </c>
      <c r="E178" s="292">
        <v>321.3303782131145</v>
      </c>
      <c r="F178" s="292">
        <v>445.74886782559793</v>
      </c>
      <c r="G178" s="292">
        <v>488.92914515443027</v>
      </c>
      <c r="I178" s="375"/>
      <c r="J178" s="375"/>
      <c r="K178" s="375"/>
    </row>
    <row r="179" spans="1:11" x14ac:dyDescent="0.45">
      <c r="C179" t="s">
        <v>96</v>
      </c>
      <c r="E179" s="292">
        <v>316.9996142006292</v>
      </c>
      <c r="F179" s="292">
        <v>569.27800509436315</v>
      </c>
      <c r="G179" s="292">
        <v>569.63222249021203</v>
      </c>
      <c r="I179" s="375"/>
      <c r="J179" s="375"/>
      <c r="K179" s="375"/>
    </row>
    <row r="180" spans="1:11" x14ac:dyDescent="0.45">
      <c r="C180" t="s">
        <v>97</v>
      </c>
      <c r="E180" s="292">
        <v>291.80271062449788</v>
      </c>
      <c r="F180" s="292">
        <v>450.55209588841228</v>
      </c>
      <c r="G180" s="292">
        <v>485.78862200484099</v>
      </c>
      <c r="I180" s="375"/>
      <c r="J180" s="375"/>
      <c r="K180" s="375"/>
    </row>
    <row r="182" spans="1:11" x14ac:dyDescent="0.45">
      <c r="A182" t="s">
        <v>94</v>
      </c>
      <c r="C182" t="s">
        <v>98</v>
      </c>
      <c r="E182" s="292">
        <v>221.66467141537458</v>
      </c>
      <c r="F182" s="292">
        <v>331.12113333950566</v>
      </c>
      <c r="G182" s="292">
        <v>371.6305163352431</v>
      </c>
      <c r="I182" s="375"/>
      <c r="J182" s="375"/>
      <c r="K182" s="375"/>
    </row>
    <row r="183" spans="1:11" x14ac:dyDescent="0.45">
      <c r="C183" t="s">
        <v>99</v>
      </c>
      <c r="E183" s="292">
        <v>265.91514729785297</v>
      </c>
      <c r="F183" s="292">
        <v>447.60533250381371</v>
      </c>
      <c r="G183" s="292">
        <v>451.6926397103972</v>
      </c>
      <c r="I183" s="375"/>
      <c r="J183" s="375"/>
      <c r="K183" s="375"/>
    </row>
    <row r="184" spans="1:11" x14ac:dyDescent="0.45">
      <c r="C184" t="s">
        <v>100</v>
      </c>
      <c r="E184" s="292">
        <v>229.12198208453404</v>
      </c>
      <c r="F184" s="292">
        <v>357.94563557693209</v>
      </c>
      <c r="G184" s="292">
        <v>430.4470523073087</v>
      </c>
      <c r="I184" s="375"/>
      <c r="J184" s="375"/>
      <c r="K184" s="375"/>
    </row>
    <row r="185" spans="1:11" x14ac:dyDescent="0.45">
      <c r="C185" t="s">
        <v>101</v>
      </c>
      <c r="E185" s="292">
        <v>9.0754167756557749</v>
      </c>
      <c r="F185" s="292">
        <v>22.955680328522401</v>
      </c>
      <c r="G185" s="292">
        <v>26.074944675394786</v>
      </c>
      <c r="I185" s="375"/>
      <c r="J185" s="375"/>
      <c r="K185" s="375"/>
    </row>
    <row r="187" spans="1:11" x14ac:dyDescent="0.45">
      <c r="A187" t="s">
        <v>102</v>
      </c>
      <c r="C187" t="s">
        <v>98</v>
      </c>
      <c r="E187" s="292">
        <v>62.815435156685076</v>
      </c>
      <c r="F187" s="292">
        <v>66.900156079829429</v>
      </c>
      <c r="G187" s="292">
        <v>87.44833976293981</v>
      </c>
      <c r="I187" s="375"/>
      <c r="J187" s="375"/>
      <c r="K187" s="375"/>
    </row>
    <row r="188" spans="1:11" x14ac:dyDescent="0.45">
      <c r="C188" t="s">
        <v>99</v>
      </c>
      <c r="E188" s="292">
        <v>53.005430314217698</v>
      </c>
      <c r="F188" s="292">
        <v>77.228588409734797</v>
      </c>
      <c r="G188" s="292">
        <v>87.282358336391312</v>
      </c>
      <c r="I188" s="375"/>
      <c r="J188" s="375"/>
      <c r="K188" s="375"/>
    </row>
    <row r="189" spans="1:11" x14ac:dyDescent="0.45">
      <c r="C189" t="s">
        <v>100</v>
      </c>
      <c r="E189" s="292">
        <v>45.603254703398669</v>
      </c>
      <c r="F189" s="292">
        <v>51.653460901728771</v>
      </c>
      <c r="G189" s="292">
        <v>87.539678494115748</v>
      </c>
      <c r="I189" s="375"/>
      <c r="J189" s="375"/>
      <c r="K189" s="375"/>
    </row>
    <row r="190" spans="1:11" x14ac:dyDescent="0.45">
      <c r="C190" t="s">
        <v>101</v>
      </c>
      <c r="E190" s="292">
        <v>3.8816018155149399</v>
      </c>
      <c r="F190" s="292">
        <v>6.4466360130615499</v>
      </c>
      <c r="G190" s="292">
        <v>6.3858421248791872</v>
      </c>
      <c r="I190" s="375"/>
      <c r="J190" s="375"/>
      <c r="K190" s="375"/>
    </row>
    <row r="191" spans="1:11" ht="9" customHeight="1" thickBot="1" x14ac:dyDescent="0.5">
      <c r="A191" s="1"/>
      <c r="B191" s="1"/>
      <c r="C191" s="1"/>
      <c r="D191" s="165"/>
      <c r="E191" s="1"/>
      <c r="F191" s="1"/>
      <c r="G191" s="1"/>
      <c r="H191" s="1"/>
      <c r="I191" s="1"/>
      <c r="J191" s="1"/>
    </row>
    <row r="192" spans="1:11" ht="9" customHeight="1" x14ac:dyDescent="0.45"/>
    <row r="193" spans="1:12" ht="21" x14ac:dyDescent="0.65">
      <c r="A193" s="83" t="s">
        <v>103</v>
      </c>
      <c r="L193" s="28"/>
    </row>
    <row r="194" spans="1:12" x14ac:dyDescent="0.45">
      <c r="E194" s="333" t="s">
        <v>92</v>
      </c>
      <c r="F194" s="333" t="s">
        <v>93</v>
      </c>
      <c r="G194" s="333" t="s">
        <v>51</v>
      </c>
      <c r="L194" s="28"/>
    </row>
    <row r="195" spans="1:12" x14ac:dyDescent="0.45">
      <c r="A195" t="s">
        <v>104</v>
      </c>
      <c r="E195" s="302">
        <v>1.4987243396573628</v>
      </c>
      <c r="F195" s="302">
        <v>38.020441438252412</v>
      </c>
      <c r="G195" s="302">
        <v>45.021591576457446</v>
      </c>
      <c r="I195" s="375"/>
      <c r="J195" s="375"/>
      <c r="K195" s="375"/>
      <c r="L195" s="28"/>
    </row>
    <row r="196" spans="1:12" x14ac:dyDescent="0.45">
      <c r="A196" t="s">
        <v>105</v>
      </c>
      <c r="E196" s="302">
        <v>-1.7197986041720839</v>
      </c>
      <c r="F196" s="302">
        <v>8.1350174669748725</v>
      </c>
      <c r="G196" s="302">
        <v>9.2972696024041213</v>
      </c>
      <c r="I196" s="375"/>
      <c r="J196" s="375"/>
      <c r="K196" s="375"/>
      <c r="L196" s="28"/>
    </row>
    <row r="197" spans="1:12" x14ac:dyDescent="0.45">
      <c r="I197" s="375"/>
      <c r="J197" s="375"/>
      <c r="K197" s="375"/>
      <c r="L197" s="28"/>
    </row>
    <row r="198" spans="1:12" x14ac:dyDescent="0.45">
      <c r="I198" s="375"/>
      <c r="J198" s="375"/>
      <c r="K198" s="375"/>
    </row>
  </sheetData>
  <phoneticPr fontId="50" type="noConversion"/>
  <dataValidations disablePrompts="1" count="1">
    <dataValidation type="list" allowBlank="1" showInputMessage="1" showErrorMessage="1" sqref="F1" xr:uid="{58AA95CF-1FF6-4B75-A14A-6A3203AD67BC}">
      <formula1>$E$137:$G$137</formula1>
    </dataValidation>
  </dataValidations>
  <printOptions horizontalCentered="1" verticalCentered="1"/>
  <pageMargins left="0.19685039370078741" right="0.19685039370078741" top="0.39370078740157483" bottom="0.39370078740157483" header="0.19685039370078741" footer="0.19685039370078741"/>
  <pageSetup paperSize="9" scale="60" orientation="landscape" r:id="rId1"/>
  <headerFooter>
    <oddHeader xml:space="preserve">&amp;Cpage &amp;P of &amp;N&amp;R&amp;D &amp;T&amp;L&amp;"Calibri"&amp;12&amp;K000000Classification: HIGHLY SENSITIVE&amp;1#_x000D_&amp;"Calibri"&amp;11&amp;K000000File: &amp;F Sheet: &amp;A 
</oddHeader>
  </headerFooter>
  <rowBreaks count="2" manualBreakCount="2">
    <brk id="121" max="16383" man="1"/>
    <brk id="171"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FA9253-48C0-4910-8C72-FDC5297BD876}">
  <sheetPr codeName="Sheet6"/>
  <dimension ref="A1:V72"/>
  <sheetViews>
    <sheetView zoomScaleNormal="100" workbookViewId="0"/>
  </sheetViews>
  <sheetFormatPr defaultColWidth="8.796875" defaultRowHeight="11.65" x14ac:dyDescent="0.35"/>
  <cols>
    <col min="1" max="1" width="10" style="10" customWidth="1"/>
    <col min="2" max="2" width="27" style="10" bestFit="1" customWidth="1"/>
    <col min="3" max="3" width="16.796875" style="10" bestFit="1" customWidth="1"/>
    <col min="4" max="12" width="13.265625" style="10" customWidth="1"/>
    <col min="13" max="13" width="10" style="10" bestFit="1" customWidth="1"/>
    <col min="14" max="14" width="10.06640625" style="10" bestFit="1" customWidth="1"/>
    <col min="15" max="16384" width="8.796875" style="10"/>
  </cols>
  <sheetData>
    <row r="1" spans="1:20" ht="18" x14ac:dyDescent="0.55000000000000004">
      <c r="A1" s="7" t="s">
        <v>106</v>
      </c>
      <c r="N1"/>
    </row>
    <row r="2" spans="1:20" ht="14.25" x14ac:dyDescent="0.45">
      <c r="N2"/>
    </row>
    <row r="3" spans="1:20" ht="14.25" x14ac:dyDescent="0.45">
      <c r="C3" s="215"/>
      <c r="D3" s="174" t="s">
        <v>92</v>
      </c>
      <c r="E3" s="174" t="s">
        <v>93</v>
      </c>
      <c r="F3" s="174" t="s">
        <v>51</v>
      </c>
      <c r="G3" s="174" t="s">
        <v>138</v>
      </c>
      <c r="H3" s="174" t="s">
        <v>139</v>
      </c>
      <c r="I3" s="174" t="s">
        <v>140</v>
      </c>
      <c r="J3" s="174" t="s">
        <v>141</v>
      </c>
      <c r="K3" s="174" t="s">
        <v>142</v>
      </c>
      <c r="L3" s="174" t="s">
        <v>143</v>
      </c>
      <c r="N3"/>
    </row>
    <row r="4" spans="1:20" ht="14.25" x14ac:dyDescent="0.45">
      <c r="A4" s="28" t="s">
        <v>210</v>
      </c>
      <c r="B4" s="28"/>
      <c r="C4" s="215"/>
      <c r="D4" s="216">
        <v>7.4999999999999997E-2</v>
      </c>
      <c r="E4" s="216">
        <v>7.4999999999999997E-2</v>
      </c>
      <c r="F4" s="216">
        <v>7.4999999999999997E-2</v>
      </c>
      <c r="G4" s="216">
        <v>7.4999999999999997E-2</v>
      </c>
      <c r="H4" s="216">
        <v>7.4999999999999997E-2</v>
      </c>
      <c r="I4" s="216">
        <v>7.4999999999999997E-2</v>
      </c>
      <c r="J4" s="216">
        <v>7.4999999999999997E-2</v>
      </c>
      <c r="K4" s="216">
        <v>7.4999999999999997E-2</v>
      </c>
      <c r="L4" s="216">
        <v>7.4999999999999997E-2</v>
      </c>
      <c r="N4"/>
      <c r="R4" s="28"/>
      <c r="S4" s="67"/>
    </row>
    <row r="5" spans="1:20" ht="14.25" x14ac:dyDescent="0.45">
      <c r="A5" s="28"/>
      <c r="B5" s="28"/>
      <c r="C5" s="215"/>
      <c r="D5" s="28"/>
      <c r="G5" s="29"/>
      <c r="I5" s="29"/>
      <c r="J5" s="28"/>
      <c r="K5" s="28"/>
      <c r="L5" s="28"/>
      <c r="M5" s="28"/>
      <c r="N5"/>
    </row>
    <row r="6" spans="1:20" ht="14.25" x14ac:dyDescent="0.45">
      <c r="A6" s="28" t="s">
        <v>422</v>
      </c>
      <c r="B6" s="28" t="s">
        <v>107</v>
      </c>
      <c r="C6" s="28"/>
      <c r="D6" s="286">
        <v>1000000</v>
      </c>
      <c r="E6" s="48" t="s">
        <v>107</v>
      </c>
      <c r="G6" s="29"/>
      <c r="I6" s="29"/>
      <c r="J6" s="28"/>
      <c r="K6" s="28"/>
      <c r="L6" s="28"/>
      <c r="M6" s="28"/>
      <c r="N6"/>
    </row>
    <row r="7" spans="1:20" ht="14.25" x14ac:dyDescent="0.45">
      <c r="A7" s="28"/>
      <c r="B7" s="28" t="s">
        <v>108</v>
      </c>
      <c r="C7" s="28"/>
      <c r="D7" s="286">
        <v>1000</v>
      </c>
      <c r="E7" s="48" t="s">
        <v>108</v>
      </c>
      <c r="G7" s="29"/>
      <c r="I7" s="29"/>
      <c r="J7" s="28"/>
      <c r="K7" s="28"/>
      <c r="L7" s="28"/>
      <c r="M7" s="28"/>
      <c r="N7"/>
    </row>
    <row r="8" spans="1:20" ht="14.25" x14ac:dyDescent="0.45">
      <c r="A8" s="28"/>
      <c r="B8" s="28"/>
      <c r="C8" s="28"/>
      <c r="D8" s="69"/>
      <c r="E8" s="28"/>
      <c r="F8" s="28"/>
      <c r="G8" s="29"/>
      <c r="H8" s="29"/>
      <c r="I8" s="29"/>
      <c r="J8" s="28"/>
      <c r="K8" s="28"/>
      <c r="L8" s="28"/>
      <c r="M8" s="28"/>
      <c r="N8"/>
    </row>
    <row r="9" spans="1:20" ht="14.25" x14ac:dyDescent="0.45">
      <c r="A9" s="28" t="s">
        <v>423</v>
      </c>
      <c r="B9" s="28"/>
      <c r="C9" s="28"/>
      <c r="D9" s="285">
        <v>0.75</v>
      </c>
      <c r="E9" s="48" t="s">
        <v>109</v>
      </c>
      <c r="F9" s="28"/>
      <c r="G9" s="28"/>
      <c r="H9" s="29"/>
      <c r="I9" s="73"/>
      <c r="J9" s="28"/>
      <c r="K9" s="28"/>
      <c r="L9" s="28"/>
      <c r="M9" s="28"/>
      <c r="N9"/>
    </row>
    <row r="10" spans="1:20" ht="14.25" x14ac:dyDescent="0.45">
      <c r="A10" s="28" t="s">
        <v>424</v>
      </c>
      <c r="B10" s="28"/>
      <c r="C10" s="28"/>
      <c r="D10" s="287">
        <v>0.04</v>
      </c>
      <c r="E10" s="48" t="s">
        <v>110</v>
      </c>
      <c r="F10" s="28"/>
      <c r="G10" s="28"/>
      <c r="H10" s="29"/>
      <c r="I10" s="29"/>
      <c r="J10" s="28"/>
      <c r="K10" s="28"/>
      <c r="L10" s="28"/>
      <c r="M10" s="28"/>
      <c r="N10"/>
    </row>
    <row r="11" spans="1:20" ht="14.25" x14ac:dyDescent="0.45">
      <c r="A11" s="28"/>
      <c r="B11" s="28"/>
      <c r="C11" s="28"/>
      <c r="D11" s="69"/>
      <c r="F11" s="28"/>
      <c r="G11" s="28"/>
      <c r="H11" s="29"/>
      <c r="I11" s="29"/>
      <c r="J11" s="28"/>
      <c r="K11" s="28"/>
      <c r="L11" s="28"/>
      <c r="M11" s="28"/>
      <c r="N11"/>
    </row>
    <row r="12" spans="1:20" ht="14.25" x14ac:dyDescent="0.45">
      <c r="A12" s="28" t="s">
        <v>425</v>
      </c>
      <c r="B12" s="28"/>
      <c r="C12" s="28"/>
      <c r="D12" s="287">
        <v>0.1</v>
      </c>
      <c r="E12" s="287">
        <v>0.1</v>
      </c>
      <c r="F12" s="287">
        <v>0.1</v>
      </c>
      <c r="G12" s="287">
        <v>0.1</v>
      </c>
      <c r="H12" s="287">
        <v>0.18799999999999994</v>
      </c>
      <c r="I12" s="287">
        <v>0.27599999999999997</v>
      </c>
      <c r="J12" s="287">
        <v>0.36399999999999999</v>
      </c>
      <c r="K12" s="287">
        <v>0.45200000000000001</v>
      </c>
      <c r="L12" s="287">
        <v>0.54</v>
      </c>
      <c r="M12" s="48" t="s">
        <v>111</v>
      </c>
      <c r="N12"/>
      <c r="R12" s="28"/>
      <c r="S12" s="67"/>
    </row>
    <row r="13" spans="1:20" ht="14.25" x14ac:dyDescent="0.45">
      <c r="A13" s="28"/>
      <c r="B13" s="28"/>
      <c r="C13" s="28"/>
      <c r="D13" s="28"/>
      <c r="F13" s="28"/>
      <c r="G13" s="28"/>
      <c r="H13" s="28"/>
      <c r="I13" s="28"/>
      <c r="J13" s="28"/>
      <c r="K13" s="28"/>
      <c r="L13" s="28"/>
      <c r="M13" s="28"/>
      <c r="N13"/>
      <c r="S13" s="28"/>
      <c r="T13" s="67"/>
    </row>
    <row r="14" spans="1:20" ht="14.25" x14ac:dyDescent="0.45">
      <c r="A14" s="56" t="s">
        <v>426</v>
      </c>
      <c r="B14" s="68"/>
      <c r="C14" s="68"/>
      <c r="D14" s="179"/>
      <c r="E14" s="28"/>
      <c r="G14" s="28"/>
      <c r="H14" s="28"/>
      <c r="I14" s="28"/>
      <c r="J14" s="28"/>
      <c r="K14" s="28"/>
      <c r="L14" s="28"/>
      <c r="M14" s="28"/>
      <c r="N14"/>
      <c r="R14" s="28"/>
      <c r="S14" s="67"/>
    </row>
    <row r="15" spans="1:20" ht="14.25" x14ac:dyDescent="0.45">
      <c r="B15" s="28" t="s">
        <v>69</v>
      </c>
      <c r="C15" s="28"/>
      <c r="D15" s="288">
        <v>1</v>
      </c>
      <c r="E15" s="28"/>
      <c r="G15" s="28"/>
      <c r="H15" s="28"/>
      <c r="I15" s="28"/>
      <c r="J15" s="28"/>
      <c r="K15" s="28"/>
      <c r="L15" s="28"/>
      <c r="M15" s="28"/>
      <c r="N15"/>
      <c r="R15" s="28"/>
      <c r="S15" s="67"/>
    </row>
    <row r="16" spans="1:20" ht="14.25" x14ac:dyDescent="0.45">
      <c r="B16" s="28" t="s">
        <v>64</v>
      </c>
      <c r="C16" s="28"/>
      <c r="D16" s="288">
        <v>0.34659090909090906</v>
      </c>
      <c r="E16" s="28"/>
      <c r="G16" s="28"/>
      <c r="H16" s="28"/>
      <c r="I16" s="28"/>
      <c r="J16" s="28"/>
      <c r="K16" s="28"/>
      <c r="L16" s="28"/>
      <c r="M16" s="28"/>
      <c r="N16"/>
      <c r="R16" s="28"/>
      <c r="S16" s="67"/>
    </row>
    <row r="17" spans="1:20" ht="14.25" x14ac:dyDescent="0.45">
      <c r="B17" s="28" t="s">
        <v>71</v>
      </c>
      <c r="C17" s="28"/>
      <c r="D17" s="288">
        <v>0.25</v>
      </c>
      <c r="E17" s="28"/>
      <c r="G17" s="28"/>
      <c r="H17" s="28"/>
      <c r="I17" s="28"/>
      <c r="J17" s="28"/>
      <c r="K17" s="28"/>
      <c r="L17" s="28"/>
      <c r="M17" s="28"/>
      <c r="N17"/>
      <c r="R17" s="28"/>
      <c r="S17" s="67"/>
    </row>
    <row r="18" spans="1:20" ht="14.25" x14ac:dyDescent="0.45">
      <c r="B18" s="28" t="s">
        <v>72</v>
      </c>
      <c r="C18" s="28"/>
      <c r="D18" s="288">
        <v>0.1</v>
      </c>
      <c r="E18" s="28"/>
      <c r="G18" s="28"/>
      <c r="H18" s="28"/>
      <c r="I18" s="28"/>
      <c r="J18" s="28"/>
      <c r="K18" s="28"/>
      <c r="L18" s="28"/>
      <c r="M18" s="28"/>
      <c r="N18"/>
      <c r="R18" s="28"/>
      <c r="S18" s="67"/>
    </row>
    <row r="19" spans="1:20" ht="14.25" x14ac:dyDescent="0.45">
      <c r="B19" s="28" t="s">
        <v>73</v>
      </c>
      <c r="C19" s="28"/>
      <c r="D19" s="288">
        <v>0.15</v>
      </c>
      <c r="E19" s="28"/>
      <c r="G19" s="28"/>
      <c r="H19" s="28"/>
      <c r="I19" s="28"/>
      <c r="J19" s="28"/>
      <c r="K19" s="28"/>
      <c r="L19" s="28"/>
      <c r="M19" s="28"/>
      <c r="N19"/>
      <c r="R19" s="28"/>
      <c r="S19" s="67"/>
    </row>
    <row r="20" spans="1:20" ht="14.25" x14ac:dyDescent="0.45">
      <c r="A20" s="56"/>
      <c r="B20" s="28" t="s">
        <v>75</v>
      </c>
      <c r="C20" s="28"/>
      <c r="D20" s="288">
        <v>3.3000000000000002E-2</v>
      </c>
      <c r="E20" s="28"/>
      <c r="G20" s="28"/>
      <c r="H20" s="28"/>
      <c r="I20" s="28"/>
      <c r="J20" s="28"/>
      <c r="K20" s="28"/>
      <c r="L20" s="28"/>
      <c r="M20" s="28"/>
      <c r="N20"/>
      <c r="R20" s="28"/>
      <c r="S20" s="67"/>
    </row>
    <row r="21" spans="1:20" ht="14.25" x14ac:dyDescent="0.45">
      <c r="A21" s="56"/>
      <c r="B21" s="28"/>
      <c r="C21" s="28"/>
      <c r="D21" s="180"/>
      <c r="E21" s="28"/>
      <c r="G21" s="28"/>
      <c r="H21" s="28"/>
      <c r="I21" s="28"/>
      <c r="J21" s="28"/>
      <c r="K21" s="28"/>
      <c r="L21" s="28"/>
      <c r="M21" s="28"/>
      <c r="N21"/>
      <c r="R21" s="28"/>
      <c r="S21" s="67"/>
    </row>
    <row r="22" spans="1:20" ht="14.25" x14ac:dyDescent="0.45">
      <c r="A22" s="28" t="s">
        <v>427</v>
      </c>
      <c r="B22" s="28"/>
      <c r="C22" s="28"/>
      <c r="D22" s="181">
        <v>3</v>
      </c>
      <c r="F22" s="28"/>
      <c r="G22" s="28"/>
      <c r="H22" s="28"/>
      <c r="I22" s="28"/>
      <c r="J22" s="28"/>
      <c r="K22" s="28"/>
      <c r="L22" s="28"/>
      <c r="M22" s="28"/>
      <c r="N22"/>
      <c r="S22" s="28"/>
      <c r="T22" s="67"/>
    </row>
    <row r="23" spans="1:20" ht="14.25" x14ac:dyDescent="0.45">
      <c r="A23" s="28"/>
      <c r="B23" s="28"/>
      <c r="C23" s="28"/>
      <c r="D23" s="28"/>
      <c r="E23" s="28"/>
      <c r="F23" s="28"/>
      <c r="G23" s="28"/>
      <c r="H23" s="28"/>
      <c r="I23" s="28"/>
      <c r="J23" s="28"/>
      <c r="K23" s="28"/>
      <c r="L23" s="28"/>
      <c r="M23" s="28"/>
      <c r="N23"/>
    </row>
    <row r="24" spans="1:20" ht="14.25" x14ac:dyDescent="0.45">
      <c r="A24" s="28" t="s">
        <v>428</v>
      </c>
      <c r="B24" s="28"/>
      <c r="C24" s="28" t="s">
        <v>429</v>
      </c>
      <c r="D24" s="287">
        <v>1</v>
      </c>
      <c r="F24" s="28"/>
      <c r="G24" s="28"/>
      <c r="H24" s="28"/>
      <c r="I24" s="28"/>
      <c r="J24" s="28"/>
      <c r="K24" s="28"/>
      <c r="L24" s="28"/>
      <c r="M24" s="28"/>
      <c r="N24"/>
    </row>
    <row r="25" spans="1:20" ht="14.25" x14ac:dyDescent="0.45">
      <c r="A25" s="28"/>
      <c r="B25" s="28"/>
      <c r="C25" s="28" t="s">
        <v>430</v>
      </c>
      <c r="D25" s="287">
        <v>0</v>
      </c>
      <c r="F25" s="28"/>
      <c r="G25" s="28"/>
      <c r="H25" s="28"/>
      <c r="I25" s="28"/>
      <c r="J25" s="28"/>
      <c r="K25" s="28"/>
      <c r="L25" s="28"/>
      <c r="M25" s="28"/>
      <c r="N25"/>
    </row>
    <row r="26" spans="1:20" ht="14.25" x14ac:dyDescent="0.45">
      <c r="A26" s="28"/>
      <c r="B26" s="28"/>
      <c r="C26" s="28" t="s">
        <v>431</v>
      </c>
      <c r="D26" s="287">
        <v>0</v>
      </c>
      <c r="F26" s="28"/>
      <c r="G26" s="28"/>
      <c r="H26" s="28"/>
      <c r="I26" s="28"/>
      <c r="J26" s="28"/>
      <c r="K26" s="28"/>
      <c r="L26" s="28"/>
      <c r="M26" s="28"/>
      <c r="N26"/>
    </row>
    <row r="27" spans="1:20" ht="14.25" x14ac:dyDescent="0.45">
      <c r="A27" s="28"/>
      <c r="B27" s="28"/>
      <c r="C27" s="28" t="s">
        <v>146</v>
      </c>
      <c r="D27" s="74">
        <f>SUM(D24:D26)</f>
        <v>1</v>
      </c>
      <c r="F27" s="28"/>
      <c r="G27" s="28"/>
      <c r="H27" s="28"/>
      <c r="I27" s="28"/>
      <c r="J27" s="28"/>
      <c r="K27" s="28"/>
      <c r="L27" s="28"/>
      <c r="M27" s="28"/>
      <c r="N27"/>
    </row>
    <row r="28" spans="1:20" ht="14.25" x14ac:dyDescent="0.45">
      <c r="A28" s="28"/>
      <c r="B28" s="28"/>
      <c r="C28" s="28"/>
      <c r="D28" s="28"/>
      <c r="E28" s="28"/>
      <c r="F28" s="28"/>
      <c r="G28" s="28"/>
      <c r="H28" s="28"/>
      <c r="I28" s="28"/>
      <c r="J28" s="28"/>
      <c r="K28" s="28"/>
      <c r="L28" s="28"/>
      <c r="M28" s="28"/>
      <c r="N28"/>
    </row>
    <row r="29" spans="1:20" ht="14.25" x14ac:dyDescent="0.45">
      <c r="A29" s="28" t="s">
        <v>432</v>
      </c>
      <c r="B29" s="28"/>
      <c r="C29" s="28"/>
      <c r="D29" s="285">
        <v>1.8</v>
      </c>
      <c r="F29" s="28"/>
      <c r="G29" s="28"/>
      <c r="H29" s="28"/>
      <c r="I29" s="28"/>
      <c r="J29" s="28"/>
      <c r="K29" s="28"/>
      <c r="L29" s="28"/>
      <c r="M29" s="28"/>
      <c r="N29"/>
    </row>
    <row r="30" spans="1:20" ht="14.25" x14ac:dyDescent="0.45">
      <c r="A30" s="28" t="s">
        <v>433</v>
      </c>
      <c r="B30" s="28"/>
      <c r="C30" s="28"/>
      <c r="D30" s="285">
        <v>1</v>
      </c>
      <c r="E30" s="48" t="s">
        <v>112</v>
      </c>
      <c r="F30" s="28"/>
      <c r="G30" s="28"/>
      <c r="H30" s="28"/>
      <c r="I30" s="28"/>
      <c r="J30" s="28"/>
      <c r="K30" s="28"/>
      <c r="L30" s="28"/>
      <c r="M30" s="28"/>
      <c r="N30"/>
    </row>
    <row r="31" spans="1:20" ht="14.25" x14ac:dyDescent="0.45">
      <c r="A31" s="28"/>
      <c r="B31" s="28"/>
      <c r="C31" s="28"/>
      <c r="D31" s="28"/>
      <c r="E31" s="28"/>
      <c r="F31" s="28"/>
      <c r="G31" s="28"/>
      <c r="H31" s="28"/>
      <c r="I31" s="28"/>
      <c r="J31" s="28"/>
      <c r="K31" s="28"/>
      <c r="L31" s="28"/>
      <c r="M31" s="28"/>
      <c r="N31"/>
    </row>
    <row r="32" spans="1:20" ht="14.25" x14ac:dyDescent="0.45">
      <c r="A32" s="28" t="s">
        <v>434</v>
      </c>
      <c r="B32" s="96"/>
      <c r="C32" s="72" t="s">
        <v>113</v>
      </c>
      <c r="D32" s="285">
        <v>0</v>
      </c>
      <c r="F32" s="28"/>
      <c r="G32" s="28"/>
      <c r="H32" s="28"/>
      <c r="I32" s="28"/>
      <c r="J32" s="28"/>
      <c r="K32" s="28"/>
      <c r="L32" s="28"/>
      <c r="M32" s="28"/>
      <c r="N32"/>
    </row>
    <row r="33" spans="1:14" ht="14.25" x14ac:dyDescent="0.45">
      <c r="A33" s="28"/>
      <c r="B33" s="96"/>
      <c r="C33" s="72" t="s">
        <v>114</v>
      </c>
      <c r="D33" s="285">
        <v>2</v>
      </c>
      <c r="F33" s="28"/>
      <c r="G33" s="28"/>
      <c r="H33" s="28"/>
      <c r="I33" s="28"/>
      <c r="J33" s="28"/>
      <c r="K33" s="28"/>
      <c r="L33" s="28"/>
      <c r="M33" s="28"/>
      <c r="N33"/>
    </row>
    <row r="34" spans="1:14" ht="14.25" x14ac:dyDescent="0.45">
      <c r="N34"/>
    </row>
    <row r="35" spans="1:14" ht="14.25" x14ac:dyDescent="0.45">
      <c r="N35"/>
    </row>
    <row r="36" spans="1:14" ht="18" x14ac:dyDescent="0.45">
      <c r="A36" s="170" t="s">
        <v>435</v>
      </c>
      <c r="B36" s="28"/>
      <c r="D36" s="174" t="s">
        <v>92</v>
      </c>
      <c r="E36" s="174" t="s">
        <v>93</v>
      </c>
      <c r="F36" s="174" t="s">
        <v>51</v>
      </c>
      <c r="G36" s="174" t="s">
        <v>138</v>
      </c>
      <c r="H36" s="174" t="s">
        <v>139</v>
      </c>
      <c r="I36" s="174" t="s">
        <v>140</v>
      </c>
      <c r="J36" s="174" t="s">
        <v>141</v>
      </c>
      <c r="K36" s="174" t="s">
        <v>142</v>
      </c>
      <c r="L36" s="174" t="s">
        <v>143</v>
      </c>
      <c r="N36"/>
    </row>
    <row r="37" spans="1:14" ht="14.25" x14ac:dyDescent="0.45">
      <c r="A37" s="175" t="s">
        <v>436</v>
      </c>
      <c r="B37" s="28"/>
      <c r="D37" s="181" t="s">
        <v>437</v>
      </c>
      <c r="E37" s="181" t="s">
        <v>437</v>
      </c>
      <c r="F37" s="181" t="s">
        <v>437</v>
      </c>
      <c r="G37" s="181" t="s">
        <v>437</v>
      </c>
      <c r="H37" s="181" t="s">
        <v>438</v>
      </c>
      <c r="I37" s="181" t="s">
        <v>438</v>
      </c>
      <c r="J37" s="181" t="s">
        <v>438</v>
      </c>
      <c r="K37" s="181" t="s">
        <v>438</v>
      </c>
      <c r="L37" s="181" t="s">
        <v>438</v>
      </c>
      <c r="N37"/>
    </row>
    <row r="38" spans="1:14" ht="14.25" x14ac:dyDescent="0.45">
      <c r="A38" s="175" t="s">
        <v>439</v>
      </c>
      <c r="B38" s="28"/>
      <c r="D38" s="287">
        <v>0.12873938663127604</v>
      </c>
      <c r="E38" s="287">
        <v>7.4787643228200862E-2</v>
      </c>
      <c r="F38" s="287">
        <v>3.3025740878852572E-2</v>
      </c>
      <c r="G38" s="287">
        <v>4.5646370047441875E-2</v>
      </c>
      <c r="H38" s="287">
        <v>0.03</v>
      </c>
      <c r="I38" s="287">
        <v>0.03</v>
      </c>
      <c r="J38" s="287">
        <v>0.03</v>
      </c>
      <c r="K38" s="287">
        <v>0.03</v>
      </c>
      <c r="L38" s="287">
        <v>0.03</v>
      </c>
      <c r="M38" s="261" t="s">
        <v>115</v>
      </c>
      <c r="N38"/>
    </row>
    <row r="39" spans="1:14" ht="14.25" x14ac:dyDescent="0.45">
      <c r="A39" s="28" t="s">
        <v>440</v>
      </c>
      <c r="B39" s="28"/>
      <c r="D39" s="181" t="s">
        <v>117</v>
      </c>
      <c r="E39" s="181" t="s">
        <v>117</v>
      </c>
      <c r="F39" s="181" t="s">
        <v>117</v>
      </c>
      <c r="G39" s="181" t="s">
        <v>117</v>
      </c>
      <c r="H39" s="181" t="s">
        <v>117</v>
      </c>
      <c r="I39" s="181" t="s">
        <v>117</v>
      </c>
      <c r="J39" s="181" t="s">
        <v>117</v>
      </c>
      <c r="K39" s="181" t="s">
        <v>117</v>
      </c>
      <c r="L39" s="181" t="s">
        <v>117</v>
      </c>
      <c r="N39"/>
    </row>
    <row r="40" spans="1:14" ht="14.25" x14ac:dyDescent="0.45">
      <c r="A40" s="28" t="s">
        <v>441</v>
      </c>
      <c r="B40" s="28"/>
      <c r="D40" s="287">
        <v>0.10036409874522789</v>
      </c>
      <c r="E40" s="287">
        <v>5.6703919580784135E-2</v>
      </c>
      <c r="F40" s="287">
        <v>2.3545128743536425E-2</v>
      </c>
      <c r="G40" s="287">
        <v>3.5422237353326391E-2</v>
      </c>
      <c r="H40" s="287">
        <v>2.1823266989722256E-2</v>
      </c>
      <c r="I40" s="287">
        <v>1.9935780988294516E-2</v>
      </c>
      <c r="J40" s="287">
        <v>2.0957399820160205E-2</v>
      </c>
      <c r="K40" s="287">
        <v>2.0094840093029198E-2</v>
      </c>
      <c r="L40" s="287">
        <v>1.9998866368604373E-2</v>
      </c>
      <c r="M40" s="261" t="s">
        <v>116</v>
      </c>
      <c r="N40"/>
    </row>
    <row r="41" spans="1:14" ht="14.25" x14ac:dyDescent="0.45">
      <c r="A41" s="28" t="s">
        <v>117</v>
      </c>
      <c r="B41" s="28"/>
      <c r="D41" s="287">
        <v>0.10036409874522789</v>
      </c>
      <c r="E41" s="287">
        <v>5.6703919580784135E-2</v>
      </c>
      <c r="F41" s="287">
        <v>2.3545128743536425E-2</v>
      </c>
      <c r="G41" s="287">
        <v>3.5422237353326391E-2</v>
      </c>
      <c r="H41" s="287">
        <v>2.1823266989722256E-2</v>
      </c>
      <c r="I41" s="287">
        <v>1.9935780988294516E-2</v>
      </c>
      <c r="J41" s="287">
        <v>2.0957399820160205E-2</v>
      </c>
      <c r="K41" s="287">
        <v>2.0094840093029198E-2</v>
      </c>
      <c r="L41" s="287">
        <v>1.9998866368604373E-2</v>
      </c>
      <c r="M41" s="261" t="s">
        <v>117</v>
      </c>
      <c r="N41"/>
    </row>
    <row r="42" spans="1:14" ht="14.25" x14ac:dyDescent="0.45">
      <c r="N42"/>
    </row>
    <row r="43" spans="1:14" customFormat="1" ht="18" x14ac:dyDescent="0.55000000000000004">
      <c r="A43" s="7" t="s">
        <v>118</v>
      </c>
      <c r="B43" s="9"/>
      <c r="C43" s="9"/>
      <c r="D43" s="9"/>
      <c r="E43" s="9"/>
      <c r="G43" s="9"/>
      <c r="H43" s="9"/>
      <c r="I43" s="9"/>
      <c r="J43" s="9"/>
      <c r="K43" s="9"/>
      <c r="L43" s="9"/>
      <c r="M43" s="9"/>
    </row>
    <row r="44" spans="1:14" ht="14.25" x14ac:dyDescent="0.45">
      <c r="A44" s="13"/>
      <c r="C44" s="72"/>
      <c r="D44" s="69"/>
      <c r="F44" s="28"/>
      <c r="G44" s="28"/>
      <c r="H44" s="28"/>
      <c r="I44" s="28"/>
      <c r="J44" s="28"/>
      <c r="K44" s="28"/>
      <c r="L44" s="28"/>
      <c r="M44" s="28"/>
      <c r="N44"/>
    </row>
    <row r="45" spans="1:14" ht="14.25" x14ac:dyDescent="0.45">
      <c r="A45" s="72" t="s">
        <v>118</v>
      </c>
      <c r="B45" s="72" t="s">
        <v>119</v>
      </c>
      <c r="C45" s="72" t="s">
        <v>120</v>
      </c>
      <c r="D45" s="181">
        <v>40</v>
      </c>
      <c r="E45" s="48" t="s">
        <v>121</v>
      </c>
      <c r="G45" s="28"/>
      <c r="H45" s="28"/>
      <c r="I45" s="28"/>
      <c r="J45" s="28"/>
      <c r="K45" s="28"/>
      <c r="L45" s="28"/>
      <c r="M45" s="28"/>
      <c r="N45"/>
    </row>
    <row r="46" spans="1:14" ht="14.25" x14ac:dyDescent="0.45">
      <c r="A46" s="28"/>
      <c r="B46" s="72" t="s">
        <v>122</v>
      </c>
      <c r="C46" s="72" t="s">
        <v>120</v>
      </c>
      <c r="D46" s="181">
        <v>40</v>
      </c>
      <c r="E46" s="48" t="s">
        <v>123</v>
      </c>
      <c r="G46" s="28"/>
      <c r="H46" s="28"/>
      <c r="I46" s="28"/>
      <c r="J46" s="28"/>
      <c r="K46" s="28"/>
      <c r="L46" s="28"/>
      <c r="M46" s="28"/>
      <c r="N46"/>
    </row>
    <row r="47" spans="1:14" ht="14.25" x14ac:dyDescent="0.45">
      <c r="N47"/>
    </row>
    <row r="48" spans="1:14" ht="8.25" customHeight="1" x14ac:dyDescent="0.45">
      <c r="N48"/>
    </row>
    <row r="49" spans="1:22" ht="18" x14ac:dyDescent="0.55000000000000004">
      <c r="A49" s="7" t="s">
        <v>124</v>
      </c>
      <c r="B49"/>
      <c r="C49" s="70"/>
      <c r="D49" s="39"/>
      <c r="E49"/>
      <c r="F49"/>
      <c r="N49"/>
    </row>
    <row r="50" spans="1:22" ht="6.75" customHeight="1" x14ac:dyDescent="0.45">
      <c r="N50"/>
    </row>
    <row r="51" spans="1:22" customFormat="1" ht="15.75" x14ac:dyDescent="0.5">
      <c r="A51" s="192" t="s">
        <v>125</v>
      </c>
      <c r="B51" s="28"/>
      <c r="C51" s="28"/>
      <c r="D51" s="69"/>
      <c r="E51" s="48"/>
    </row>
    <row r="52" spans="1:22" customFormat="1" ht="14.25" x14ac:dyDescent="0.45">
      <c r="A52" s="62"/>
      <c r="B52" s="28"/>
      <c r="C52" s="28"/>
      <c r="D52" s="92"/>
      <c r="E52" s="48"/>
    </row>
    <row r="53" spans="1:22" customFormat="1" ht="14.25" x14ac:dyDescent="0.45">
      <c r="A53" s="62"/>
      <c r="B53" s="28"/>
      <c r="C53" s="28"/>
      <c r="D53" s="18" t="s">
        <v>92</v>
      </c>
      <c r="E53" s="18" t="s">
        <v>93</v>
      </c>
      <c r="F53" s="18" t="s">
        <v>51</v>
      </c>
      <c r="G53" s="18" t="s">
        <v>138</v>
      </c>
      <c r="H53" s="18" t="s">
        <v>139</v>
      </c>
      <c r="I53" s="18" t="s">
        <v>140</v>
      </c>
      <c r="J53" s="18" t="s">
        <v>141</v>
      </c>
      <c r="K53" s="18" t="s">
        <v>142</v>
      </c>
      <c r="L53" s="18" t="s">
        <v>143</v>
      </c>
    </row>
    <row r="54" spans="1:22" customFormat="1" ht="14.25" x14ac:dyDescent="0.45">
      <c r="B54" s="72" t="s">
        <v>126</v>
      </c>
      <c r="C54" s="28"/>
      <c r="D54" s="291">
        <v>4111323</v>
      </c>
      <c r="E54" s="291">
        <f>D57</f>
        <v>4117508</v>
      </c>
      <c r="F54" s="291">
        <f t="shared" ref="F54:L54" si="0">E57</f>
        <v>4170592.2414446305</v>
      </c>
      <c r="G54" s="291">
        <f t="shared" si="0"/>
        <v>4199668.1621502209</v>
      </c>
      <c r="H54" s="291">
        <f t="shared" si="0"/>
        <v>4210372.2738258988</v>
      </c>
      <c r="I54" s="291">
        <f t="shared" si="0"/>
        <v>4239435.9705517311</v>
      </c>
      <c r="J54" s="291">
        <f t="shared" si="0"/>
        <v>4257742.8870905275</v>
      </c>
      <c r="K54" s="291">
        <f t="shared" si="0"/>
        <v>4268243.2026190292</v>
      </c>
      <c r="L54" s="291">
        <f t="shared" si="0"/>
        <v>4286044.3661497645</v>
      </c>
      <c r="M54" s="48"/>
    </row>
    <row r="55" spans="1:22" customFormat="1" ht="14.25" x14ac:dyDescent="0.45">
      <c r="B55" s="72" t="s">
        <v>127</v>
      </c>
      <c r="C55" s="28"/>
      <c r="D55" s="291">
        <v>0</v>
      </c>
      <c r="E55" s="291">
        <v>86948.05559063211</v>
      </c>
      <c r="F55" s="291">
        <v>67598.572911615658</v>
      </c>
      <c r="G55" s="291">
        <v>77331.791805798319</v>
      </c>
      <c r="H55" s="291">
        <v>76156.9859589189</v>
      </c>
      <c r="I55" s="291">
        <v>48953.985542623101</v>
      </c>
      <c r="J55" s="291">
        <v>46717.059735323826</v>
      </c>
      <c r="K55" s="291">
        <v>57441.88341738256</v>
      </c>
      <c r="L55" s="291">
        <v>41543.688764428378</v>
      </c>
      <c r="M55" s="48"/>
      <c r="N55" s="375"/>
      <c r="O55" s="375"/>
      <c r="P55" s="375"/>
      <c r="Q55" s="375"/>
      <c r="R55" s="375"/>
      <c r="S55" s="375"/>
      <c r="T55" s="375"/>
      <c r="U55" s="375"/>
      <c r="V55" s="375"/>
    </row>
    <row r="56" spans="1:22" customFormat="1" ht="14.25" x14ac:dyDescent="0.45">
      <c r="B56" s="72" t="s">
        <v>128</v>
      </c>
      <c r="C56" s="28"/>
      <c r="D56" s="291">
        <v>0</v>
      </c>
      <c r="E56" s="291">
        <v>-33863.814146001925</v>
      </c>
      <c r="F56" s="291">
        <v>-38522.65220602521</v>
      </c>
      <c r="G56" s="291">
        <v>-66627.680130120745</v>
      </c>
      <c r="H56" s="291">
        <v>-47093.289233086427</v>
      </c>
      <c r="I56" s="291">
        <v>-30647.069003826742</v>
      </c>
      <c r="J56" s="291">
        <v>-36216.744206822921</v>
      </c>
      <c r="K56" s="291">
        <v>-39640.719886647676</v>
      </c>
      <c r="L56" s="291">
        <v>-32311.963176262307</v>
      </c>
      <c r="M56" s="48"/>
      <c r="N56" s="375"/>
      <c r="O56" s="375"/>
      <c r="P56" s="375"/>
      <c r="Q56" s="375"/>
      <c r="R56" s="375"/>
      <c r="S56" s="375"/>
      <c r="T56" s="375"/>
      <c r="U56" s="375"/>
      <c r="V56" s="375"/>
    </row>
    <row r="57" spans="1:22" customFormat="1" ht="14.25" x14ac:dyDescent="0.45">
      <c r="B57" s="72" t="s">
        <v>129</v>
      </c>
      <c r="C57" s="28"/>
      <c r="D57" s="291">
        <v>4117508</v>
      </c>
      <c r="E57" s="291">
        <f>SUM(E54:E56)</f>
        <v>4170592.2414446305</v>
      </c>
      <c r="F57" s="291">
        <f t="shared" ref="F57:L57" si="1">SUM(F54:F56)</f>
        <v>4199668.1621502209</v>
      </c>
      <c r="G57" s="291">
        <f t="shared" si="1"/>
        <v>4210372.2738258988</v>
      </c>
      <c r="H57" s="291">
        <f t="shared" si="1"/>
        <v>4239435.9705517311</v>
      </c>
      <c r="I57" s="291">
        <f t="shared" si="1"/>
        <v>4257742.8870905275</v>
      </c>
      <c r="J57" s="291">
        <f t="shared" si="1"/>
        <v>4268243.2026190292</v>
      </c>
      <c r="K57" s="291">
        <f t="shared" si="1"/>
        <v>4286044.3661497645</v>
      </c>
      <c r="L57" s="291">
        <f t="shared" si="1"/>
        <v>4295276.0917379307</v>
      </c>
      <c r="M57" s="48"/>
    </row>
    <row r="58" spans="1:22" customFormat="1" ht="14.25" x14ac:dyDescent="0.45">
      <c r="C58" s="28"/>
      <c r="E58" s="191"/>
      <c r="F58" s="191"/>
      <c r="G58" s="191"/>
      <c r="H58" s="191"/>
      <c r="I58" s="191"/>
      <c r="J58" s="191"/>
      <c r="K58" s="191"/>
      <c r="L58" s="191"/>
      <c r="M58" s="48"/>
    </row>
    <row r="59" spans="1:22" ht="18" x14ac:dyDescent="0.55000000000000004">
      <c r="A59" s="193" t="s">
        <v>57</v>
      </c>
      <c r="C59" s="28"/>
      <c r="D59" s="69"/>
      <c r="E59" s="48"/>
      <c r="N59"/>
    </row>
    <row r="60" spans="1:22" ht="14.25" x14ac:dyDescent="0.45">
      <c r="N60"/>
    </row>
    <row r="61" spans="1:22" ht="14.25" x14ac:dyDescent="0.45">
      <c r="B61" s="194" t="s">
        <v>130</v>
      </c>
      <c r="D61" s="18" t="s">
        <v>92</v>
      </c>
      <c r="E61" s="18" t="s">
        <v>93</v>
      </c>
      <c r="F61" s="18" t="s">
        <v>51</v>
      </c>
      <c r="G61" s="18" t="s">
        <v>138</v>
      </c>
      <c r="H61" s="18" t="s">
        <v>139</v>
      </c>
      <c r="I61" s="18" t="s">
        <v>140</v>
      </c>
      <c r="J61" s="18" t="s">
        <v>141</v>
      </c>
      <c r="K61" s="18" t="s">
        <v>142</v>
      </c>
      <c r="L61" s="18" t="s">
        <v>143</v>
      </c>
      <c r="N61"/>
    </row>
    <row r="62" spans="1:22" ht="14.25" x14ac:dyDescent="0.45">
      <c r="A62" s="28"/>
      <c r="B62" s="72" t="s">
        <v>64</v>
      </c>
      <c r="C62" s="28"/>
      <c r="D62" s="290">
        <v>9.8546030718917876E-3</v>
      </c>
      <c r="E62" s="290">
        <v>9.3923819446914969E-3</v>
      </c>
      <c r="F62" s="290">
        <v>8.3982098770378766E-3</v>
      </c>
      <c r="G62" s="290">
        <v>7.2079809652807469E-3</v>
      </c>
      <c r="H62" s="290">
        <v>5.3811581252429797E-3</v>
      </c>
      <c r="I62" s="290">
        <v>3.4183761951236402E-3</v>
      </c>
      <c r="J62" s="290">
        <v>2.8031455430743701E-3</v>
      </c>
      <c r="K62" s="290">
        <v>2.9766443446384017E-3</v>
      </c>
      <c r="L62" s="290">
        <v>2.9678102291041952E-3</v>
      </c>
      <c r="N62"/>
    </row>
    <row r="63" spans="1:22" ht="14.25" x14ac:dyDescent="0.45">
      <c r="A63" s="28"/>
      <c r="B63" s="72" t="s">
        <v>71</v>
      </c>
      <c r="C63" s="28"/>
      <c r="D63" s="290">
        <v>2.7481799263040507E-4</v>
      </c>
      <c r="E63" s="290">
        <v>2.0322155331231606E-4</v>
      </c>
      <c r="F63" s="290">
        <v>9.4109814252396617E-5</v>
      </c>
      <c r="G63" s="290">
        <v>5.0350030374568533E-5</v>
      </c>
      <c r="H63" s="290">
        <v>3.7919921040296956E-5</v>
      </c>
      <c r="I63" s="290">
        <v>3.4186804993785458E-5</v>
      </c>
      <c r="J63" s="290">
        <v>3.6014776044979158E-5</v>
      </c>
      <c r="K63" s="290">
        <v>3.5374905089868847E-5</v>
      </c>
      <c r="L63" s="290">
        <v>3.537365375017032E-5</v>
      </c>
      <c r="N63"/>
    </row>
    <row r="64" spans="1:22" ht="14.25" x14ac:dyDescent="0.45">
      <c r="A64" s="28"/>
      <c r="B64" s="72" t="s">
        <v>72</v>
      </c>
      <c r="C64" s="28"/>
      <c r="D64" s="290">
        <v>2.3525561327897293E-5</v>
      </c>
      <c r="E64" s="290">
        <v>1.8579477446989401E-5</v>
      </c>
      <c r="F64" s="290">
        <v>9.2576537911170931E-6</v>
      </c>
      <c r="G64" s="290">
        <v>4.9613186836605649E-6</v>
      </c>
      <c r="H64" s="290">
        <v>4.9686030620943455E-6</v>
      </c>
      <c r="I64" s="290">
        <v>5.1253942279227971E-6</v>
      </c>
      <c r="J64" s="290">
        <v>5.5197535782092189E-6</v>
      </c>
      <c r="K64" s="290">
        <v>5.6851296008630925E-6</v>
      </c>
      <c r="L64" s="290">
        <v>5.6850972804944888E-6</v>
      </c>
      <c r="N64"/>
    </row>
    <row r="65" spans="1:22" ht="14.25" x14ac:dyDescent="0.45">
      <c r="A65" s="28"/>
      <c r="B65" s="72" t="s">
        <v>75</v>
      </c>
      <c r="C65" s="28"/>
      <c r="D65" s="290">
        <v>0</v>
      </c>
      <c r="E65" s="290">
        <v>0</v>
      </c>
      <c r="F65" s="290">
        <v>0</v>
      </c>
      <c r="G65" s="290">
        <v>0</v>
      </c>
      <c r="H65" s="290">
        <v>0</v>
      </c>
      <c r="I65" s="290">
        <v>0</v>
      </c>
      <c r="J65" s="290">
        <v>0</v>
      </c>
      <c r="K65" s="290">
        <v>0</v>
      </c>
      <c r="L65" s="290">
        <v>0</v>
      </c>
      <c r="N65"/>
    </row>
    <row r="66" spans="1:22" ht="14.25" x14ac:dyDescent="0.45">
      <c r="A66" s="28"/>
      <c r="B66" s="72" t="s">
        <v>73</v>
      </c>
      <c r="C66" s="28"/>
      <c r="D66" s="290">
        <v>4.166142299737885E-3</v>
      </c>
      <c r="E66" s="290">
        <v>3.7335395695996532E-3</v>
      </c>
      <c r="F66" s="290">
        <v>4.773744014447745E-3</v>
      </c>
      <c r="G66" s="290">
        <v>5.6972193071702648E-3</v>
      </c>
      <c r="H66" s="290">
        <v>4.3413240501768424E-3</v>
      </c>
      <c r="I66" s="290">
        <v>3.1691423549138342E-3</v>
      </c>
      <c r="J66" s="290">
        <v>2.8176715554655285E-3</v>
      </c>
      <c r="K66" s="290">
        <v>2.8207376939053397E-3</v>
      </c>
      <c r="L66" s="290">
        <v>2.8128035130106088E-3</v>
      </c>
      <c r="N66"/>
    </row>
    <row r="67" spans="1:22" ht="14.25" x14ac:dyDescent="0.45">
      <c r="A67" s="28"/>
      <c r="B67" s="28"/>
      <c r="C67" s="28"/>
      <c r="D67" s="92"/>
      <c r="E67" s="92"/>
      <c r="F67" s="92"/>
      <c r="G67" s="92"/>
      <c r="H67" s="92"/>
      <c r="I67" s="92"/>
      <c r="J67" s="92"/>
      <c r="K67" s="92"/>
      <c r="L67" s="92"/>
      <c r="N67"/>
    </row>
    <row r="68" spans="1:22" ht="14.25" x14ac:dyDescent="0.45">
      <c r="A68" s="28" t="s">
        <v>131</v>
      </c>
      <c r="B68" s="194"/>
      <c r="C68" s="28"/>
      <c r="D68" s="92"/>
      <c r="E68" s="48"/>
      <c r="F68"/>
      <c r="G68"/>
      <c r="H68"/>
      <c r="I68"/>
      <c r="J68"/>
      <c r="K68"/>
      <c r="L68"/>
      <c r="N68"/>
    </row>
    <row r="69" spans="1:22" ht="14.25" x14ac:dyDescent="0.45">
      <c r="A69" s="28"/>
      <c r="B69" s="72" t="s">
        <v>132</v>
      </c>
      <c r="C69" s="28"/>
      <c r="D69" s="289"/>
      <c r="E69" s="292">
        <v>382.66060640857586</v>
      </c>
      <c r="F69" s="292">
        <v>437.32904027795274</v>
      </c>
      <c r="G69" s="292">
        <v>457.33323238568141</v>
      </c>
      <c r="H69" s="292">
        <v>343.61098557148011</v>
      </c>
      <c r="I69" s="292">
        <v>278.01479906967194</v>
      </c>
      <c r="J69" s="292">
        <v>225.37848636548463</v>
      </c>
      <c r="K69" s="292">
        <v>225.83289686614472</v>
      </c>
      <c r="L69" s="292">
        <v>244.91366868619008</v>
      </c>
      <c r="N69" s="375"/>
      <c r="O69" s="375"/>
      <c r="P69" s="375"/>
      <c r="Q69" s="375"/>
      <c r="R69" s="375"/>
      <c r="S69" s="375"/>
      <c r="T69" s="375"/>
      <c r="U69" s="375"/>
      <c r="V69" s="375"/>
    </row>
    <row r="70" spans="1:22" ht="14.25" x14ac:dyDescent="0.45">
      <c r="A70" s="28"/>
      <c r="B70" s="72" t="s">
        <v>133</v>
      </c>
      <c r="C70" s="28"/>
      <c r="D70" s="289"/>
      <c r="E70" s="292">
        <v>67.125733932120028</v>
      </c>
      <c r="F70" s="292">
        <v>57.234298219179827</v>
      </c>
      <c r="G70" s="292">
        <v>84.79164062291197</v>
      </c>
      <c r="H70" s="292">
        <v>95.531385998156253</v>
      </c>
      <c r="I70" s="292">
        <v>55.214034898867304</v>
      </c>
      <c r="J70" s="292">
        <v>53.75784758363757</v>
      </c>
      <c r="K70" s="292">
        <v>49.813436560374207</v>
      </c>
      <c r="L70" s="292">
        <v>52.731530605378239</v>
      </c>
      <c r="N70" s="375"/>
      <c r="O70" s="375"/>
      <c r="P70" s="375"/>
      <c r="Q70" s="375"/>
      <c r="R70" s="375"/>
      <c r="S70" s="375"/>
      <c r="T70" s="375"/>
      <c r="U70" s="375"/>
      <c r="V70" s="375"/>
    </row>
    <row r="71" spans="1:22" ht="14.25" x14ac:dyDescent="0.45">
      <c r="B71" s="72" t="s">
        <v>134</v>
      </c>
      <c r="D71" s="289"/>
      <c r="E71" s="292">
        <v>20.876944608623884</v>
      </c>
      <c r="F71" s="292">
        <v>17.871252427983414</v>
      </c>
      <c r="G71" s="292">
        <v>33.853594060769176</v>
      </c>
      <c r="H71" s="292">
        <v>35.325647533379104</v>
      </c>
      <c r="I71" s="292">
        <v>27.981729678445092</v>
      </c>
      <c r="J71" s="292">
        <v>22.28836521094404</v>
      </c>
      <c r="K71" s="292">
        <v>25.979547696358019</v>
      </c>
      <c r="L71" s="292">
        <v>28.408693717729161</v>
      </c>
      <c r="N71" s="375"/>
      <c r="O71" s="375"/>
      <c r="P71" s="375"/>
      <c r="Q71" s="375"/>
      <c r="R71" s="375"/>
      <c r="S71" s="375"/>
      <c r="T71" s="375"/>
      <c r="U71" s="375"/>
      <c r="V71" s="375"/>
    </row>
    <row r="72" spans="1:22" ht="14.25" x14ac:dyDescent="0.45">
      <c r="B72" s="72" t="s">
        <v>135</v>
      </c>
      <c r="D72" s="289"/>
      <c r="E72" s="292">
        <v>15.987420888509643</v>
      </c>
      <c r="F72" s="292">
        <v>24.932539653552048</v>
      </c>
      <c r="G72" s="292">
        <v>38.871361739407995</v>
      </c>
      <c r="H72" s="292">
        <v>25.019437817505064</v>
      </c>
      <c r="I72" s="292">
        <v>20.494317331584011</v>
      </c>
      <c r="J72" s="292">
        <v>20.563504293824387</v>
      </c>
      <c r="K72" s="292">
        <v>16.750957917179825</v>
      </c>
      <c r="L72" s="292">
        <v>16.963066085809842</v>
      </c>
      <c r="N72" s="375"/>
      <c r="O72" s="375"/>
      <c r="P72" s="375"/>
      <c r="Q72" s="375"/>
      <c r="R72" s="375"/>
      <c r="S72" s="375"/>
      <c r="T72" s="375"/>
      <c r="U72" s="375"/>
      <c r="V72" s="375"/>
    </row>
  </sheetData>
  <phoneticPr fontId="50" type="noConversion"/>
  <pageMargins left="0.19685039370078741" right="0.19685039370078741" top="0.39370078740157483" bottom="0.39370078740157483" header="0.19685039370078741" footer="0.19685039370078741"/>
  <pageSetup paperSize="9" scale="65" orientation="landscape" r:id="rId1"/>
  <headerFooter>
    <oddHeader>&amp;CPrinted: &amp;D &amp;T&amp;RPage &amp;P of &amp;N&amp;L&amp;"Calibri"&amp;12&amp;K000000Classification: HIGHLY SENSITIVE&amp;1#_x000D_&amp;"Calibri"&amp;11&amp;K000000File: &amp;F Sheet: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2F121-8B0A-4CF9-BFDD-E559B17A4759}">
  <sheetPr codeName="Sheet7">
    <tabColor rgb="FF7030A0"/>
  </sheetPr>
  <dimension ref="A1"/>
  <sheetViews>
    <sheetView workbookViewId="0"/>
  </sheetViews>
  <sheetFormatPr defaultRowHeight="14.25" x14ac:dyDescent="0.45"/>
  <sheetData/>
  <pageMargins left="0.7" right="0.7" top="0.75" bottom="0.75" header="0.3" footer="0.3"/>
  <pageSetup paperSize="9" orientation="portrait" r:id="rId1"/>
  <headerFooter>
    <oddHeader>&amp;L&amp;"Calibri"&amp;12&amp;K000000Classification: HIGHLY SENSITIVE&amp;1#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0C260-1ED3-4CDD-98EC-0AE09AF4C3A5}">
  <sheetPr codeName="Sheet8">
    <pageSetUpPr autoPageBreaks="0" fitToPage="1"/>
  </sheetPr>
  <dimension ref="A1:R13"/>
  <sheetViews>
    <sheetView defaultGridColor="0" colorId="22" zoomScale="90" zoomScaleNormal="90" workbookViewId="0">
      <pane ySplit="1" topLeftCell="A2" activePane="bottomLeft" state="frozen"/>
      <selection activeCell="G13" sqref="G13"/>
      <selection pane="bottomLeft"/>
    </sheetView>
  </sheetViews>
  <sheetFormatPr defaultColWidth="0" defaultRowHeight="0" customHeight="1" zeroHeight="1" x14ac:dyDescent="0.45"/>
  <cols>
    <col min="1" max="1" width="4" style="9" customWidth="1"/>
    <col min="2" max="2" width="28" style="9" bestFit="1" customWidth="1"/>
    <col min="3" max="3" width="3" style="9" customWidth="1"/>
    <col min="4" max="4" width="11.265625" style="9" customWidth="1"/>
    <col min="5" max="13" width="14.59765625" style="9" customWidth="1"/>
    <col min="14" max="14" width="40.59765625" style="9" customWidth="1"/>
    <col min="15" max="18" width="0" style="9" hidden="1" customWidth="1"/>
    <col min="19" max="16384" width="11.265625" style="9" hidden="1"/>
  </cols>
  <sheetData>
    <row r="1" spans="1:13" ht="24.75" customHeight="1" x14ac:dyDescent="0.45">
      <c r="A1" s="12" t="s">
        <v>136</v>
      </c>
      <c r="G1" s="11"/>
      <c r="H1" s="11"/>
      <c r="I1" s="11"/>
      <c r="J1" s="11"/>
      <c r="K1" s="11"/>
      <c r="L1" s="11"/>
      <c r="M1" s="11"/>
    </row>
    <row r="2" spans="1:13" ht="11.65" x14ac:dyDescent="0.45"/>
    <row r="3" spans="1:13" ht="15.75" x14ac:dyDescent="0.45">
      <c r="A3" s="64" t="s">
        <v>137</v>
      </c>
      <c r="E3" s="27" t="s">
        <v>92</v>
      </c>
      <c r="F3" s="27" t="s">
        <v>93</v>
      </c>
      <c r="G3" s="27" t="s">
        <v>51</v>
      </c>
      <c r="H3" s="27" t="s">
        <v>138</v>
      </c>
      <c r="I3" s="27" t="s">
        <v>139</v>
      </c>
      <c r="J3" s="27" t="s">
        <v>140</v>
      </c>
      <c r="K3" s="27" t="s">
        <v>141</v>
      </c>
      <c r="L3" s="27" t="s">
        <v>142</v>
      </c>
      <c r="M3" s="27" t="s">
        <v>143</v>
      </c>
    </row>
    <row r="4" spans="1:13" ht="11.65" x14ac:dyDescent="0.45"/>
    <row r="5" spans="1:13" s="13" customFormat="1" ht="14.25" x14ac:dyDescent="0.45">
      <c r="B5" s="100" t="s">
        <v>144</v>
      </c>
      <c r="C5" s="100"/>
      <c r="D5" s="100"/>
      <c r="E5" s="195">
        <v>26219907.678559616</v>
      </c>
      <c r="F5" s="195">
        <v>23465430.192207243</v>
      </c>
      <c r="G5" s="195">
        <v>26311525.063687824</v>
      </c>
      <c r="H5" s="280">
        <v>28988210.135425717</v>
      </c>
      <c r="I5" s="280">
        <v>19515755.194916137</v>
      </c>
      <c r="J5" s="280">
        <v>7919033.8410494747</v>
      </c>
      <c r="K5" s="280">
        <v>6174725.2356624873</v>
      </c>
      <c r="L5" s="280">
        <v>4590046.7130898004</v>
      </c>
      <c r="M5" s="280">
        <v>4248775.6848182222</v>
      </c>
    </row>
    <row r="6" spans="1:13" s="13" customFormat="1" ht="14.25" x14ac:dyDescent="0.45">
      <c r="B6" s="100" t="s">
        <v>145</v>
      </c>
      <c r="C6" s="100"/>
      <c r="D6" s="100"/>
      <c r="E6" s="195">
        <v>24780092.321440384</v>
      </c>
      <c r="F6" s="195">
        <v>25134569.807792757</v>
      </c>
      <c r="G6" s="195">
        <v>22888474.936312176</v>
      </c>
      <c r="H6" s="280">
        <v>21658859.828133613</v>
      </c>
      <c r="I6" s="280">
        <v>16191110.018012337</v>
      </c>
      <c r="J6" s="280">
        <v>11025110.539773259</v>
      </c>
      <c r="K6" s="280">
        <v>8868437.4891292118</v>
      </c>
      <c r="L6" s="280">
        <v>5037097.8492893325</v>
      </c>
      <c r="M6" s="280">
        <v>5378368.8775609108</v>
      </c>
    </row>
    <row r="7" spans="1:13" ht="11.65" customHeight="1" x14ac:dyDescent="0.45">
      <c r="B7" s="279" t="s">
        <v>146</v>
      </c>
      <c r="E7" s="280">
        <f>SUM(E5:E6)</f>
        <v>51000000</v>
      </c>
      <c r="F7" s="280">
        <f t="shared" ref="F7:M7" si="0">SUM(F5:F6)</f>
        <v>48600000</v>
      </c>
      <c r="G7" s="280">
        <f t="shared" si="0"/>
        <v>49200000</v>
      </c>
      <c r="H7" s="280">
        <f t="shared" si="0"/>
        <v>50647069.96355933</v>
      </c>
      <c r="I7" s="280">
        <f t="shared" si="0"/>
        <v>35706865.212928474</v>
      </c>
      <c r="J7" s="280">
        <f t="shared" si="0"/>
        <v>18944144.380822733</v>
      </c>
      <c r="K7" s="280">
        <f t="shared" si="0"/>
        <v>15043162.724791698</v>
      </c>
      <c r="L7" s="280">
        <f t="shared" si="0"/>
        <v>9627144.562379133</v>
      </c>
      <c r="M7" s="280">
        <f t="shared" si="0"/>
        <v>9627144.562379133</v>
      </c>
    </row>
    <row r="8" spans="1:13" ht="11.65" customHeight="1" x14ac:dyDescent="0.45">
      <c r="E8" s="389" t="s">
        <v>147</v>
      </c>
      <c r="F8" s="389"/>
      <c r="G8" s="389"/>
      <c r="H8" s="389" t="s">
        <v>148</v>
      </c>
      <c r="I8" s="389"/>
      <c r="J8" s="389"/>
      <c r="K8" s="389"/>
      <c r="L8" s="389"/>
      <c r="M8" s="389"/>
    </row>
    <row r="9" spans="1:13" ht="11.65" customHeight="1" x14ac:dyDescent="0.45"/>
    <row r="10" spans="1:13" ht="11.25" customHeight="1" x14ac:dyDescent="0.45">
      <c r="E10" s="387"/>
      <c r="F10" s="387"/>
      <c r="G10" s="387"/>
      <c r="H10" s="387"/>
      <c r="I10" s="387"/>
      <c r="J10" s="387"/>
      <c r="K10" s="387"/>
      <c r="L10" s="387"/>
      <c r="M10" s="387"/>
    </row>
    <row r="11" spans="1:13" ht="11.65" customHeight="1" x14ac:dyDescent="0.45"/>
    <row r="12" spans="1:13" ht="11.65" customHeight="1" x14ac:dyDescent="0.45"/>
    <row r="13" spans="1:13" ht="11.65" customHeight="1" x14ac:dyDescent="0.45"/>
  </sheetData>
  <mergeCells count="2">
    <mergeCell ref="H8:M8"/>
    <mergeCell ref="E8:G8"/>
  </mergeCells>
  <printOptions horizontalCentered="1" verticalCentered="1"/>
  <pageMargins left="0.19685039370078741" right="0.19685039370078741" top="0.39370078740157483" bottom="0.39370078740157483" header="0.19685039370078741" footer="0.19685039370078741"/>
  <pageSetup paperSize="8" orientation="landscape" horizontalDpi="2400" verticalDpi="2400" r:id="rId1"/>
  <headerFooter alignWithMargins="0">
    <oddHeader>&amp;L&amp;"Calibri"&amp;12&amp;K000000Classification: HIGHLY SENSITIVE&amp;1#_x000D_&amp;"Calibri"&amp;11&amp;K000000&amp;"Calibri,Regular"&amp;10Sheet: &amp;A</oddHeader>
    <oddFooter>&amp;L&amp;A :page&amp;P&amp;COfcom Confidential&amp;R&amp;D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583FF-6B43-48B8-A62A-558337F0D81B}">
  <sheetPr codeName="Sheet9">
    <tabColor rgb="FF92D050"/>
  </sheetPr>
  <dimension ref="A1"/>
  <sheetViews>
    <sheetView workbookViewId="0"/>
  </sheetViews>
  <sheetFormatPr defaultRowHeight="14.25" x14ac:dyDescent="0.45"/>
  <sheetData/>
  <pageMargins left="0.7" right="0.7" top="0.75" bottom="0.75" header="0.3" footer="0.3"/>
  <pageSetup paperSize="9" orientation="portrait" r:id="rId1"/>
  <headerFooter>
    <oddHeader>&amp;L&amp;"Calibri"&amp;12&amp;K000000Classification: HIGHLY SENSITIVE&amp;1#</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15</vt:i4>
      </vt:variant>
    </vt:vector>
  </HeadingPairs>
  <TitlesOfParts>
    <vt:vector size="35" baseType="lpstr">
      <vt:lpstr>Contents</vt:lpstr>
      <vt:lpstr>Style Guidelines</vt:lpstr>
      <vt:lpstr>Model Map</vt:lpstr>
      <vt:lpstr>Inputs -&gt;</vt:lpstr>
      <vt:lpstr>Input data</vt:lpstr>
      <vt:lpstr>Parameters and Assumptions</vt:lpstr>
      <vt:lpstr>Calculations -&gt;</vt:lpstr>
      <vt:lpstr>Network Adjs</vt:lpstr>
      <vt:lpstr>Duct and Chambers&gt;&gt;&gt;</vt:lpstr>
      <vt:lpstr>D&amp;C Vols</vt:lpstr>
      <vt:lpstr>LDD forecasts</vt:lpstr>
      <vt:lpstr>D&amp;C Cost Forecasts</vt:lpstr>
      <vt:lpstr>D&amp;C Forecast UCs, Charges &amp; Xs</vt:lpstr>
      <vt:lpstr>Poles&gt;&gt;&gt;</vt:lpstr>
      <vt:lpstr>Pole volume forecasts</vt:lpstr>
      <vt:lpstr>Poles main COW Forecasts</vt:lpstr>
      <vt:lpstr>Poles costs forecasts</vt:lpstr>
      <vt:lpstr>Poles Fcast UCs, Charges &amp; Xs</vt:lpstr>
      <vt:lpstr>Outputs -&gt;</vt:lpstr>
      <vt:lpstr>Model outputs</vt:lpstr>
      <vt:lpstr>asset_inflation</vt:lpstr>
      <vt:lpstr>CPI</vt:lpstr>
      <vt:lpstr>duct_asset_life</vt:lpstr>
      <vt:lpstr>Leadin_discount</vt:lpstr>
      <vt:lpstr>Manifold_uplift_ratio</vt:lpstr>
      <vt:lpstr>Million</vt:lpstr>
      <vt:lpstr>Opex_CVE</vt:lpstr>
      <vt:lpstr>Opex_eff</vt:lpstr>
      <vt:lpstr>opex_inflation</vt:lpstr>
      <vt:lpstr>pole_asset_life</vt:lpstr>
      <vt:lpstr>RPI</vt:lpstr>
      <vt:lpstr>selected_year</vt:lpstr>
      <vt:lpstr>Thousand</vt:lpstr>
      <vt:lpstr>Workbook.Objective</vt:lpstr>
      <vt:lpstr>Workbook.Title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2026-03-13T10:41:07Z</dcterms:created>
  <dcterms:modified xsi:type="dcterms:W3CDTF">2026-03-13T10:41:08Z</dcterms:modified>
  <cp:category/>
  <cp:contentStatus/>
</cp:coreProperties>
</file>