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728" windowWidth="4812" windowHeight="8820" tabRatio="927"/>
  </bookViews>
  <sheets>
    <sheet name="Contents" sheetId="116" r:id="rId1"/>
    <sheet name="Control Panel" sheetId="125" r:id="rId2"/>
    <sheet name="Scenario choice" sheetId="132" r:id="rId3"/>
    <sheet name="Costs--&gt;" sheetId="126" r:id="rId4"/>
    <sheet name="Additional costs" sheetId="117" r:id="rId5"/>
    <sheet name="Annual costs" sheetId="128" r:id="rId6"/>
    <sheet name="Volumes--&gt;" sheetId="120" r:id="rId7"/>
    <sheet name="Switching assumptions" sheetId="143" r:id="rId8"/>
    <sheet name="Number of switchers" sheetId="119" r:id="rId9"/>
    <sheet name="Cost savings--&gt;" sheetId="79" r:id="rId10"/>
    <sheet name="Staff cost summary" sheetId="121" r:id="rId11"/>
    <sheet name="Call duration" sheetId="127" r:id="rId12"/>
    <sheet name="Annual cost savings" sheetId="130" r:id="rId13"/>
    <sheet name="Outputs ---&gt;" sheetId="122" r:id="rId14"/>
    <sheet name="Cost differences NPC" sheetId="124" r:id="rId15"/>
  </sheets>
  <calcPr calcId="145621"/>
</workbook>
</file>

<file path=xl/calcChain.xml><?xml version="1.0" encoding="utf-8"?>
<calcChain xmlns="http://schemas.openxmlformats.org/spreadsheetml/2006/main">
  <c r="C7" i="125" l="1"/>
  <c r="C12" i="125" l="1"/>
  <c r="C2" i="116" l="1"/>
  <c r="B14" i="127" l="1"/>
  <c r="C14" i="127"/>
  <c r="B15" i="127"/>
  <c r="D15" i="127" s="1"/>
  <c r="C15" i="127"/>
  <c r="B16" i="127"/>
  <c r="C16" i="127"/>
  <c r="D16" i="127"/>
  <c r="D14" i="127" l="1"/>
  <c r="D14" i="121"/>
  <c r="D13" i="121"/>
  <c r="D12" i="121"/>
  <c r="C6" i="119" l="1"/>
  <c r="B7" i="143"/>
  <c r="B8" i="143"/>
  <c r="B6" i="143"/>
  <c r="F5" i="132" l="1"/>
  <c r="G5" i="132"/>
  <c r="H5" i="132"/>
  <c r="I5" i="132"/>
  <c r="J5" i="132"/>
  <c r="K5" i="132"/>
  <c r="L5" i="132"/>
  <c r="M5" i="132"/>
  <c r="N5" i="132"/>
  <c r="O5" i="132"/>
  <c r="P5" i="132"/>
  <c r="G116" i="117" l="1"/>
  <c r="G117" i="117"/>
  <c r="G119" i="117" s="1"/>
  <c r="G118" i="117"/>
  <c r="F117" i="117"/>
  <c r="F116" i="117"/>
  <c r="G111" i="117"/>
  <c r="G112" i="117"/>
  <c r="G113" i="117"/>
  <c r="F112" i="117"/>
  <c r="F113" i="117"/>
  <c r="F111" i="117"/>
  <c r="G106" i="117"/>
  <c r="G107" i="117"/>
  <c r="G108" i="117"/>
  <c r="F107" i="117"/>
  <c r="F106" i="117"/>
  <c r="G103" i="117"/>
  <c r="F103" i="117"/>
  <c r="G102" i="117"/>
  <c r="G104" i="117" s="1"/>
  <c r="F102" i="117"/>
  <c r="G101" i="117"/>
  <c r="F101" i="117"/>
  <c r="F104" i="117" s="1"/>
  <c r="G99" i="117"/>
  <c r="F99" i="117"/>
  <c r="G94" i="117"/>
  <c r="F94" i="117"/>
  <c r="G89" i="117"/>
  <c r="G84" i="117"/>
  <c r="F84" i="117"/>
  <c r="G109" i="117" l="1"/>
  <c r="G114" i="117"/>
  <c r="F114" i="117"/>
  <c r="B20" i="143" l="1"/>
  <c r="B19" i="143"/>
  <c r="B11" i="143"/>
  <c r="C8" i="119" l="1"/>
  <c r="C9" i="119"/>
  <c r="C13" i="132"/>
  <c r="C16" i="130"/>
  <c r="D16" i="130" s="1"/>
  <c r="E16" i="130" s="1"/>
  <c r="F16" i="130" s="1"/>
  <c r="G16" i="130" s="1"/>
  <c r="H16" i="130" s="1"/>
  <c r="I16" i="130" s="1"/>
  <c r="J16" i="130" s="1"/>
  <c r="K16" i="130" s="1"/>
  <c r="B14" i="143" l="1"/>
  <c r="C21" i="119" s="1"/>
  <c r="F12" i="121"/>
  <c r="F13" i="121"/>
  <c r="F14" i="121"/>
  <c r="E12" i="121"/>
  <c r="E13" i="121"/>
  <c r="E14" i="121"/>
  <c r="B15" i="143" l="1"/>
  <c r="B16" i="143"/>
  <c r="C22" i="119" s="1"/>
  <c r="B13" i="143"/>
  <c r="F81" i="117" l="1"/>
  <c r="F82" i="117"/>
  <c r="G82" i="117"/>
  <c r="F83" i="117"/>
  <c r="G83" i="117"/>
  <c r="C7" i="128" s="1"/>
  <c r="F86" i="117"/>
  <c r="F87" i="117"/>
  <c r="G87" i="117"/>
  <c r="F88" i="117"/>
  <c r="G88" i="117"/>
  <c r="C16" i="128" s="1"/>
  <c r="F118" i="117" l="1"/>
  <c r="F119" i="117" s="1"/>
  <c r="F108" i="117"/>
  <c r="F109" i="117" s="1"/>
  <c r="F89" i="117"/>
  <c r="B7" i="128"/>
  <c r="B15" i="128"/>
  <c r="B16" i="128"/>
  <c r="B6" i="128"/>
  <c r="C6" i="128"/>
  <c r="C15" i="128"/>
  <c r="G98" i="117"/>
  <c r="F98" i="117"/>
  <c r="G97" i="117"/>
  <c r="F97" i="117"/>
  <c r="G96" i="117"/>
  <c r="F96" i="117"/>
  <c r="G33" i="117" l="1"/>
  <c r="G34" i="117"/>
  <c r="G86" i="117" l="1"/>
  <c r="G9" i="117"/>
  <c r="G81" i="117" s="1"/>
  <c r="B5" i="128" l="1"/>
  <c r="C31" i="128"/>
  <c r="D31" i="128" s="1"/>
  <c r="E31" i="128" s="1"/>
  <c r="F31" i="128" s="1"/>
  <c r="G31" i="128" s="1"/>
  <c r="H31" i="128" s="1"/>
  <c r="I31" i="128" s="1"/>
  <c r="J31" i="128" s="1"/>
  <c r="K31" i="128" s="1"/>
  <c r="C22" i="128"/>
  <c r="D22" i="128" s="1"/>
  <c r="E22" i="128" s="1"/>
  <c r="F22" i="128" s="1"/>
  <c r="G22" i="128" s="1"/>
  <c r="H22" i="128" s="1"/>
  <c r="I22" i="128" s="1"/>
  <c r="J22" i="128" s="1"/>
  <c r="K22" i="128" s="1"/>
  <c r="G91" i="117"/>
  <c r="F91" i="117"/>
  <c r="D15" i="128"/>
  <c r="E15" i="128" s="1"/>
  <c r="F15" i="128" s="1"/>
  <c r="G15" i="128" s="1"/>
  <c r="H15" i="128" s="1"/>
  <c r="I15" i="128" s="1"/>
  <c r="J15" i="128" s="1"/>
  <c r="K15" i="128" s="1"/>
  <c r="C23" i="128" l="1"/>
  <c r="D23" i="128" s="1"/>
  <c r="B23" i="128"/>
  <c r="C14" i="128"/>
  <c r="D14" i="128" s="1"/>
  <c r="E14" i="128" s="1"/>
  <c r="F14" i="128" s="1"/>
  <c r="G14" i="128" s="1"/>
  <c r="H14" i="128" s="1"/>
  <c r="I14" i="128" s="1"/>
  <c r="J14" i="128" s="1"/>
  <c r="K14" i="128" s="1"/>
  <c r="D16" i="128"/>
  <c r="E16" i="128" s="1"/>
  <c r="F16" i="128" s="1"/>
  <c r="G16" i="128" s="1"/>
  <c r="H16" i="128" s="1"/>
  <c r="I16" i="128" s="1"/>
  <c r="J16" i="128" s="1"/>
  <c r="K16" i="128" s="1"/>
  <c r="B14" i="128" l="1"/>
  <c r="E23" i="128"/>
  <c r="F23" i="128" l="1"/>
  <c r="G23" i="128" l="1"/>
  <c r="H23" i="128" l="1"/>
  <c r="I23" i="128" l="1"/>
  <c r="J23" i="128" l="1"/>
  <c r="K23" i="128" l="1"/>
  <c r="L23" i="128" l="1"/>
  <c r="C8" i="132" l="1"/>
  <c r="C6" i="125" s="1"/>
  <c r="C32" i="128" l="1"/>
  <c r="C33" i="128"/>
  <c r="D33" i="128" s="1"/>
  <c r="E33" i="128" s="1"/>
  <c r="F33" i="128" s="1"/>
  <c r="G33" i="128" s="1"/>
  <c r="H33" i="128" s="1"/>
  <c r="I33" i="128" s="1"/>
  <c r="J33" i="128" s="1"/>
  <c r="K33" i="128" s="1"/>
  <c r="B33" i="128" l="1"/>
  <c r="L33" i="128" s="1"/>
  <c r="B32" i="128"/>
  <c r="C34" i="128"/>
  <c r="D34" i="128" s="1"/>
  <c r="E34" i="128" s="1"/>
  <c r="F34" i="128" s="1"/>
  <c r="G34" i="128" s="1"/>
  <c r="H34" i="128" s="1"/>
  <c r="I34" i="128" s="1"/>
  <c r="J34" i="128" s="1"/>
  <c r="K34" i="128" s="1"/>
  <c r="D32" i="128"/>
  <c r="C35" i="128" l="1"/>
  <c r="B34" i="128"/>
  <c r="L34" i="128" s="1"/>
  <c r="D35" i="128"/>
  <c r="E32" i="128"/>
  <c r="G92" i="117"/>
  <c r="F92" i="117"/>
  <c r="D6" i="128"/>
  <c r="E6" i="128" s="1"/>
  <c r="F6" i="128" s="1"/>
  <c r="G6" i="128" s="1"/>
  <c r="H6" i="128" s="1"/>
  <c r="I6" i="128" s="1"/>
  <c r="J6" i="128" s="1"/>
  <c r="K6" i="128" s="1"/>
  <c r="C24" i="128" l="1"/>
  <c r="D24" i="128" s="1"/>
  <c r="B24" i="128"/>
  <c r="B35" i="128"/>
  <c r="F93" i="117"/>
  <c r="G93" i="117"/>
  <c r="F32" i="128"/>
  <c r="E35" i="128"/>
  <c r="C5" i="128"/>
  <c r="D5" i="128" s="1"/>
  <c r="E5" i="128" s="1"/>
  <c r="F5" i="128" s="1"/>
  <c r="G5" i="128" s="1"/>
  <c r="H5" i="128" s="1"/>
  <c r="I5" i="128" s="1"/>
  <c r="J5" i="128" s="1"/>
  <c r="K5" i="128" s="1"/>
  <c r="D7" i="128"/>
  <c r="E7" i="128" s="1"/>
  <c r="F7" i="128" s="1"/>
  <c r="G7" i="128" s="1"/>
  <c r="H7" i="128" s="1"/>
  <c r="I7" i="128" s="1"/>
  <c r="J7" i="128" s="1"/>
  <c r="K7" i="128" s="1"/>
  <c r="D51" i="124" l="1"/>
  <c r="D61" i="124" s="1"/>
  <c r="C25" i="128"/>
  <c r="D25" i="128" s="1"/>
  <c r="E25" i="128" s="1"/>
  <c r="F25" i="128" s="1"/>
  <c r="G25" i="128" s="1"/>
  <c r="H25" i="128" s="1"/>
  <c r="I25" i="128" s="1"/>
  <c r="J25" i="128" s="1"/>
  <c r="K25" i="128" s="1"/>
  <c r="B25" i="128"/>
  <c r="E24" i="128"/>
  <c r="G32" i="128"/>
  <c r="F35" i="128"/>
  <c r="C26" i="128" l="1"/>
  <c r="L25" i="128"/>
  <c r="D53" i="124"/>
  <c r="D63" i="124" s="1"/>
  <c r="D26" i="128"/>
  <c r="B26" i="128"/>
  <c r="F24" i="128"/>
  <c r="E26" i="128"/>
  <c r="H32" i="128"/>
  <c r="G35" i="128"/>
  <c r="H17" i="128"/>
  <c r="D17" i="128"/>
  <c r="G17" i="128"/>
  <c r="F17" i="128"/>
  <c r="C17" i="128"/>
  <c r="J17" i="128"/>
  <c r="K17" i="128"/>
  <c r="B8" i="128"/>
  <c r="E17" i="128"/>
  <c r="F8" i="128"/>
  <c r="K8" i="128"/>
  <c r="J8" i="128"/>
  <c r="E8" i="128"/>
  <c r="I8" i="128"/>
  <c r="C8" i="128"/>
  <c r="D8" i="128"/>
  <c r="H8" i="128"/>
  <c r="I17" i="128"/>
  <c r="L16" i="128"/>
  <c r="L7" i="128"/>
  <c r="L6" i="128"/>
  <c r="L15" i="128"/>
  <c r="C4" i="124"/>
  <c r="I32" i="128" l="1"/>
  <c r="H35" i="128"/>
  <c r="G24" i="128"/>
  <c r="F26" i="128"/>
  <c r="L14" i="128"/>
  <c r="L17" i="128"/>
  <c r="B17" i="128"/>
  <c r="L5" i="128"/>
  <c r="G8" i="128"/>
  <c r="L8" i="128"/>
  <c r="H24" i="128" l="1"/>
  <c r="G26" i="128"/>
  <c r="I35" i="128"/>
  <c r="J32" i="128"/>
  <c r="L18" i="128"/>
  <c r="L9" i="128"/>
  <c r="J35" i="128" l="1"/>
  <c r="K32" i="128"/>
  <c r="I24" i="128"/>
  <c r="H26" i="128"/>
  <c r="K35" i="128" l="1"/>
  <c r="L35" i="128"/>
  <c r="J24" i="128"/>
  <c r="I26" i="128"/>
  <c r="L32" i="128"/>
  <c r="K24" i="128" l="1"/>
  <c r="J26" i="128"/>
  <c r="K26" i="128" l="1"/>
  <c r="L24" i="128"/>
  <c r="L26" i="128"/>
  <c r="D14" i="124" l="1"/>
  <c r="D23" i="124"/>
  <c r="D25" i="124" l="1"/>
  <c r="D41" i="124"/>
  <c r="D32" i="124"/>
  <c r="D16" i="124"/>
  <c r="D43" i="124" l="1"/>
  <c r="D34" i="124"/>
  <c r="G13" i="121" l="1"/>
  <c r="C12" i="132"/>
  <c r="C11" i="125" s="1"/>
  <c r="B10" i="143" s="1"/>
  <c r="C15" i="119" l="1"/>
  <c r="C24" i="119" s="1"/>
  <c r="C14" i="119"/>
  <c r="G12" i="121" l="1"/>
  <c r="C9" i="132" l="1"/>
  <c r="C10" i="132"/>
  <c r="C8" i="125" s="1"/>
  <c r="C6" i="124" s="1"/>
  <c r="C11" i="132"/>
  <c r="C14" i="132"/>
  <c r="C15" i="132"/>
  <c r="C16" i="132"/>
  <c r="C7" i="132"/>
  <c r="E5" i="132"/>
  <c r="C5" i="124" l="1"/>
  <c r="C10" i="125"/>
  <c r="C14" i="125"/>
  <c r="C15" i="125"/>
  <c r="C16" i="125"/>
  <c r="C5" i="125"/>
  <c r="C3" i="124" s="1"/>
  <c r="B4" i="143" l="1"/>
  <c r="D6" i="119" s="1"/>
  <c r="F53" i="124"/>
  <c r="J53" i="124"/>
  <c r="E53" i="124"/>
  <c r="I52" i="124"/>
  <c r="M52" i="124"/>
  <c r="H43" i="124"/>
  <c r="L43" i="124"/>
  <c r="G42" i="124"/>
  <c r="K42" i="124"/>
  <c r="F34" i="124"/>
  <c r="J34" i="124"/>
  <c r="E34" i="124"/>
  <c r="I33" i="124"/>
  <c r="M33" i="124"/>
  <c r="M53" i="124"/>
  <c r="H52" i="124"/>
  <c r="G43" i="124"/>
  <c r="F42" i="124"/>
  <c r="E42" i="124"/>
  <c r="M34" i="124"/>
  <c r="L33" i="124"/>
  <c r="G53" i="124"/>
  <c r="K53" i="124"/>
  <c r="F52" i="124"/>
  <c r="J52" i="124"/>
  <c r="E52" i="124"/>
  <c r="I43" i="124"/>
  <c r="M43" i="124"/>
  <c r="H42" i="124"/>
  <c r="L42" i="124"/>
  <c r="G34" i="124"/>
  <c r="K34" i="124"/>
  <c r="F33" i="124"/>
  <c r="J33" i="124"/>
  <c r="E33" i="124"/>
  <c r="H53" i="124"/>
  <c r="L53" i="124"/>
  <c r="G52" i="124"/>
  <c r="K52" i="124"/>
  <c r="F43" i="124"/>
  <c r="J43" i="124"/>
  <c r="E43" i="124"/>
  <c r="I42" i="124"/>
  <c r="M42" i="124"/>
  <c r="H34" i="124"/>
  <c r="L34" i="124"/>
  <c r="G33" i="124"/>
  <c r="K33" i="124"/>
  <c r="I53" i="124"/>
  <c r="L52" i="124"/>
  <c r="K43" i="124"/>
  <c r="J42" i="124"/>
  <c r="I34" i="124"/>
  <c r="H33" i="124"/>
  <c r="E66" i="124"/>
  <c r="I66" i="124"/>
  <c r="M66" i="124"/>
  <c r="F56" i="124"/>
  <c r="J56" i="124"/>
  <c r="D56" i="124"/>
  <c r="F66" i="124"/>
  <c r="J66" i="124"/>
  <c r="D66" i="124"/>
  <c r="G56" i="124"/>
  <c r="K56" i="124"/>
  <c r="G66" i="124"/>
  <c r="K66" i="124"/>
  <c r="H56" i="124"/>
  <c r="L56" i="124"/>
  <c r="H66" i="124"/>
  <c r="L66" i="124"/>
  <c r="E56" i="124"/>
  <c r="I56" i="124"/>
  <c r="M56" i="124"/>
  <c r="E46" i="124"/>
  <c r="I46" i="124"/>
  <c r="M46" i="124"/>
  <c r="G37" i="124"/>
  <c r="K37" i="124"/>
  <c r="F46" i="124"/>
  <c r="J46" i="124"/>
  <c r="D46" i="124"/>
  <c r="H37" i="124"/>
  <c r="L37" i="124"/>
  <c r="G46" i="124"/>
  <c r="K46" i="124"/>
  <c r="E37" i="124"/>
  <c r="I37" i="124"/>
  <c r="M37" i="124"/>
  <c r="H46" i="124"/>
  <c r="L46" i="124"/>
  <c r="F37" i="124"/>
  <c r="J37" i="124"/>
  <c r="D37" i="124"/>
  <c r="E6" i="119" l="1"/>
  <c r="D8" i="119"/>
  <c r="D9" i="119"/>
  <c r="I63" i="124"/>
  <c r="M63" i="124"/>
  <c r="G62" i="124"/>
  <c r="K62" i="124"/>
  <c r="F63" i="124"/>
  <c r="J63" i="124"/>
  <c r="E63" i="124"/>
  <c r="H62" i="124"/>
  <c r="L62" i="124"/>
  <c r="G63" i="124"/>
  <c r="K63" i="124"/>
  <c r="I62" i="124"/>
  <c r="M62" i="124"/>
  <c r="H63" i="124"/>
  <c r="L63" i="124"/>
  <c r="F62" i="124"/>
  <c r="J62" i="124"/>
  <c r="E62" i="124"/>
  <c r="D52" i="124"/>
  <c r="D62" i="124" s="1"/>
  <c r="D15" i="124"/>
  <c r="D42" i="124"/>
  <c r="D33" i="124"/>
  <c r="I25" i="124"/>
  <c r="E15" i="124"/>
  <c r="H25" i="124"/>
  <c r="K25" i="124"/>
  <c r="E25" i="124"/>
  <c r="L24" i="124"/>
  <c r="H15" i="124"/>
  <c r="K15" i="124"/>
  <c r="J15" i="124"/>
  <c r="M15" i="124"/>
  <c r="K24" i="124"/>
  <c r="E24" i="124"/>
  <c r="G25" i="124"/>
  <c r="J25" i="124"/>
  <c r="H24" i="124"/>
  <c r="E16" i="124"/>
  <c r="G15" i="124"/>
  <c r="F15" i="124"/>
  <c r="I15" i="124"/>
  <c r="G24" i="124"/>
  <c r="J24" i="124"/>
  <c r="M24" i="124"/>
  <c r="F25" i="124"/>
  <c r="M25" i="124"/>
  <c r="J16" i="124"/>
  <c r="M16" i="124"/>
  <c r="L16" i="124"/>
  <c r="K16" i="124"/>
  <c r="L25" i="124"/>
  <c r="F24" i="124"/>
  <c r="I24" i="124"/>
  <c r="G16" i="124"/>
  <c r="L15" i="124"/>
  <c r="F16" i="124"/>
  <c r="I16" i="124"/>
  <c r="H16" i="124"/>
  <c r="D24" i="124"/>
  <c r="E28" i="124"/>
  <c r="D28" i="124"/>
  <c r="F19" i="124"/>
  <c r="F28" i="124"/>
  <c r="G19" i="124"/>
  <c r="E19" i="124"/>
  <c r="G28" i="124"/>
  <c r="H19" i="124"/>
  <c r="H28" i="124"/>
  <c r="D19" i="124"/>
  <c r="K19" i="124"/>
  <c r="J28" i="124"/>
  <c r="K28" i="124"/>
  <c r="I19" i="124"/>
  <c r="L28" i="124"/>
  <c r="J19" i="124"/>
  <c r="I28" i="124"/>
  <c r="M28" i="124"/>
  <c r="L19" i="124"/>
  <c r="M19" i="124"/>
  <c r="C3" i="130"/>
  <c r="D3" i="130" s="1"/>
  <c r="E3" i="130" s="1"/>
  <c r="F3" i="130" s="1"/>
  <c r="G3" i="130" s="1"/>
  <c r="H3" i="130" s="1"/>
  <c r="I3" i="130" s="1"/>
  <c r="J3" i="130" s="1"/>
  <c r="K3" i="130" s="1"/>
  <c r="D22" i="119" l="1"/>
  <c r="D21" i="119"/>
  <c r="D14" i="119"/>
  <c r="D15" i="119"/>
  <c r="F6" i="119"/>
  <c r="E8" i="119"/>
  <c r="E9" i="119"/>
  <c r="D24" i="119" l="1"/>
  <c r="E22" i="119"/>
  <c r="E21" i="119"/>
  <c r="E14" i="119"/>
  <c r="E15" i="119"/>
  <c r="G6" i="119"/>
  <c r="F8" i="119"/>
  <c r="F9" i="119"/>
  <c r="B19" i="127"/>
  <c r="B20" i="127" s="1"/>
  <c r="H6" i="119" l="1"/>
  <c r="G8" i="119"/>
  <c r="G9" i="119"/>
  <c r="E24" i="119"/>
  <c r="F22" i="119"/>
  <c r="F21" i="119"/>
  <c r="F15" i="119"/>
  <c r="F14" i="119"/>
  <c r="C13" i="128"/>
  <c r="D13" i="128" s="1"/>
  <c r="E13" i="128" s="1"/>
  <c r="F13" i="128" s="1"/>
  <c r="G13" i="128" s="1"/>
  <c r="H13" i="128" s="1"/>
  <c r="I13" i="128" s="1"/>
  <c r="J13" i="128" s="1"/>
  <c r="K13" i="128" s="1"/>
  <c r="C4" i="128"/>
  <c r="D4" i="128" s="1"/>
  <c r="E4" i="128" s="1"/>
  <c r="G4" i="128" s="1"/>
  <c r="H4" i="128" s="1"/>
  <c r="I4" i="128" s="1"/>
  <c r="J4" i="128" s="1"/>
  <c r="K4" i="128" s="1"/>
  <c r="F24" i="119" l="1"/>
  <c r="G22" i="119"/>
  <c r="G21" i="119"/>
  <c r="G14" i="119"/>
  <c r="G15" i="119"/>
  <c r="I6" i="119"/>
  <c r="H9" i="119"/>
  <c r="H8" i="119"/>
  <c r="G24" i="119" l="1"/>
  <c r="H15" i="119"/>
  <c r="H14" i="119"/>
  <c r="H21" i="119"/>
  <c r="H22" i="119"/>
  <c r="J6" i="119"/>
  <c r="I9" i="119"/>
  <c r="I8" i="119"/>
  <c r="I15" i="119" l="1"/>
  <c r="I14" i="119"/>
  <c r="I22" i="119"/>
  <c r="I21" i="119"/>
  <c r="K6" i="119"/>
  <c r="J8" i="119"/>
  <c r="J9" i="119"/>
  <c r="H24" i="119"/>
  <c r="B21" i="127" l="1"/>
  <c r="B5" i="130" s="1"/>
  <c r="C5" i="130" s="1"/>
  <c r="D5" i="130" s="1"/>
  <c r="E5" i="130" s="1"/>
  <c r="F5" i="130" s="1"/>
  <c r="G5" i="130" s="1"/>
  <c r="J21" i="119"/>
  <c r="J22" i="119"/>
  <c r="J15" i="119"/>
  <c r="J14" i="119"/>
  <c r="L6" i="119"/>
  <c r="K9" i="119"/>
  <c r="K8" i="119"/>
  <c r="I24" i="119"/>
  <c r="D4" i="119"/>
  <c r="E4" i="119" s="1"/>
  <c r="F4" i="119" s="1"/>
  <c r="G4" i="119" s="1"/>
  <c r="H4" i="119" s="1"/>
  <c r="I4" i="119" s="1"/>
  <c r="J4" i="119" s="1"/>
  <c r="K4" i="119" s="1"/>
  <c r="L4" i="119" s="1"/>
  <c r="B4" i="130" l="1"/>
  <c r="C4" i="130" s="1"/>
  <c r="D4" i="130" s="1"/>
  <c r="K14" i="119"/>
  <c r="K15" i="119"/>
  <c r="J24" i="119"/>
  <c r="K22" i="119"/>
  <c r="K21" i="119"/>
  <c r="L8" i="119"/>
  <c r="L9" i="119"/>
  <c r="H5" i="130"/>
  <c r="L22" i="119" l="1"/>
  <c r="L21" i="119"/>
  <c r="L15" i="119"/>
  <c r="L14" i="119"/>
  <c r="K24" i="119"/>
  <c r="E4" i="130"/>
  <c r="I5" i="130"/>
  <c r="G14" i="121" l="1"/>
  <c r="G17" i="121" s="1"/>
  <c r="B6" i="130" s="1"/>
  <c r="C6" i="130" s="1"/>
  <c r="D6" i="130" s="1"/>
  <c r="L24" i="119"/>
  <c r="J5" i="130"/>
  <c r="F4" i="130"/>
  <c r="K5" i="130" l="1"/>
  <c r="G4" i="130"/>
  <c r="E6" i="130"/>
  <c r="H4" i="130" l="1"/>
  <c r="F6" i="130"/>
  <c r="I4" i="130" l="1"/>
  <c r="G6" i="130"/>
  <c r="J4" i="130" l="1"/>
  <c r="H6" i="130"/>
  <c r="K4" i="130" l="1"/>
  <c r="I6" i="130"/>
  <c r="J6" i="130" l="1"/>
  <c r="K6" i="130" l="1"/>
  <c r="B7" i="130" l="1"/>
  <c r="C10" i="119"/>
  <c r="B18" i="130" l="1"/>
  <c r="B20" i="130" s="1"/>
  <c r="B22" i="130" s="1"/>
  <c r="C23" i="119"/>
  <c r="B17" i="130" s="1"/>
  <c r="B19" i="130" s="1"/>
  <c r="B21" i="130" s="1"/>
  <c r="B8" i="130"/>
  <c r="B10" i="130" s="1"/>
  <c r="B12" i="130" s="1"/>
  <c r="D26" i="124" s="1"/>
  <c r="D10" i="119"/>
  <c r="D27" i="124" l="1"/>
  <c r="D29" i="124" s="1"/>
  <c r="B9" i="130"/>
  <c r="B11" i="130" s="1"/>
  <c r="D17" i="124" s="1"/>
  <c r="D18" i="124" s="1"/>
  <c r="D20" i="124" s="1"/>
  <c r="C18" i="130"/>
  <c r="D23" i="119"/>
  <c r="C8" i="130"/>
  <c r="C10" i="130" s="1"/>
  <c r="C12" i="130" s="1"/>
  <c r="E26" i="124" s="1"/>
  <c r="E10" i="119"/>
  <c r="C7" i="130"/>
  <c r="C9" i="130" s="1"/>
  <c r="C11" i="130" s="1"/>
  <c r="C20" i="130" l="1"/>
  <c r="C22" i="130" s="1"/>
  <c r="E64" i="124" s="1"/>
  <c r="D64" i="124"/>
  <c r="D65" i="124" s="1"/>
  <c r="D67" i="124" s="1"/>
  <c r="D18" i="130"/>
  <c r="C17" i="130"/>
  <c r="C19" i="130" s="1"/>
  <c r="C21" i="130" s="1"/>
  <c r="E54" i="124" s="1"/>
  <c r="E23" i="119"/>
  <c r="D8" i="130"/>
  <c r="D10" i="130" s="1"/>
  <c r="D12" i="130" s="1"/>
  <c r="F26" i="124" s="1"/>
  <c r="E27" i="124"/>
  <c r="E29" i="124" s="1"/>
  <c r="E17" i="124"/>
  <c r="F10" i="119"/>
  <c r="D7" i="130"/>
  <c r="D9" i="130" s="1"/>
  <c r="D11" i="130" s="1"/>
  <c r="E55" i="124" l="1"/>
  <c r="E57" i="124" s="1"/>
  <c r="D54" i="124"/>
  <c r="D55" i="124" s="1"/>
  <c r="D57" i="124" s="1"/>
  <c r="E65" i="124"/>
  <c r="E67" i="124" s="1"/>
  <c r="E44" i="124"/>
  <c r="E45" i="124" s="1"/>
  <c r="E47" i="124" s="1"/>
  <c r="D35" i="124"/>
  <c r="D36" i="124" s="1"/>
  <c r="D38" i="124" s="1"/>
  <c r="D20" i="130"/>
  <c r="D22" i="130" s="1"/>
  <c r="F64" i="124" s="1"/>
  <c r="D44" i="124"/>
  <c r="D45" i="124" s="1"/>
  <c r="D47" i="124" s="1"/>
  <c r="E18" i="130"/>
  <c r="D17" i="130"/>
  <c r="D19" i="130" s="1"/>
  <c r="D21" i="130" s="1"/>
  <c r="F23" i="119"/>
  <c r="E8" i="130"/>
  <c r="E10" i="130" s="1"/>
  <c r="E12" i="130" s="1"/>
  <c r="G26" i="124" s="1"/>
  <c r="F27" i="124"/>
  <c r="F29" i="124" s="1"/>
  <c r="E18" i="124"/>
  <c r="E20" i="124" s="1"/>
  <c r="F17" i="124"/>
  <c r="G10" i="119"/>
  <c r="E7" i="130"/>
  <c r="E9" i="130" s="1"/>
  <c r="E11" i="130" s="1"/>
  <c r="E35" i="124" l="1"/>
  <c r="E36" i="124" s="1"/>
  <c r="E38" i="124" s="1"/>
  <c r="F54" i="124"/>
  <c r="F55" i="124" s="1"/>
  <c r="F57" i="124" s="1"/>
  <c r="F65" i="124"/>
  <c r="F67" i="124" s="1"/>
  <c r="F44" i="124"/>
  <c r="F45" i="124" s="1"/>
  <c r="F47" i="124" s="1"/>
  <c r="E20" i="130"/>
  <c r="E22" i="130" s="1"/>
  <c r="G64" i="124" s="1"/>
  <c r="F18" i="130"/>
  <c r="E17" i="130"/>
  <c r="E19" i="130" s="1"/>
  <c r="E21" i="130" s="1"/>
  <c r="G23" i="119"/>
  <c r="F8" i="130"/>
  <c r="F10" i="130" s="1"/>
  <c r="F12" i="130" s="1"/>
  <c r="H26" i="124" s="1"/>
  <c r="G27" i="124"/>
  <c r="G29" i="124" s="1"/>
  <c r="F18" i="124"/>
  <c r="F20" i="124" s="1"/>
  <c r="G17" i="124"/>
  <c r="H10" i="119"/>
  <c r="F7" i="130"/>
  <c r="F9" i="130" s="1"/>
  <c r="F11" i="130" s="1"/>
  <c r="F35" i="124" l="1"/>
  <c r="F36" i="124" s="1"/>
  <c r="F38" i="124" s="1"/>
  <c r="G54" i="124"/>
  <c r="G55" i="124" s="1"/>
  <c r="G57" i="124" s="1"/>
  <c r="G65" i="124"/>
  <c r="G67" i="124" s="1"/>
  <c r="G44" i="124"/>
  <c r="G45" i="124" s="1"/>
  <c r="G47" i="124" s="1"/>
  <c r="F20" i="130"/>
  <c r="F22" i="130" s="1"/>
  <c r="H64" i="124" s="1"/>
  <c r="G18" i="130"/>
  <c r="F17" i="130"/>
  <c r="F19" i="130" s="1"/>
  <c r="F21" i="130" s="1"/>
  <c r="H54" i="124" s="1"/>
  <c r="H23" i="119"/>
  <c r="G8" i="130"/>
  <c r="G10" i="130" s="1"/>
  <c r="G12" i="130" s="1"/>
  <c r="I26" i="124" s="1"/>
  <c r="H27" i="124"/>
  <c r="H29" i="124" s="1"/>
  <c r="G18" i="124"/>
  <c r="G20" i="124" s="1"/>
  <c r="H17" i="124"/>
  <c r="I10" i="119"/>
  <c r="G7" i="130"/>
  <c r="G9" i="130" s="1"/>
  <c r="G11" i="130" s="1"/>
  <c r="G35" i="124" l="1"/>
  <c r="G36" i="124" s="1"/>
  <c r="G38" i="124" s="1"/>
  <c r="H55" i="124"/>
  <c r="H57" i="124" s="1"/>
  <c r="H65" i="124"/>
  <c r="H67" i="124" s="1"/>
  <c r="H44" i="124"/>
  <c r="H45" i="124" s="1"/>
  <c r="H47" i="124" s="1"/>
  <c r="G20" i="130"/>
  <c r="G22" i="130" s="1"/>
  <c r="I64" i="124" s="1"/>
  <c r="H18" i="130"/>
  <c r="G17" i="130"/>
  <c r="G19" i="130" s="1"/>
  <c r="G21" i="130" s="1"/>
  <c r="I23" i="119"/>
  <c r="H8" i="130"/>
  <c r="H10" i="130" s="1"/>
  <c r="H12" i="130" s="1"/>
  <c r="J26" i="124" s="1"/>
  <c r="I27" i="124"/>
  <c r="I29" i="124" s="1"/>
  <c r="H18" i="124"/>
  <c r="H20" i="124" s="1"/>
  <c r="I17" i="124"/>
  <c r="J10" i="119"/>
  <c r="H7" i="130"/>
  <c r="H9" i="130" s="1"/>
  <c r="H11" i="130" s="1"/>
  <c r="H35" i="124" l="1"/>
  <c r="H36" i="124" s="1"/>
  <c r="H38" i="124" s="1"/>
  <c r="I54" i="124"/>
  <c r="I55" i="124" s="1"/>
  <c r="I57" i="124" s="1"/>
  <c r="I65" i="124"/>
  <c r="I67" i="124" s="1"/>
  <c r="I44" i="124"/>
  <c r="I45" i="124" s="1"/>
  <c r="I47" i="124" s="1"/>
  <c r="H20" i="130"/>
  <c r="H22" i="130" s="1"/>
  <c r="J64" i="124" s="1"/>
  <c r="I18" i="130"/>
  <c r="H17" i="130"/>
  <c r="H19" i="130" s="1"/>
  <c r="H21" i="130" s="1"/>
  <c r="J23" i="119"/>
  <c r="I8" i="130"/>
  <c r="I10" i="130" s="1"/>
  <c r="I12" i="130" s="1"/>
  <c r="K26" i="124" s="1"/>
  <c r="J27" i="124"/>
  <c r="J29" i="124" s="1"/>
  <c r="I18" i="124"/>
  <c r="I20" i="124" s="1"/>
  <c r="J17" i="124"/>
  <c r="I7" i="130"/>
  <c r="I9" i="130" s="1"/>
  <c r="I11" i="130" s="1"/>
  <c r="K10" i="119"/>
  <c r="I35" i="124" l="1"/>
  <c r="I36" i="124" s="1"/>
  <c r="I38" i="124" s="1"/>
  <c r="J54" i="124"/>
  <c r="J55" i="124" s="1"/>
  <c r="J57" i="124" s="1"/>
  <c r="J65" i="124"/>
  <c r="J67" i="124" s="1"/>
  <c r="J44" i="124"/>
  <c r="J45" i="124" s="1"/>
  <c r="J47" i="124" s="1"/>
  <c r="I20" i="130"/>
  <c r="I22" i="130" s="1"/>
  <c r="K64" i="124" s="1"/>
  <c r="J18" i="130"/>
  <c r="I17" i="130"/>
  <c r="I19" i="130" s="1"/>
  <c r="I21" i="130" s="1"/>
  <c r="K23" i="119"/>
  <c r="J8" i="130"/>
  <c r="J10" i="130" s="1"/>
  <c r="J12" i="130" s="1"/>
  <c r="L26" i="124" s="1"/>
  <c r="K27" i="124"/>
  <c r="K29" i="124" s="1"/>
  <c r="J18" i="124"/>
  <c r="J20" i="124" s="1"/>
  <c r="K17" i="124"/>
  <c r="J7" i="130"/>
  <c r="J9" i="130" s="1"/>
  <c r="J11" i="130" s="1"/>
  <c r="L10" i="119"/>
  <c r="J35" i="124" l="1"/>
  <c r="J36" i="124" s="1"/>
  <c r="J38" i="124" s="1"/>
  <c r="K54" i="124"/>
  <c r="K55" i="124" s="1"/>
  <c r="K57" i="124" s="1"/>
  <c r="K65" i="124"/>
  <c r="K67" i="124" s="1"/>
  <c r="K44" i="124"/>
  <c r="K45" i="124" s="1"/>
  <c r="K47" i="124" s="1"/>
  <c r="J20" i="130"/>
  <c r="J22" i="130" s="1"/>
  <c r="L64" i="124" s="1"/>
  <c r="K18" i="130"/>
  <c r="J17" i="130"/>
  <c r="J19" i="130" s="1"/>
  <c r="J21" i="130" s="1"/>
  <c r="L23" i="119"/>
  <c r="K8" i="130"/>
  <c r="K10" i="130" s="1"/>
  <c r="K12" i="130" s="1"/>
  <c r="M26" i="124" s="1"/>
  <c r="L27" i="124"/>
  <c r="L29" i="124" s="1"/>
  <c r="K18" i="124"/>
  <c r="K20" i="124" s="1"/>
  <c r="L17" i="124"/>
  <c r="K7" i="130"/>
  <c r="K9" i="130" s="1"/>
  <c r="K11" i="130" s="1"/>
  <c r="K35" i="124" l="1"/>
  <c r="L54" i="124"/>
  <c r="L55" i="124" s="1"/>
  <c r="L57" i="124" s="1"/>
  <c r="L65" i="124"/>
  <c r="L67" i="124" s="1"/>
  <c r="L44" i="124"/>
  <c r="L45" i="124" s="1"/>
  <c r="L47" i="124" s="1"/>
  <c r="K36" i="124"/>
  <c r="K38" i="124" s="1"/>
  <c r="K20" i="130"/>
  <c r="K22" i="130" s="1"/>
  <c r="M64" i="124" s="1"/>
  <c r="K17" i="130"/>
  <c r="K19" i="130" s="1"/>
  <c r="K21" i="130" s="1"/>
  <c r="M27" i="124"/>
  <c r="L18" i="124"/>
  <c r="L20" i="124" s="1"/>
  <c r="M17" i="124"/>
  <c r="L35" i="124" l="1"/>
  <c r="L36" i="124" s="1"/>
  <c r="L38" i="124" s="1"/>
  <c r="M44" i="124"/>
  <c r="M45" i="124" s="1"/>
  <c r="M47" i="124" s="1"/>
  <c r="N47" i="124" s="1"/>
  <c r="M35" i="124"/>
  <c r="M29" i="124"/>
  <c r="M18" i="124"/>
  <c r="M65" i="124" l="1"/>
  <c r="M67" i="124" s="1"/>
  <c r="N67" i="124" s="1"/>
  <c r="M54" i="124"/>
  <c r="M55" i="124" s="1"/>
  <c r="M57" i="124" s="1"/>
  <c r="N57" i="124" s="1"/>
  <c r="M36" i="124"/>
  <c r="N29" i="124"/>
  <c r="M20" i="124"/>
  <c r="N20" i="124" s="1"/>
  <c r="N68" i="124" l="1"/>
  <c r="N69" i="124" s="1"/>
  <c r="M38" i="124"/>
  <c r="N38" i="124" s="1"/>
  <c r="N58" i="124" s="1"/>
  <c r="N59" i="124" s="1"/>
  <c r="C24" i="125"/>
</calcChain>
</file>

<file path=xl/sharedStrings.xml><?xml version="1.0" encoding="utf-8"?>
<sst xmlns="http://schemas.openxmlformats.org/spreadsheetml/2006/main" count="453" uniqueCount="246">
  <si>
    <t>Sheet</t>
  </si>
  <si>
    <t>Description</t>
  </si>
  <si>
    <t xml:space="preserve">Title </t>
  </si>
  <si>
    <t>Information</t>
  </si>
  <si>
    <t>Contents</t>
  </si>
  <si>
    <t>This contents sheet</t>
  </si>
  <si>
    <t>Checksum</t>
  </si>
  <si>
    <t>Confidentiality status</t>
  </si>
  <si>
    <t>Input</t>
  </si>
  <si>
    <t>Actual model sheets</t>
  </si>
  <si>
    <t>Source</t>
  </si>
  <si>
    <t>Version</t>
  </si>
  <si>
    <t>Status</t>
  </si>
  <si>
    <t>Author</t>
  </si>
  <si>
    <t>Number of switchers</t>
  </si>
  <si>
    <t>Number of switchers (PAC/C&amp;R)</t>
  </si>
  <si>
    <t>Number of switchers (PAC)</t>
  </si>
  <si>
    <t>Number of switchers (C&amp;R)</t>
  </si>
  <si>
    <t>Control panel</t>
  </si>
  <si>
    <t xml:space="preserve">Discount rate:  </t>
  </si>
  <si>
    <t>Input choices</t>
  </si>
  <si>
    <t>No</t>
  </si>
  <si>
    <t>Central case</t>
  </si>
  <si>
    <t>Number of working days</t>
  </si>
  <si>
    <t xml:space="preserve">Number of hours per day </t>
  </si>
  <si>
    <t xml:space="preserve">Staff cost per hour </t>
  </si>
  <si>
    <t>Staff costs</t>
  </si>
  <si>
    <t>Call duration</t>
  </si>
  <si>
    <t>Automated</t>
  </si>
  <si>
    <t>Manual</t>
  </si>
  <si>
    <t>Mix</t>
  </si>
  <si>
    <t>Lower bound</t>
  </si>
  <si>
    <t>Upper bound</t>
  </si>
  <si>
    <t>Set-up costs</t>
  </si>
  <si>
    <t>Year</t>
  </si>
  <si>
    <t>CPS</t>
  </si>
  <si>
    <t>Annual operating costs</t>
  </si>
  <si>
    <t>Large MVNOs</t>
  </si>
  <si>
    <t>Medium MVNOs</t>
  </si>
  <si>
    <t>MNOs</t>
  </si>
  <si>
    <t>MNO</t>
  </si>
  <si>
    <t>Large MVNO</t>
  </si>
  <si>
    <t>Medium MVNO</t>
  </si>
  <si>
    <t>Total industry</t>
  </si>
  <si>
    <t xml:space="preserve">Frequency </t>
  </si>
  <si>
    <t xml:space="preserve">Total </t>
  </si>
  <si>
    <t>Option 2</t>
  </si>
  <si>
    <t>Individual cost items</t>
  </si>
  <si>
    <t xml:space="preserve">Selection </t>
  </si>
  <si>
    <t xml:space="preserve">Discount methodology:  </t>
  </si>
  <si>
    <t xml:space="preserve">Time horizon (years):   </t>
  </si>
  <si>
    <t xml:space="preserve">Staff cost data:  </t>
  </si>
  <si>
    <t xml:space="preserve">Switching rate grows over time?  </t>
  </si>
  <si>
    <t xml:space="preserve">Call time saved:  </t>
  </si>
  <si>
    <t xml:space="preserve">Candidate call time lengths </t>
  </si>
  <si>
    <t>Cost savings</t>
  </si>
  <si>
    <t>Control Panel</t>
  </si>
  <si>
    <t>Annual costs</t>
  </si>
  <si>
    <t>Annual cost savings</t>
  </si>
  <si>
    <t xml:space="preserve">Calculates annual amount saved by each proposed switching option in call centre agent costs </t>
  </si>
  <si>
    <t xml:space="preserve">Calculates the difference between additional costs of proposed switching options and amount saved </t>
  </si>
  <si>
    <t xml:space="preserve">Average staff cost per hour  </t>
  </si>
  <si>
    <t xml:space="preserve">Total hours saved by Option 2  </t>
  </si>
  <si>
    <t xml:space="preserve">Total industry amount saved under Option 2  </t>
  </si>
  <si>
    <t xml:space="preserve">Time horizon (years)  </t>
  </si>
  <si>
    <t xml:space="preserve">Discount methodology  </t>
  </si>
  <si>
    <t>Year 1</t>
  </si>
  <si>
    <t>Year 2</t>
  </si>
  <si>
    <t>Year 3</t>
  </si>
  <si>
    <t>Year 4</t>
  </si>
  <si>
    <t>Year 5</t>
  </si>
  <si>
    <t>Year 6</t>
  </si>
  <si>
    <t>Year 7</t>
  </si>
  <si>
    <t>Year 8</t>
  </si>
  <si>
    <t>Year 9</t>
  </si>
  <si>
    <t>Year 10</t>
  </si>
  <si>
    <t>Additional costs</t>
  </si>
  <si>
    <t xml:space="preserve">Active scenario </t>
  </si>
  <si>
    <t>Select active scenario:</t>
  </si>
  <si>
    <t>Discount rate</t>
  </si>
  <si>
    <t>Discount methodology</t>
  </si>
  <si>
    <t>Staff cost data</t>
  </si>
  <si>
    <t xml:space="preserve">PAC request process </t>
  </si>
  <si>
    <t>Call time saved</t>
  </si>
  <si>
    <t>Sets the suite of input selections for base case and other scenarios</t>
  </si>
  <si>
    <t xml:space="preserve">PAC request process (automatic / manual):  </t>
  </si>
  <si>
    <t>Set-up and Operating costs</t>
  </si>
  <si>
    <t>Process step</t>
  </si>
  <si>
    <t xml:space="preserve">Source </t>
  </si>
  <si>
    <t>Minutes</t>
  </si>
  <si>
    <t>Interaction with consumer (b), (c), (d)</t>
  </si>
  <si>
    <t xml:space="preserve">Of which: Save &amp; Retention activity (c) </t>
  </si>
  <si>
    <t>Provide PAC to consumer (g)</t>
  </si>
  <si>
    <t>Close down call / write- up case (h)</t>
  </si>
  <si>
    <t>Assume some C&amp;R switchers move to PAC process?</t>
  </si>
  <si>
    <t>Yes</t>
  </si>
  <si>
    <t xml:space="preserve">Total number of phone PAC requests saved under Option 2  </t>
  </si>
  <si>
    <t xml:space="preserve">Consultation document base case </t>
  </si>
  <si>
    <t>UK</t>
  </si>
  <si>
    <t>Overseas</t>
  </si>
  <si>
    <t>Annual Staff cost expenditure (£)</t>
  </si>
  <si>
    <t>UK / overseas?</t>
  </si>
  <si>
    <r>
      <t xml:space="preserve">Standard approach </t>
    </r>
    <r>
      <rPr>
        <sz val="9"/>
        <rFont val="Arial"/>
        <family val="2"/>
      </rPr>
      <t>-------------------------------------------------------------------------------------------------------------------------------------------------------------------------------------------------------&gt;&gt;&gt;&gt;&gt;&gt;</t>
    </r>
  </si>
  <si>
    <t>Total</t>
  </si>
  <si>
    <t>UK straight average</t>
  </si>
  <si>
    <t>Offshore straight average</t>
  </si>
  <si>
    <t>Weighted average</t>
  </si>
  <si>
    <t>Both</t>
  </si>
  <si>
    <t xml:space="preserve">Financing rate  </t>
  </si>
  <si>
    <t xml:space="preserve">Discount rate  </t>
  </si>
  <si>
    <t>WACC (pre-tax real) - March 2015 MCT Statement</t>
  </si>
  <si>
    <t>Capex</t>
  </si>
  <si>
    <t>Opex</t>
  </si>
  <si>
    <t>Financing costs for capex</t>
  </si>
  <si>
    <t>Net cost</t>
  </si>
  <si>
    <t>Discounted cash flow</t>
  </si>
  <si>
    <t>Standard</t>
  </si>
  <si>
    <t>NPC</t>
  </si>
  <si>
    <t>Discount factor (STPR)</t>
  </si>
  <si>
    <t>STPR - HM Treasury Green Book</t>
  </si>
  <si>
    <t xml:space="preserve">Assume some C&amp;R switchers use new process? </t>
  </si>
  <si>
    <t>Scenario choice</t>
  </si>
  <si>
    <t>Option 1</t>
  </si>
  <si>
    <t>Small MVNOs</t>
  </si>
  <si>
    <t>Small MVNO</t>
  </si>
  <si>
    <t>MVNOs</t>
  </si>
  <si>
    <t>Central ported number database setup  / cleansing</t>
  </si>
  <si>
    <t>Staff cost summary</t>
  </si>
  <si>
    <t>Cost differences NPC</t>
  </si>
  <si>
    <t>Total number of phone PAC requests saved under Option 1</t>
  </si>
  <si>
    <t>Total hours saved by Option 1</t>
  </si>
  <si>
    <t xml:space="preserve">Financing cost (for Spackman):  </t>
  </si>
  <si>
    <t>Net Present Cost (NPC):</t>
  </si>
  <si>
    <t>Consultation proposal:</t>
  </si>
  <si>
    <t xml:space="preserve">A negative NPC implies net savings to industry. </t>
  </si>
  <si>
    <t>Financing cost (for Spackman)</t>
  </si>
  <si>
    <t>Incremental reform 1: Clear guidance to consumers</t>
  </si>
  <si>
    <t>Body</t>
  </si>
  <si>
    <t xml:space="preserve"> ------------</t>
  </si>
  <si>
    <t>Maintain / promote marketing material (e.g. websites, point-of-sale)</t>
  </si>
  <si>
    <t>Total (Incremental reform 1)</t>
  </si>
  <si>
    <t>Total (Incremental reform 2)</t>
  </si>
  <si>
    <t>Operating costs</t>
  </si>
  <si>
    <t>Incremental reform 1</t>
  </si>
  <si>
    <t>Incremental reform 2</t>
  </si>
  <si>
    <t>Total number of avoided calls under Option 2</t>
  </si>
  <si>
    <t xml:space="preserve">Total number of avoided calls under Option 1 </t>
  </si>
  <si>
    <t>Estimate</t>
  </si>
  <si>
    <t>Redesign online account for ETC info</t>
  </si>
  <si>
    <t>Develop PAC request via online portal</t>
  </si>
  <si>
    <t>Expand functionality to deliver ETC and notice period info to consumer</t>
  </si>
  <si>
    <t>SMSC integration to expand functionality to receive (PAC request) SMS</t>
  </si>
  <si>
    <t>Functionality to develop real-time ETC / notice period info</t>
  </si>
  <si>
    <t>Functionality to deliver ETC / notice period info to CPS / via SMS</t>
  </si>
  <si>
    <t>Functionality to deliver ETC / notice period info via web portal</t>
  </si>
  <si>
    <t>SMSC integration to expand functionality to receive confirmationary SMS</t>
  </si>
  <si>
    <t>Functionality to forward notice period information to GP in real time</t>
  </si>
  <si>
    <t>Functionality to check whether customer has already received ETC info                                                    (for pre-authorisation option)</t>
  </si>
  <si>
    <t>Coordinate porting execution process between LP and GP - MBB</t>
  </si>
  <si>
    <t>Expand functionality to include non-porters - C&amp;R</t>
  </si>
  <si>
    <t>Automate daily porting process - MBB</t>
  </si>
  <si>
    <t>Update retail system to receive non-number port requests - C&amp;R</t>
  </si>
  <si>
    <t>Deactivate manual consumer update communications - MBB</t>
  </si>
  <si>
    <t>Approved for release</t>
  </si>
  <si>
    <t xml:space="preserve">Number of working days   </t>
  </si>
  <si>
    <t xml:space="preserve">Number of hours per day   </t>
  </si>
  <si>
    <t>Additional length of GP conversation</t>
  </si>
  <si>
    <t>Overall selection for Option 1------------&gt;&gt;</t>
  </si>
  <si>
    <t>Overall selection for Option 2------------&gt;&gt;</t>
  </si>
  <si>
    <t xml:space="preserve">Total industry amount saved under Option 1  </t>
  </si>
  <si>
    <t>Additional C&amp;R switchers no longer contacting LP under Option 1</t>
  </si>
  <si>
    <t>Total number of avoided calls under Option 1 + Incremental reform 2</t>
  </si>
  <si>
    <t>Total number of avoided calls under Option 2 + Incremental reform 2</t>
  </si>
  <si>
    <t>Additional number of switchers including Incremental reform 2</t>
  </si>
  <si>
    <t>Total time saved under Option 1 (minutes)</t>
  </si>
  <si>
    <t>Total time saved under Option 2 (minutes)</t>
  </si>
  <si>
    <t>Option 1 + Reform 2: Total cost</t>
  </si>
  <si>
    <t>Option 2 + Reform 2: Total cost</t>
  </si>
  <si>
    <t>Ofcom</t>
  </si>
  <si>
    <t>2016 release 1.0</t>
  </si>
  <si>
    <t>Non-confidential</t>
  </si>
  <si>
    <t>Annual cost savings including Incremental reform 2</t>
  </si>
  <si>
    <t xml:space="preserve"> -----------------------------------------------------------------------------------------------------------------------------------------------</t>
  </si>
  <si>
    <t>Switching assumptions</t>
  </si>
  <si>
    <t xml:space="preserve">Contains data / assumptions on number of switchers, switcher growth, and number of switchers who would no longer call LP  </t>
  </si>
  <si>
    <t>Calculates total number of avoided calls for industry</t>
  </si>
  <si>
    <t>Switching growth rate</t>
  </si>
  <si>
    <t>% of switchers using PAC</t>
  </si>
  <si>
    <t>% of C&amp;R switchers who would port their number</t>
  </si>
  <si>
    <t>% currently requesting PAC / terminating by phone</t>
  </si>
  <si>
    <t>% of PAC switchers no longer calling LP under Option 1</t>
  </si>
  <si>
    <t>% of PAC switchers no longer calling LP under Option 2</t>
  </si>
  <si>
    <t>% of C&amp;R switchers no longer calling LP under Option 1</t>
  </si>
  <si>
    <t>% of C&amp;R switchers no longer calling LP under Option 2</t>
  </si>
  <si>
    <t>For incremental reform 2:</t>
  </si>
  <si>
    <t>% of C&amp;R switchers who don't want to port number</t>
  </si>
  <si>
    <t>% of these switchers who will now use our process</t>
  </si>
  <si>
    <t xml:space="preserve"> ---------------</t>
  </si>
  <si>
    <t xml:space="preserve">% of switchers no longer calling the LP:  </t>
  </si>
  <si>
    <t>Base case output</t>
  </si>
  <si>
    <t>Additional C&amp;R switchers no longer contacting LP under Option 2</t>
  </si>
  <si>
    <t xml:space="preserve">Estimates of call centre agent staff cost per hour </t>
  </si>
  <si>
    <t xml:space="preserve"> ------------------------------------------------------------------------------------------------------------------------------------------------------&gt;&gt;&gt;&gt;</t>
  </si>
  <si>
    <t>Net present cost (NPC) of industry cost of proposed switching options</t>
  </si>
  <si>
    <t>Option 1 + Reform 2: Incremental cost of reform 2</t>
  </si>
  <si>
    <t>Option 2 + Reform 2: Incremental cost of reform 2</t>
  </si>
  <si>
    <t>Provision of clear guidance to consumers</t>
  </si>
  <si>
    <t>Total (Option 2 core proposals)</t>
  </si>
  <si>
    <t>Total (Option 1 core proposals)</t>
  </si>
  <si>
    <t>Option 1 core proposals</t>
  </si>
  <si>
    <t>Option 2 core proposals</t>
  </si>
  <si>
    <t>Total (Option 1 core proposals + Incremental reform 2)</t>
  </si>
  <si>
    <t>Total (Option 2 core proposals + Incremental reform 2)</t>
  </si>
  <si>
    <t>Total (Option 1 core proposals + both incremental reforms)</t>
  </si>
  <si>
    <t>Total (Option 2 core proposals + both incremental reforms)</t>
  </si>
  <si>
    <t>Total number of switchers</t>
  </si>
  <si>
    <t>Number of PAC switchers</t>
  </si>
  <si>
    <t>Updated centralised porting and validation management</t>
  </si>
  <si>
    <t>Operators</t>
  </si>
  <si>
    <t>Decomission existing PAC processes</t>
  </si>
  <si>
    <t>Source: Ofcom</t>
  </si>
  <si>
    <t xml:space="preserve"> ---------------------------------------------------------------------------------------------------------------------------&gt;&gt;&gt;&gt;</t>
  </si>
  <si>
    <t>Selection</t>
  </si>
  <si>
    <t>Contains set-up cost and annual operating cost estimates for proposed switching options</t>
  </si>
  <si>
    <t>Estimates of average minutes spent by call centre agent processing PAC request / cancelling service</t>
  </si>
  <si>
    <t>Source: Operator data</t>
  </si>
  <si>
    <t>Mobile switching: Costs to industry</t>
  </si>
  <si>
    <t>GPL</t>
  </si>
  <si>
    <t>Automated PAC provision</t>
  </si>
  <si>
    <t>End-to-end-management</t>
  </si>
  <si>
    <t>Incremental reform 2: End-to-end management</t>
  </si>
  <si>
    <t>Source: Operator data / Ofcom</t>
  </si>
  <si>
    <t>Source: Assumption (Figure A8.5 in consultation)</t>
  </si>
  <si>
    <t>Request PAC from CPS (f)</t>
  </si>
  <si>
    <t>Source: Assumption (paragraph A8.47 in consultation)</t>
  </si>
  <si>
    <t>Under Option 2, the conversation with the GP will be longer because the GP must give the consumer information about notice periods and offer to defer the switch. We estimate the conversation with the GP will be extended by 1 minute as a result (paragraph A8.47 of the consultation).</t>
  </si>
  <si>
    <t xml:space="preserve">Total number of phone PAC requests saved under Option 1  </t>
  </si>
  <si>
    <t xml:space="preserve">Total hours saved by Option 1  </t>
  </si>
  <si>
    <t xml:space="preserve">Total industry amount saved under Option 1 + Incremental Reform 2  </t>
  </si>
  <si>
    <t xml:space="preserve">Total industry amount saved under Option 2 + Incremental Reform 2  </t>
  </si>
  <si>
    <t>Calculates annual cost from years 1-10 for proposed switching options</t>
  </si>
  <si>
    <t>Source: Mobile switching: Benefits to switchers model</t>
  </si>
  <si>
    <t xml:space="preserve">Discussed in Annex 8 of consultation </t>
  </si>
  <si>
    <t>Discussed in Annex 8 of consultation</t>
  </si>
  <si>
    <t>Source: Figure A8.5 in consultation</t>
  </si>
  <si>
    <t>Contains key input selections and base case 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</si>
</sst>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153">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Red]\-#,##0_);0_);@_)"/>
    <numFmt numFmtId="165" formatCode="#,##0.00_);[Red]\-#,##0.00_);0.00_);@_)"/>
    <numFmt numFmtId="166" formatCode="#,##0%;[Red]\-#,##0%;0%;@_)"/>
    <numFmt numFmtId="167" formatCode="_-* #,##0_-;\-* #,##0_-;_-* &quot;-&quot;??_-;_-@_-"/>
    <numFmt numFmtId="168" formatCode="&quot;£&quot;#,##0.00"/>
    <numFmt numFmtId="169" formatCode="0.0"/>
    <numFmt numFmtId="170" formatCode="_-[$€-2]* #,##0.00_-;\-[$€-2]* #,##0.00_-;_-[$€-2]* &quot;-&quot;??_-"/>
    <numFmt numFmtId="171" formatCode="0.0_)\%;\(0.0\)\%;0.0_)\%;@_)_%"/>
    <numFmt numFmtId="172" formatCode="#,##0.0_)_%;\(#,##0.0\)_%;0.0_)_%;@_)_%"/>
    <numFmt numFmtId="173" formatCode="#,##0.0_);\(#,##0.0\);#,##0.0_);@_)"/>
    <numFmt numFmtId="174" formatCode="#,##0.0_);\(#,##0.0\)"/>
    <numFmt numFmtId="175" formatCode="&quot;$&quot;_(#,##0.00_);&quot;$&quot;\(#,##0.00\);&quot;$&quot;_(0.00_);@_)"/>
    <numFmt numFmtId="176" formatCode="#.0000,;[Red]\(#.0000,\)"/>
    <numFmt numFmtId="177" formatCode="&quot;£&quot;_(#,##0.00_);&quot;£&quot;\(#,##0.00\);&quot;£&quot;_(0.00_);@_)"/>
    <numFmt numFmtId="178" formatCode="&quot;£&quot;#,##0_k;[Red]&quot;£&quot;\(#,##0\)\k"/>
    <numFmt numFmtId="179" formatCode="&quot;£&quot;#,##0_);[Red]\(&quot;£&quot;#,##0\)"/>
    <numFmt numFmtId="180" formatCode="_-&quot;$&quot;* #,##0_-;\-&quot;$&quot;* #,##0_-;_-&quot;$&quot;* &quot;-&quot;_-;_-@_-"/>
    <numFmt numFmtId="181" formatCode="#,##0.00_);\(#,##0.00\);0.00_);@_)"/>
    <numFmt numFmtId="182" formatCode="\€_(#,##0.00_);\€\(#,##0.00\);\€_(0.00_);@_)"/>
    <numFmt numFmtId="183" formatCode="#,##0_)\x;\(#,##0\)\x;0_)\x;@_)_x"/>
    <numFmt numFmtId="184" formatCode="#,;[Red]\(#,\);\-"/>
    <numFmt numFmtId="185" formatCode="&quot;£&quot;#,##0_k;[Red]\(&quot;£&quot;#,##0\k\)"/>
    <numFmt numFmtId="186" formatCode="&quot;£&quot;#,##0.00_);\(&quot;£&quot;#,##0.00\)"/>
    <numFmt numFmtId="187" formatCode="_-&quot;$&quot;* #,##0.00_-;\-&quot;$&quot;* #,##0.00_-;_-&quot;$&quot;* &quot;-&quot;??_-;_-@_-"/>
    <numFmt numFmtId="188" formatCode="#,##0_)_x;\(#,##0\)_x;0_)_x;@_)_x"/>
    <numFmt numFmtId="189" formatCode="0%;[Red]0%"/>
    <numFmt numFmtId="190" formatCode="#,##0\k_);[Red]\(#,##0\k\)"/>
    <numFmt numFmtId="191" formatCode="&quot;£&quot;#,##0.00_);[Red]\(&quot;£&quot;#,##0.00\)"/>
    <numFmt numFmtId="192" formatCode="\+#,##0;[Red]\-#,##0"/>
    <numFmt numFmtId="193" formatCode="#,##0.000000_);\(#,##0.000000\)"/>
    <numFmt numFmtId="194" formatCode="0%;[Red]\-0%"/>
    <numFmt numFmtId="195" formatCode="&quot;£&quot;#,##0\k_);[Red]\(&quot;£&quot;#,##0\k\)"/>
    <numFmt numFmtId="196" formatCode="_(&quot;£&quot;* #,##0_);_(&quot;£&quot;* \(#,##0\);_(&quot;£&quot;* &quot;-&quot;_);_(@_)"/>
    <numFmt numFmtId="197" formatCode="\+&quot;£&quot;#,##0;[Red]\-&quot;£&quot;#,##0"/>
    <numFmt numFmtId="198" formatCode="#,##0.0000_);\(#,##0.0000\)"/>
    <numFmt numFmtId="199" formatCode="0.0%;[Red]\-0.0%"/>
    <numFmt numFmtId="200" formatCode="#,##0\);[Red]\(#,##0\)"/>
    <numFmt numFmtId="201" formatCode="_(&quot;£&quot;* #,##0.00_);_(&quot;£&quot;* \(#,##0.00\);_(&quot;£&quot;* &quot;-&quot;??_);_(@_)"/>
    <numFmt numFmtId="202" formatCode="&quot;+&quot;0%;&quot;-&quot;0%;&quot;=&quot;"/>
    <numFmt numFmtId="203" formatCode="_(* #,##0.0_);_(* \(#,##0.0\);_(* &quot;-&quot;?_);_(@_)"/>
    <numFmt numFmtId="204" formatCode=";;;"/>
    <numFmt numFmtId="205" formatCode="#,##0;\(#,##0\)"/>
    <numFmt numFmtId="206" formatCode="_ &quot;\&quot;* #,##0_ ;_ &quot;\&quot;* \-#,##0_ ;_ &quot;\&quot;* &quot;-&quot;_ ;_ @_ "/>
    <numFmt numFmtId="207" formatCode="_ &quot;\&quot;* #,##0.00_ ;_ &quot;\&quot;* \-#,##0.00_ ;_ &quot;\&quot;* &quot;-&quot;??_ ;_ @_ "/>
    <numFmt numFmtId="208" formatCode="_ * #,##0_ ;_ * \-#,##0_ ;_ * &quot;-&quot;_ ;_ @_ "/>
    <numFmt numFmtId="209" formatCode="_ * #,##0.00_ ;_ * \-#,##0.00_ ;_ * &quot;-&quot;??_ ;_ @_ "/>
    <numFmt numFmtId="210" formatCode="_-* #,##0_-;_-* #,##0_-;"/>
    <numFmt numFmtId="211" formatCode="\£#,##0.0_:_|_);\(\£#,##0.0\)_:_:;\£#,##0.0_:_|_);@_)"/>
    <numFmt numFmtId="212" formatCode="#,##0;\-#,##0;\-"/>
    <numFmt numFmtId="213" formatCode="#,##0_ ;\(#,##0\);\-\ "/>
    <numFmt numFmtId="214" formatCode="###0_);[Red]\(###0\)"/>
    <numFmt numFmtId="215" formatCode="0.000000"/>
    <numFmt numFmtId="216" formatCode="&quot;$&quot;#,##0.0000_);\(&quot;$&quot;#,##0.0000\)"/>
    <numFmt numFmtId="217" formatCode="_(* #,##0.0_);_(* \(#,##0.0\);_(* &quot;-&quot;_);_(@_)"/>
    <numFmt numFmtId="218" formatCode="&quot;$&quot;#,##0"/>
    <numFmt numFmtId="219" formatCode="&quot;$&quot;#.##"/>
    <numFmt numFmtId="220" formatCode="#,##0.0;[Red]\-#,##0.0;\-"/>
    <numFmt numFmtId="221" formatCode="#,##0;[Red]\-#,##0;\-"/>
    <numFmt numFmtId="222" formatCode="#,##0;[Red]\(#,##0\)"/>
    <numFmt numFmtId="223" formatCode="_ * #,##0.00_)&quot;L&quot;_ ;_ * \(#,##0.00\)&quot;L&quot;_ ;_ * &quot;-&quot;??_)&quot;L&quot;_ ;_ @_ "/>
    <numFmt numFmtId="224" formatCode="_(* #,##0_);_(* \(#,##0\);_(* &quot;-&quot;_);_(@_)"/>
    <numFmt numFmtId="225" formatCode="#,##0.0\ ;[Red]\(#,##0.0\)"/>
    <numFmt numFmtId="226" formatCode="#,##0.00\ ;[Red]\(#,##0.00\)"/>
    <numFmt numFmtId="227" formatCode="_(* #,##0.00_);_(* \(#,##0.00\);_(* &quot;-&quot;??_);_(@_)"/>
    <numFmt numFmtId="228" formatCode="#,##0.0;\-#,##0.0"/>
    <numFmt numFmtId="229" formatCode="_-* #,##0_-;\(#,##0\)_-;_-* &quot;-&quot;_-;_-@_-"/>
    <numFmt numFmtId="230" formatCode="#,##0.000_);\(#,##0.000\)"/>
    <numFmt numFmtId="231" formatCode="#,###,&quot;,000&quot;;\(#,###,&quot;,000&quot;\);\-"/>
    <numFmt numFmtId="232" formatCode="_-\€* #,##0.00_-;\-\€* #,##0.00_-;_-\€* &quot;-&quot;??_-;_-@_-"/>
    <numFmt numFmtId="233" formatCode="* _(#,##0_);[Red]* \(#,##0\);* _(&quot;-&quot;?_);@_)"/>
    <numFmt numFmtId="234" formatCode="* _(#,##0.00_);[Red]* \(#,##0.00\);* _(&quot;-&quot;?_);@_)"/>
    <numFmt numFmtId="235" formatCode="_-\€* #,##0_-;\-\€* #,##0_-;_-\€* &quot;-&quot;_-;_-@_-"/>
    <numFmt numFmtId="236" formatCode="General_)"/>
    <numFmt numFmtId="237" formatCode="#,##0.0_x_);\(#,##0.0_x\);\ \-\-\-_)"/>
    <numFmt numFmtId="238" formatCode="\$\ * _(#,##0_);[Red]\$\ * \(#,##0\);\$\ * _(&quot;-&quot;?_);@_)"/>
    <numFmt numFmtId="239" formatCode="\$\ * _(#,##0.00_);[Red]\$\ * \(#,##0.00\);\$\ * _(&quot;-&quot;?_);@_)"/>
    <numFmt numFmtId="240" formatCode="\€\ * _(#,##0_);[Red]\€\ * \(#,##0\);\€\ * _(&quot;-&quot;?_);@_)"/>
    <numFmt numFmtId="241" formatCode="\€\ * _(#,##0.00_);[Red]\€\ * \(#,##0.00\);\€\ * _(&quot;-&quot;?_);@_)"/>
    <numFmt numFmtId="242" formatCode="\£\ * _(#,##0_);[Red]\£\ * \(#,##0\);\£\ * _(&quot;-&quot;?_);@_)"/>
    <numFmt numFmtId="243" formatCode="\£\ * _(#,##0.00_);[Red]\£\ * \(#,##0.00\);\£\ * _(&quot;-&quot;?_);@_)"/>
    <numFmt numFmtId="244" formatCode="_-* #,##0.0_-;\-* #,##0.0_-;_-* &quot;-&quot;?_-;_-@_-"/>
    <numFmt numFmtId="245" formatCode="_(&quot;$&quot;* #,##0_);_(&quot;$&quot;* \(#,##0\);_(&quot;$&quot;* &quot;-&quot;_);_(@_)"/>
    <numFmt numFmtId="246" formatCode="_(&quot;$&quot;\ #,##0_);_(&quot;$&quot;\ \(#,##0\);_(* &quot;-&quot;??_);_(@_)"/>
    <numFmt numFmtId="247" formatCode="_(&quot;$&quot;\ #,##0.00_);_(&quot;$&quot;\ \(#,##0.00\);_(* &quot;-&quot;??_);_(@_)"/>
    <numFmt numFmtId="248" formatCode="_(&quot;$&quot;* #,##0.00_);_(&quot;$&quot;* \(#,##0.00\);_(&quot;$&quot;* &quot;-&quot;??_);_(@_)"/>
    <numFmt numFmtId="249" formatCode="#,##0;[Red]\(#,##0\);&quot;-&quot;"/>
    <numFmt numFmtId="250" formatCode="mmm\ yy_)"/>
    <numFmt numFmtId="251" formatCode="yyyy_)"/>
    <numFmt numFmtId="252" formatCode="dd\ mmm\ yy_)"/>
    <numFmt numFmtId="253" formatCode="#,##0.00_);\(#,##0.00\);\ \-\-\-_)"/>
    <numFmt numFmtId="254" formatCode="_(* #,##0_);_(* \(#,##0\);_(* &quot;&quot;\ \-\ &quot;&quot;_);_(@_)"/>
    <numFmt numFmtId="255" formatCode="#,###,##0;\(#,###,##0\);\-"/>
    <numFmt numFmtId="256" formatCode="0.00%;\(0.00%\);\-"/>
    <numFmt numFmtId="257" formatCode="#,##0.0\x_)_%;\(#,##0.0\x\)_%;\ &quot;NM&quot;_x_%_)"/>
    <numFmt numFmtId="258" formatCode="#,##0_ ;[Red]\(#,##0\);\-\ "/>
    <numFmt numFmtId="259" formatCode="#,##0;[White]\(#,##0\)"/>
    <numFmt numFmtId="260" formatCode="&quot;Case&quot;\ 0"/>
    <numFmt numFmtId="261" formatCode="_-#,##0&quot; hours&quot;"/>
    <numFmt numFmtId="262" formatCode="#,##0.0"/>
    <numFmt numFmtId="263" formatCode="&quot;$&quot;#,##0.00"/>
    <numFmt numFmtId="264" formatCode="0.0%"/>
    <numFmt numFmtId="265" formatCode="_-#,##0.0&quot; max&quot;"/>
    <numFmt numFmtId="266" formatCode="#,##0.0,,_);[Red]\(#,##0.0,,\)"/>
    <numFmt numFmtId="267" formatCode="_-#,##0&quot; months&quot;"/>
    <numFmt numFmtId="268" formatCode="#,##0.0_x_%_);\(#,##0.0\)_x_%;\ &quot;NM&quot;_x_%_)"/>
    <numFmt numFmtId="269" formatCode="_-#,##0&quot;MW&quot;"/>
    <numFmt numFmtId="270" formatCode="_-#,##0&quot;MWth&quot;"/>
    <numFmt numFmtId="271" formatCode="0.00_)"/>
    <numFmt numFmtId="272" formatCode="0.000"/>
    <numFmt numFmtId="273" formatCode="#,##0.0_);[Red]\(#,##0.0\)"/>
    <numFmt numFmtId="274" formatCode="&quot;$&quot;#,##0.0"/>
    <numFmt numFmtId="275" formatCode="#,##0.0_);\(#,##0.0\);\ \-\-\-_)"/>
    <numFmt numFmtId="276" formatCode="&quot;£&quot;#,##0_);\(&quot;£&quot;#,##0\)"/>
    <numFmt numFmtId="277" formatCode="_-* #,##0.00_-;_-* #,##0.00\-;_-* &quot;-&quot;??_-;_-@_-"/>
    <numFmt numFmtId="278" formatCode="_-* #,##0_-;_-* #,##0\-;_-* &quot;-&quot;_-;_-@_-"/>
    <numFmt numFmtId="279" formatCode="0.0%_%;\(0.0%\)_%"/>
    <numFmt numFmtId="280" formatCode="#,##0.0\%_);\(#,##0.0\%\);#,##0.0\%_);@_)"/>
    <numFmt numFmtId="281" formatCode="0.00%_);\(0.00%\);\ \-\-\-_)"/>
    <numFmt numFmtId="282" formatCode="0.000%_);\(0.000%\);\ \-\-\-_)"/>
    <numFmt numFmtId="283" formatCode="0.00%_x_);\(0.00%\)_x;\ &quot;NM&quot;_x_%_)"/>
    <numFmt numFmtId="284" formatCode="0.00%_x_);\(0.00%\)_x;\ \-\-\-_x_%_)"/>
    <numFmt numFmtId="285" formatCode="#,##0.00%;[Red]\-#,##0.00%;0.00%;@_)"/>
    <numFmt numFmtId="286" formatCode="\+#,##0.0;\-#,##0.0;"/>
    <numFmt numFmtId="287" formatCode="\£#,##0.00_);\(\£#,##0.00\)"/>
    <numFmt numFmtId="288" formatCode="\£#,##0.00_);\(\£#,##0.00\);\ \-\-\-_)"/>
    <numFmt numFmtId="289" formatCode="\£#,##0.00_x_%_);\(\£#,##0.00\)_x_%;\ \-\-\-_x_%_)"/>
    <numFmt numFmtId="290" formatCode="#,##0.00_x_%_);\(#,##0.00\)_x_%;\ \-\-\-_x_%_)"/>
    <numFmt numFmtId="291" formatCode="0.0000"/>
    <numFmt numFmtId="292" formatCode="&quot;$&quot;#,##0;\-&quot;$&quot;#,##0"/>
    <numFmt numFmtId="293" formatCode="#,##0.0;[Red]\(#,##0.0\)"/>
    <numFmt numFmtId="294" formatCode="#,##0.00;[Red]\(#,##0.00\)"/>
    <numFmt numFmtId="295" formatCode="#,##0.000%;\-#,##0.000%;\-\%"/>
    <numFmt numFmtId="296" formatCode="#,##0.000;\-#,##0.000;\-\ "/>
    <numFmt numFmtId="297" formatCode="#,##0&quot;£&quot;_);[Red]\(#,##0&quot;£&quot;\)"/>
    <numFmt numFmtId="298" formatCode="mmm\-yyyy"/>
    <numFmt numFmtId="299" formatCode="0.00%;[Red]\-0.00%"/>
    <numFmt numFmtId="300" formatCode="_-#,##0&quot; t&quot;"/>
    <numFmt numFmtId="301" formatCode="_(* #,##0.000_);_(* \(#,##0.000\);_(* &quot;-&quot;_);_(@_)"/>
    <numFmt numFmtId="302" formatCode="#,##0.0,_);[Red]\(#,##0.0,\)"/>
    <numFmt numFmtId="303" formatCode="0.0\x"/>
    <numFmt numFmtId="304" formatCode="0\ \x"/>
    <numFmt numFmtId="305" formatCode="yyyy"/>
    <numFmt numFmtId="306" formatCode="_-#,##0&quot; years&quot;"/>
    <numFmt numFmtId="307" formatCode="&quot;Yes&quot;;&quot;Yes&quot;;&quot;No&quot;"/>
    <numFmt numFmtId="308" formatCode="&quot;£&quot;#,##0"/>
    <numFmt numFmtId="309" formatCode="#,##0.00000000000000000000;\(#,##0.00000000000000000000\)"/>
    <numFmt numFmtId="310" formatCode="_(* #,##0_);_(* \(#,##0\);_(* &quot;-&quot;??_);_(@_)"/>
    <numFmt numFmtId="311" formatCode="d\ mmmm\ yyyy"/>
  </numFmts>
  <fonts count="215">
    <font>
      <sz val="9"/>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9"/>
      <name val="Arial"/>
      <family val="2"/>
    </font>
    <font>
      <b/>
      <sz val="18"/>
      <name val="Arial"/>
      <family val="2"/>
    </font>
    <font>
      <b/>
      <sz val="14"/>
      <name val="Arial"/>
      <family val="2"/>
    </font>
    <font>
      <b/>
      <sz val="9"/>
      <name val="Arial"/>
      <family val="2"/>
    </font>
    <font>
      <b/>
      <sz val="22"/>
      <name val="Arial"/>
      <family val="2"/>
    </font>
    <font>
      <sz val="8"/>
      <name val="Arial"/>
      <family val="2"/>
    </font>
    <font>
      <i/>
      <sz val="9"/>
      <color indexed="16"/>
      <name val="Arial"/>
      <family val="2"/>
    </font>
    <font>
      <sz val="9"/>
      <name val="Verdana"/>
      <family val="2"/>
    </font>
    <font>
      <sz val="8"/>
      <color indexed="10"/>
      <name val="Arial"/>
      <family val="2"/>
    </font>
    <font>
      <i/>
      <sz val="9"/>
      <color rgb="FF969696"/>
      <name val="Arial"/>
      <family val="2"/>
    </font>
    <font>
      <sz val="11"/>
      <color theme="1"/>
      <name val="Myriad Pro"/>
      <family val="2"/>
    </font>
    <font>
      <b/>
      <sz val="24"/>
      <color theme="0"/>
      <name val="Myriad Pro"/>
    </font>
    <font>
      <b/>
      <sz val="11"/>
      <color theme="3"/>
      <name val="Myriad Pro"/>
      <family val="2"/>
    </font>
    <font>
      <b/>
      <sz val="11"/>
      <color theme="1" tint="0.249977111117893"/>
      <name val="Myriad Pro"/>
    </font>
    <font>
      <sz val="10"/>
      <name val="Arial"/>
      <family val="2"/>
    </font>
    <font>
      <sz val="12"/>
      <color theme="1"/>
      <name val="Calibri"/>
      <family val="2"/>
      <scheme val="minor"/>
    </font>
    <font>
      <sz val="12"/>
      <color rgb="FF9C6500"/>
      <name val="Calibri"/>
      <family val="2"/>
      <scheme val="minor"/>
    </font>
    <font>
      <sz val="12"/>
      <color rgb="FF9C0006"/>
      <name val="Calibri"/>
      <family val="2"/>
      <scheme val="minor"/>
    </font>
    <font>
      <b/>
      <sz val="8"/>
      <name val="Arial"/>
      <family val="2"/>
    </font>
    <font>
      <sz val="11"/>
      <color indexed="8"/>
      <name val="Calibri"/>
      <family val="2"/>
      <scheme val="minor"/>
    </font>
    <font>
      <b/>
      <sz val="10"/>
      <name val="Arial"/>
      <family val="2"/>
    </font>
    <font>
      <sz val="11"/>
      <color rgb="FF3F3F76"/>
      <name val="Calibri"/>
      <family val="2"/>
      <scheme val="minor"/>
    </font>
    <font>
      <sz val="11"/>
      <name val="Arial"/>
      <family val="2"/>
    </font>
    <font>
      <i/>
      <sz val="10"/>
      <color rgb="FF7030A0"/>
      <name val="Arial"/>
      <family val="2"/>
    </font>
    <font>
      <b/>
      <u/>
      <sz val="14"/>
      <name val="Arial"/>
      <family val="2"/>
    </font>
    <font>
      <b/>
      <i/>
      <sz val="10"/>
      <name val="Arial"/>
      <family val="2"/>
    </font>
    <font>
      <sz val="10"/>
      <name val="Geneva"/>
      <family val="2"/>
    </font>
    <font>
      <sz val="12"/>
      <name val="Times New Roman"/>
      <family val="1"/>
    </font>
    <font>
      <sz val="10"/>
      <color indexed="8"/>
      <name val="MS Sans Serif"/>
      <family val="2"/>
    </font>
    <font>
      <sz val="10"/>
      <name val="Times New Roman"/>
      <family val="1"/>
    </font>
    <font>
      <sz val="10"/>
      <name val="Helv"/>
      <charset val="204"/>
    </font>
    <font>
      <sz val="10"/>
      <color indexed="10"/>
      <name val="Arial"/>
      <family val="2"/>
    </font>
    <font>
      <b/>
      <sz val="22"/>
      <color indexed="18"/>
      <name val="Arial"/>
      <family val="2"/>
    </font>
    <font>
      <sz val="10"/>
      <name val="Helv"/>
    </font>
    <font>
      <b/>
      <sz val="14"/>
      <color indexed="18"/>
      <name val="Arial"/>
      <family val="2"/>
    </font>
    <font>
      <sz val="10"/>
      <name val="Helv"/>
      <family val="2"/>
    </font>
    <font>
      <sz val="9"/>
      <color indexed="8"/>
      <name val="Arial"/>
      <family val="2"/>
    </font>
    <font>
      <b/>
      <sz val="10"/>
      <color indexed="18"/>
      <name val="Arial"/>
      <family val="2"/>
    </font>
    <font>
      <b/>
      <u val="singleAccounting"/>
      <sz val="10"/>
      <color indexed="18"/>
      <name val="Arial"/>
      <family val="2"/>
    </font>
    <font>
      <sz val="10"/>
      <color indexed="8"/>
      <name val="Arial"/>
      <family val="2"/>
    </font>
    <font>
      <sz val="12"/>
      <name val="DTMLetterRegular"/>
    </font>
    <font>
      <sz val="10"/>
      <name val="MS Sans Serif"/>
      <family val="2"/>
    </font>
    <font>
      <sz val="10"/>
      <name val="Courier"/>
      <family val="3"/>
    </font>
    <font>
      <sz val="10"/>
      <name val="Calibri"/>
      <family val="2"/>
      <scheme val="minor"/>
    </font>
    <font>
      <b/>
      <sz val="10"/>
      <name val="Calibri"/>
      <family val="2"/>
      <scheme val="minor"/>
    </font>
    <font>
      <b/>
      <sz val="10"/>
      <color rgb="FF0070C0"/>
      <name val="Calibri"/>
      <family val="2"/>
      <scheme val="minor"/>
    </font>
    <font>
      <b/>
      <sz val="10"/>
      <color rgb="FF7030A0"/>
      <name val="Calibri"/>
      <family val="2"/>
      <scheme val="minor"/>
    </font>
    <font>
      <i/>
      <sz val="10"/>
      <name val="Calibri"/>
      <family val="2"/>
      <scheme val="minor"/>
    </font>
    <font>
      <sz val="10"/>
      <color indexed="22"/>
      <name val="Calibri"/>
      <family val="2"/>
      <scheme val="minor"/>
    </font>
    <font>
      <sz val="11"/>
      <name val="µ¸¿ò"/>
      <family val="3"/>
    </font>
    <font>
      <sz val="8"/>
      <name val="Times New Roman"/>
      <family val="1"/>
    </font>
    <font>
      <sz val="10"/>
      <color indexed="10"/>
      <name val="Times New Roman"/>
      <family val="1"/>
    </font>
    <font>
      <sz val="12"/>
      <color indexed="18"/>
      <name val="Arial"/>
      <family val="2"/>
    </font>
    <font>
      <sz val="12"/>
      <name val="Tms Rmn"/>
      <family val="1"/>
    </font>
    <font>
      <b/>
      <sz val="8.5"/>
      <color indexed="21"/>
      <name val="Arial"/>
      <family val="2"/>
    </font>
    <font>
      <b/>
      <i/>
      <sz val="14"/>
      <name val="Times New Roman"/>
      <family val="1"/>
    </font>
    <font>
      <sz val="12"/>
      <name val="¹ÙÅÁÃ¼"/>
      <family val="1"/>
    </font>
    <font>
      <sz val="8.5"/>
      <name val="Arial"/>
      <family val="2"/>
    </font>
    <font>
      <b/>
      <sz val="10"/>
      <color theme="6" tint="-0.499984740745262"/>
      <name val="Arial"/>
      <family val="2"/>
    </font>
    <font>
      <sz val="10"/>
      <color indexed="16"/>
      <name val="MS Sans Serif"/>
      <family val="2"/>
    </font>
    <font>
      <sz val="10"/>
      <color theme="6" tint="-0.499984740745262"/>
      <name val="Arial"/>
      <family val="2"/>
    </font>
    <font>
      <b/>
      <sz val="11"/>
      <color indexed="53"/>
      <name val="Calibri"/>
      <family val="2"/>
    </font>
    <font>
      <i/>
      <sz val="9"/>
      <color indexed="55"/>
      <name val="Arial"/>
      <family val="2"/>
    </font>
    <font>
      <b/>
      <sz val="10"/>
      <name val="Times New Roman"/>
      <family val="1"/>
    </font>
    <font>
      <b/>
      <sz val="10"/>
      <name val="Verdana"/>
      <family val="2"/>
    </font>
    <font>
      <sz val="12"/>
      <name val="宋体"/>
      <charset val="134"/>
    </font>
    <font>
      <sz val="10"/>
      <color indexed="39"/>
      <name val="Century Schoolbook"/>
      <family val="1"/>
    </font>
    <font>
      <sz val="10"/>
      <name val="Verdana"/>
      <family val="2"/>
    </font>
    <font>
      <sz val="8"/>
      <color indexed="8"/>
      <name val="Tahoma"/>
      <family val="2"/>
    </font>
    <font>
      <sz val="11"/>
      <color indexed="8"/>
      <name val="Calibri"/>
      <family val="2"/>
    </font>
    <font>
      <sz val="10"/>
      <name val="Palatino"/>
      <family val="1"/>
    </font>
    <font>
      <sz val="10"/>
      <name val="MS Serif"/>
      <family val="1"/>
    </font>
    <font>
      <sz val="8"/>
      <name val="Univers 47 CondensedLight"/>
      <family val="2"/>
    </font>
    <font>
      <b/>
      <sz val="9"/>
      <color indexed="9"/>
      <name val="Arial"/>
      <family val="2"/>
    </font>
    <font>
      <sz val="10"/>
      <color indexed="62"/>
      <name val="Arial"/>
      <family val="2"/>
    </font>
    <font>
      <sz val="10"/>
      <color indexed="12"/>
      <name val="Arial Narrow"/>
      <family val="2"/>
    </font>
    <font>
      <sz val="10"/>
      <color indexed="8"/>
      <name val="Helv"/>
      <family val="2"/>
    </font>
    <font>
      <sz val="10"/>
      <color indexed="16"/>
      <name val="MS Serif"/>
      <family val="1"/>
    </font>
    <font>
      <sz val="12"/>
      <name val="Tms Rmn"/>
    </font>
    <font>
      <sz val="10"/>
      <color rgb="FF0000FF"/>
      <name val="Arial"/>
      <family val="2"/>
    </font>
    <font>
      <sz val="10"/>
      <color indexed="12"/>
      <name val="Arial"/>
      <family val="2"/>
    </font>
    <font>
      <sz val="9"/>
      <color indexed="12"/>
      <name val="Arial"/>
      <family val="2"/>
    </font>
    <font>
      <b/>
      <sz val="9"/>
      <color indexed="21"/>
      <name val="Arial"/>
      <family val="2"/>
    </font>
    <font>
      <b/>
      <sz val="14"/>
      <name val="Comic Sans MS"/>
      <family val="4"/>
    </font>
    <font>
      <sz val="7"/>
      <name val="Palatino"/>
      <family val="1"/>
    </font>
    <font>
      <sz val="10"/>
      <color theme="1"/>
      <name val="Arial"/>
      <family val="2"/>
    </font>
    <font>
      <sz val="8"/>
      <color indexed="17"/>
      <name val="Arial"/>
      <family val="2"/>
    </font>
    <font>
      <sz val="10"/>
      <color indexed="23"/>
      <name val="Arial"/>
      <family val="2"/>
    </font>
    <font>
      <sz val="11"/>
      <color indexed="23"/>
      <name val="Arial"/>
      <family val="2"/>
    </font>
    <font>
      <b/>
      <sz val="7"/>
      <color indexed="21"/>
      <name val="Arial"/>
      <family val="2"/>
    </font>
    <font>
      <sz val="7"/>
      <name val="Arial"/>
      <family val="2"/>
    </font>
    <font>
      <b/>
      <sz val="30"/>
      <color theme="3"/>
      <name val="Calibri"/>
      <family val="2"/>
      <scheme val="minor"/>
    </font>
    <font>
      <sz val="6"/>
      <color indexed="16"/>
      <name val="Palatino"/>
      <family val="1"/>
    </font>
    <font>
      <b/>
      <i/>
      <sz val="10"/>
      <name val="Geneva"/>
      <family val="2"/>
    </font>
    <font>
      <b/>
      <sz val="22"/>
      <color theme="8" tint="-0.499984740745262"/>
      <name val="Arial"/>
      <family val="2"/>
    </font>
    <font>
      <b/>
      <sz val="11"/>
      <name val="Calibri"/>
      <family val="2"/>
      <scheme val="minor"/>
    </font>
    <font>
      <b/>
      <sz val="48"/>
      <color theme="8" tint="-0.499984740745262"/>
      <name val="Arial"/>
      <family val="2"/>
    </font>
    <font>
      <b/>
      <sz val="10"/>
      <color theme="0"/>
      <name val="Calibri"/>
      <family val="2"/>
      <scheme val="minor"/>
    </font>
    <font>
      <b/>
      <sz val="12"/>
      <color theme="8" tint="-0.499984740745262"/>
      <name val="Arial"/>
      <family val="2"/>
    </font>
    <font>
      <b/>
      <sz val="11"/>
      <color theme="8" tint="-0.499984740745262"/>
      <name val="Arial"/>
      <family val="2"/>
    </font>
    <font>
      <b/>
      <sz val="20"/>
      <color indexed="9"/>
      <name val="Bookman Old Style"/>
      <family val="1"/>
    </font>
    <font>
      <b/>
      <i/>
      <sz val="16"/>
      <color indexed="9"/>
      <name val="Bookman Old Style"/>
      <family val="1"/>
    </font>
    <font>
      <b/>
      <sz val="14"/>
      <color indexed="9"/>
      <name val="Bookman Old Style"/>
      <family val="1"/>
    </font>
    <font>
      <b/>
      <sz val="12"/>
      <color indexed="8"/>
      <name val="Bookman Old Style"/>
      <family val="1"/>
    </font>
    <font>
      <b/>
      <u/>
      <sz val="12"/>
      <name val="MS Sans Serif"/>
      <family val="2"/>
    </font>
    <font>
      <b/>
      <sz val="9"/>
      <name val="Helv"/>
    </font>
    <font>
      <sz val="9"/>
      <name val="Helv"/>
    </font>
    <font>
      <b/>
      <sz val="28"/>
      <name val="Arial"/>
      <family val="2"/>
    </font>
    <font>
      <sz val="8"/>
      <name val="Helv"/>
    </font>
    <font>
      <u/>
      <sz val="7.5"/>
      <color indexed="12"/>
      <name val="Arial"/>
      <family val="2"/>
    </font>
    <font>
      <u/>
      <sz val="7.65"/>
      <color indexed="12"/>
      <name val="Arial"/>
      <family val="2"/>
    </font>
    <font>
      <u/>
      <sz val="10"/>
      <color indexed="12"/>
      <name val="Arial"/>
      <family val="2"/>
    </font>
    <font>
      <sz val="10"/>
      <color indexed="24"/>
      <name val="Arial"/>
      <family val="2"/>
    </font>
    <font>
      <sz val="10"/>
      <color indexed="12"/>
      <name val="Times New Roman"/>
      <family val="1"/>
    </font>
    <font>
      <sz val="12"/>
      <name val="Helv"/>
    </font>
    <font>
      <sz val="10"/>
      <color theme="3" tint="-0.24994659260841701"/>
      <name val="Arial"/>
      <family val="2"/>
    </font>
    <font>
      <b/>
      <sz val="10"/>
      <name val="Geneva"/>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56"/>
      <name val="Arial"/>
      <family val="2"/>
    </font>
    <font>
      <sz val="10"/>
      <color theme="3" tint="-0.499984740745262"/>
      <name val="Arial"/>
      <family val="2"/>
    </font>
    <font>
      <sz val="12"/>
      <color indexed="45"/>
      <name val="Arial"/>
      <family val="2"/>
    </font>
    <font>
      <sz val="14"/>
      <color indexed="18"/>
      <name val="Arial"/>
      <family val="2"/>
    </font>
    <font>
      <b/>
      <sz val="18"/>
      <name val="Times New Roman"/>
      <family val="1"/>
    </font>
    <font>
      <b/>
      <sz val="18"/>
      <color indexed="18"/>
      <name val="Arial"/>
      <family val="2"/>
    </font>
    <font>
      <b/>
      <u val="singleAccounting"/>
      <sz val="9"/>
      <color indexed="9"/>
      <name val="Arial"/>
      <family val="2"/>
    </font>
    <font>
      <i/>
      <sz val="10"/>
      <color indexed="16"/>
      <name val="Times New Roman"/>
      <family val="1"/>
    </font>
    <font>
      <sz val="11"/>
      <color indexed="24"/>
      <name val="Arial"/>
      <family val="2"/>
    </font>
    <font>
      <sz val="7"/>
      <color indexed="55"/>
      <name val="Bookman Old Style"/>
      <family val="1"/>
    </font>
    <font>
      <sz val="7"/>
      <name val="Small Fonts"/>
      <family val="2"/>
    </font>
    <font>
      <b/>
      <i/>
      <sz val="16"/>
      <name val="Helv"/>
    </font>
    <font>
      <sz val="12"/>
      <name val="Arial"/>
      <family val="2"/>
    </font>
    <font>
      <sz val="8"/>
      <name val="Tahoma"/>
      <family val="2"/>
    </font>
    <font>
      <sz val="9"/>
      <color theme="6" tint="-0.499984740745262"/>
      <name val="Arial"/>
      <family val="2"/>
    </font>
    <font>
      <sz val="7"/>
      <color indexed="8"/>
      <name val="Arial"/>
      <family val="2"/>
    </font>
    <font>
      <sz val="9"/>
      <color theme="0" tint="-0.34998626667073579"/>
      <name val="Arial"/>
      <family val="2"/>
    </font>
    <font>
      <i/>
      <sz val="9"/>
      <color indexed="12"/>
      <name val="Helv"/>
    </font>
    <font>
      <sz val="8"/>
      <color indexed="8"/>
      <name val="Arial"/>
      <family val="2"/>
    </font>
    <font>
      <sz val="11"/>
      <color rgb="FF3F3F3F"/>
      <name val="Calibri"/>
      <family val="2"/>
      <scheme val="minor"/>
    </font>
    <font>
      <b/>
      <sz val="10"/>
      <color indexed="8"/>
      <name val="Arial"/>
      <family val="2"/>
    </font>
    <font>
      <b/>
      <sz val="26"/>
      <name val="Times New Roman"/>
      <family val="1"/>
    </font>
    <font>
      <sz val="10"/>
      <color indexed="16"/>
      <name val="Helvetica-Black"/>
    </font>
    <font>
      <sz val="10"/>
      <color theme="1"/>
      <name val="Calibri"/>
      <family val="2"/>
    </font>
    <font>
      <sz val="10"/>
      <name val="Arial Narrow"/>
      <family val="2"/>
    </font>
    <font>
      <b/>
      <sz val="16"/>
      <color indexed="59"/>
      <name val="Arial"/>
      <family val="2"/>
    </font>
    <font>
      <b/>
      <sz val="10"/>
      <name val="MS Sans Serif"/>
      <family val="2"/>
    </font>
    <font>
      <sz val="8"/>
      <color indexed="20"/>
      <name val="Arial"/>
      <family val="2"/>
    </font>
    <font>
      <sz val="10"/>
      <color indexed="18"/>
      <name val="MS Sans Serif"/>
      <family val="2"/>
    </font>
    <font>
      <b/>
      <sz val="6"/>
      <name val="Small Fonts"/>
      <family val="2"/>
    </font>
    <font>
      <sz val="8"/>
      <name val="Wingdings"/>
      <charset val="2"/>
    </font>
    <font>
      <b/>
      <sz val="14"/>
      <color indexed="9"/>
      <name val="Arial"/>
      <family val="2"/>
    </font>
    <font>
      <b/>
      <sz val="14"/>
      <name val="Times New Roman"/>
      <family val="1"/>
    </font>
    <font>
      <b/>
      <sz val="14"/>
      <color indexed="9"/>
      <name val="Book Antiqua"/>
      <family val="1"/>
    </font>
    <font>
      <b/>
      <sz val="14"/>
      <color indexed="62"/>
      <name val="Arial"/>
      <family val="2"/>
    </font>
    <font>
      <b/>
      <sz val="8"/>
      <name val="Arial Narrow"/>
      <family val="2"/>
    </font>
    <font>
      <b/>
      <sz val="16"/>
      <color indexed="16"/>
      <name val="Arial"/>
      <family val="2"/>
    </font>
    <font>
      <sz val="10"/>
      <color indexed="18"/>
      <name val="Times New Roman"/>
      <family val="1"/>
    </font>
    <font>
      <sz val="8"/>
      <name val="MS Sans Serif"/>
      <family val="2"/>
    </font>
    <font>
      <b/>
      <sz val="12"/>
      <name val="MS Sans Serif"/>
      <family val="2"/>
    </font>
    <font>
      <sz val="12"/>
      <name val="MS Sans Serif"/>
      <family val="2"/>
    </font>
    <font>
      <i/>
      <sz val="10"/>
      <color indexed="13"/>
      <name val="MS Sans Serif"/>
      <family val="2"/>
    </font>
    <font>
      <b/>
      <sz val="12"/>
      <color indexed="12"/>
      <name val="Arial"/>
      <family val="2"/>
    </font>
    <font>
      <sz val="11"/>
      <color indexed="17"/>
      <name val="Arial"/>
      <family val="2"/>
    </font>
    <font>
      <b/>
      <sz val="10"/>
      <color indexed="9"/>
      <name val="Book Antiqua"/>
      <family val="1"/>
    </font>
    <font>
      <i/>
      <sz val="10"/>
      <color indexed="62"/>
      <name val="Arial"/>
      <family val="2"/>
    </font>
    <font>
      <b/>
      <sz val="8"/>
      <color indexed="8"/>
      <name val="Helv"/>
    </font>
    <font>
      <b/>
      <sz val="11"/>
      <name val="Arial"/>
      <family val="2"/>
    </font>
    <font>
      <sz val="8"/>
      <color indexed="56"/>
      <name val="Book Antiqua"/>
      <family val="1"/>
    </font>
    <font>
      <b/>
      <sz val="10"/>
      <color theme="0"/>
      <name val="Arial"/>
      <family val="2"/>
    </font>
    <font>
      <b/>
      <sz val="9"/>
      <name val="Palatino"/>
      <family val="1"/>
    </font>
    <font>
      <sz val="9"/>
      <color indexed="21"/>
      <name val="Helvetica-Black"/>
    </font>
    <font>
      <b/>
      <sz val="10"/>
      <color indexed="16"/>
      <name val="Arial"/>
      <family val="2"/>
    </font>
    <font>
      <sz val="9"/>
      <name val="Helvetica-Black"/>
    </font>
    <font>
      <b/>
      <sz val="11"/>
      <color indexed="30"/>
      <name val="Arial"/>
      <family val="2"/>
    </font>
    <font>
      <b/>
      <sz val="16"/>
      <color indexed="9"/>
      <name val="Arial"/>
      <family val="2"/>
    </font>
    <font>
      <b/>
      <sz val="16"/>
      <color indexed="24"/>
      <name val="Univers 45 Light"/>
      <family val="2"/>
    </font>
    <font>
      <b/>
      <sz val="16"/>
      <color indexed="62"/>
      <name val="Arial"/>
      <family val="2"/>
    </font>
    <font>
      <b/>
      <sz val="12"/>
      <name val="Times New Roman"/>
      <family val="1"/>
    </font>
    <font>
      <sz val="10"/>
      <color indexed="12"/>
      <name val="Palatino"/>
      <family val="1"/>
    </font>
    <font>
      <sz val="8"/>
      <color indexed="10"/>
      <name val="Arial Narrow"/>
      <family val="2"/>
    </font>
    <font>
      <b/>
      <sz val="11"/>
      <name val="Times New Roman"/>
      <family val="1"/>
    </font>
    <font>
      <b/>
      <sz val="10"/>
      <color indexed="59"/>
      <name val="Arial"/>
      <family val="2"/>
    </font>
    <font>
      <sz val="12"/>
      <name val="바탕체"/>
      <family val="1"/>
      <charset val="129"/>
    </font>
    <font>
      <sz val="11"/>
      <name val="ＭＳ Ｐゴシック"/>
      <family val="3"/>
      <charset val="128"/>
    </font>
    <font>
      <b/>
      <u/>
      <sz val="12"/>
      <name val="Arial"/>
      <family val="2"/>
    </font>
    <font>
      <sz val="9"/>
      <color rgb="FFFF0000"/>
      <name val="Arial"/>
      <family val="2"/>
    </font>
    <font>
      <i/>
      <sz val="9"/>
      <color theme="0" tint="-0.34998626667073579"/>
      <name val="Arial"/>
      <family val="2"/>
    </font>
    <font>
      <i/>
      <sz val="9"/>
      <color theme="0" tint="-0.249977111117893"/>
      <name val="Arial"/>
      <family val="2"/>
    </font>
    <font>
      <i/>
      <sz val="9"/>
      <name val="Arial"/>
      <family val="2"/>
    </font>
    <font>
      <i/>
      <sz val="9"/>
      <color rgb="FF642566"/>
      <name val="Arial"/>
      <family val="2"/>
    </font>
    <font>
      <sz val="10"/>
      <name val="Geneva"/>
      <family val="2"/>
    </font>
    <font>
      <b/>
      <i/>
      <u/>
      <sz val="14"/>
      <name val="Arial"/>
      <family val="2"/>
    </font>
    <font>
      <i/>
      <sz val="9"/>
      <color theme="0" tint="-0.14999847407452621"/>
      <name val="Arial"/>
      <family val="2"/>
    </font>
    <font>
      <b/>
      <i/>
      <sz val="9"/>
      <name val="Arial"/>
      <family val="2"/>
    </font>
    <font>
      <b/>
      <u/>
      <sz val="9"/>
      <name val="Arial"/>
      <family val="2"/>
    </font>
    <font>
      <b/>
      <sz val="9"/>
      <color rgb="FFFF0000"/>
      <name val="Arial"/>
      <family val="2"/>
    </font>
    <font>
      <b/>
      <sz val="10"/>
      <color indexed="10"/>
      <name val="Arial"/>
      <family val="2"/>
    </font>
  </fonts>
  <fills count="8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E8D9E8"/>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bgColor indexed="64"/>
      </patternFill>
    </fill>
    <fill>
      <patternFill patternType="solid">
        <fgColor theme="3" tint="0.79998168889431442"/>
        <bgColor indexed="64"/>
      </patternFill>
    </fill>
    <fill>
      <patternFill patternType="solid">
        <fgColor rgb="FFFFFFCC"/>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indexed="22"/>
        <bgColor indexed="64"/>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38"/>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11"/>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66FFFF"/>
        <bgColor indexed="64"/>
      </patternFill>
    </fill>
    <fill>
      <patternFill patternType="gray0625">
        <fgColor indexed="15"/>
      </patternFill>
    </fill>
    <fill>
      <patternFill patternType="solid">
        <fgColor indexed="41"/>
        <bgColor indexed="64"/>
      </patternFill>
    </fill>
    <fill>
      <patternFill patternType="solid">
        <fgColor indexed="56"/>
        <bgColor indexed="64"/>
      </patternFill>
    </fill>
    <fill>
      <patternFill patternType="solid">
        <fgColor indexed="48"/>
      </patternFill>
    </fill>
    <fill>
      <patternFill patternType="solid">
        <fgColor indexed="23"/>
      </patternFill>
    </fill>
    <fill>
      <patternFill patternType="gray0625">
        <fgColor indexed="40"/>
        <bgColor indexed="9"/>
      </patternFill>
    </fill>
    <fill>
      <patternFill patternType="solid">
        <fgColor indexed="5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99"/>
        <bgColor indexed="64"/>
      </patternFill>
    </fill>
    <fill>
      <patternFill patternType="solid">
        <fgColor indexed="15"/>
        <bgColor indexed="64"/>
      </patternFill>
    </fill>
    <fill>
      <patternFill patternType="solid">
        <fgColor indexed="40"/>
      </patternFill>
    </fill>
    <fill>
      <patternFill patternType="solid">
        <fgColor indexed="23"/>
        <bgColor indexed="64"/>
      </patternFill>
    </fill>
    <fill>
      <patternFill patternType="solid">
        <fgColor rgb="FFFF0000"/>
        <bgColor indexed="64"/>
      </patternFill>
    </fill>
    <fill>
      <patternFill patternType="solid">
        <fgColor rgb="FF99CCFF"/>
        <bgColor indexed="64"/>
      </patternFill>
    </fill>
    <fill>
      <patternFill patternType="solid">
        <fgColor theme="3" tint="-0.24994659260841701"/>
        <bgColor indexed="64"/>
      </patternFill>
    </fill>
    <fill>
      <patternFill patternType="solid">
        <fgColor indexed="8"/>
        <bgColor indexed="64"/>
      </patternFill>
    </fill>
    <fill>
      <patternFill patternType="solid">
        <fgColor indexed="15"/>
      </patternFill>
    </fill>
    <fill>
      <patternFill patternType="solid">
        <fgColor indexed="13"/>
        <bgColor indexed="15"/>
      </patternFill>
    </fill>
    <fill>
      <patternFill patternType="solid">
        <fgColor indexed="42"/>
        <bgColor indexed="64"/>
      </patternFill>
    </fill>
    <fill>
      <patternFill patternType="solid">
        <fgColor theme="6" tint="0.59996337778862885"/>
        <bgColor indexed="64"/>
      </patternFill>
    </fill>
    <fill>
      <patternFill patternType="solid">
        <fgColor indexed="22"/>
      </patternFill>
    </fill>
    <fill>
      <patternFill patternType="solid">
        <fgColor rgb="FF66FF33"/>
        <bgColor indexed="64"/>
      </patternFill>
    </fill>
    <fill>
      <patternFill patternType="mediumGray">
        <fgColor indexed="9"/>
      </patternFill>
    </fill>
    <fill>
      <patternFill patternType="solid">
        <fgColor indexed="12"/>
      </patternFill>
    </fill>
    <fill>
      <patternFill patternType="solid">
        <fgColor indexed="8"/>
      </patternFill>
    </fill>
    <fill>
      <patternFill patternType="solid">
        <fgColor theme="0" tint="-4.9989318521683403E-2"/>
        <bgColor auto="1"/>
      </patternFill>
    </fill>
    <fill>
      <patternFill patternType="solid">
        <fgColor indexed="22"/>
        <bgColor indexed="22"/>
      </patternFill>
    </fill>
    <fill>
      <patternFill patternType="solid">
        <fgColor rgb="FFF2F2F2"/>
      </patternFill>
    </fill>
    <fill>
      <patternFill patternType="solid">
        <fgColor theme="0" tint="-0.14996795556505021"/>
        <bgColor indexed="64"/>
      </patternFill>
    </fill>
    <fill>
      <patternFill patternType="solid">
        <fgColor indexed="54"/>
        <bgColor indexed="64"/>
      </patternFill>
    </fill>
    <fill>
      <patternFill patternType="mediumGray">
        <fgColor indexed="22"/>
      </patternFill>
    </fill>
    <fill>
      <patternFill patternType="darkVertical"/>
    </fill>
    <fill>
      <patternFill patternType="solid">
        <fgColor indexed="18"/>
        <bgColor indexed="64"/>
      </patternFill>
    </fill>
    <fill>
      <patternFill patternType="solid">
        <fgColor indexed="9"/>
        <bgColor indexed="9"/>
      </patternFill>
    </fill>
    <fill>
      <patternFill patternType="solid">
        <fgColor indexed="16"/>
        <bgColor indexed="64"/>
      </patternFill>
    </fill>
    <fill>
      <patternFill patternType="solid">
        <fgColor indexed="24"/>
        <bgColor indexed="64"/>
      </patternFill>
    </fill>
    <fill>
      <patternFill patternType="gray0625">
        <bgColor indexed="29"/>
      </patternFill>
    </fill>
    <fill>
      <patternFill patternType="solid">
        <fgColor theme="0" tint="-0.249977111117893"/>
        <bgColor indexed="64"/>
      </patternFill>
    </fill>
    <fill>
      <patternFill patternType="solid">
        <fgColor indexed="45"/>
        <bgColor indexed="64"/>
      </patternFill>
    </fill>
    <fill>
      <patternFill patternType="solid">
        <fgColor theme="0" tint="-0.34998626667073579"/>
        <bgColor indexed="64"/>
      </patternFill>
    </fill>
  </fills>
  <borders count="147">
    <border>
      <left/>
      <right/>
      <top/>
      <bottom/>
      <diagonal/>
    </border>
    <border>
      <left style="thin">
        <color rgb="FF660066"/>
      </left>
      <right style="thin">
        <color rgb="FF660066"/>
      </right>
      <top style="thin">
        <color rgb="FF660066"/>
      </top>
      <bottom style="thin">
        <color rgb="FF660066"/>
      </bottom>
      <diagonal/>
    </border>
    <border>
      <left style="dotted">
        <color rgb="FF660066"/>
      </left>
      <right style="dotted">
        <color rgb="FF660066"/>
      </right>
      <top style="dotted">
        <color rgb="FF660066"/>
      </top>
      <bottom style="dotted">
        <color rgb="FF660066"/>
      </bottom>
      <diagonal/>
    </border>
    <border>
      <left style="mediumDashed">
        <color rgb="FFC90044"/>
      </left>
      <right style="mediumDashed">
        <color rgb="FFC90044"/>
      </right>
      <top style="mediumDashed">
        <color rgb="FFC90044"/>
      </top>
      <bottom style="mediumDashed">
        <color rgb="FFC90044"/>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hair">
        <color indexed="8"/>
      </top>
      <bottom style="hair">
        <color indexed="8"/>
      </bottom>
      <diagonal/>
    </border>
    <border>
      <left/>
      <right/>
      <top/>
      <bottom style="medium">
        <color indexed="1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double">
        <color indexed="64"/>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indexed="64"/>
      </left>
      <right style="dotted">
        <color indexed="64"/>
      </right>
      <top style="dotted">
        <color indexed="64"/>
      </top>
      <bottom style="dotted">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12"/>
      </left>
      <right style="medium">
        <color indexed="12"/>
      </right>
      <top style="medium">
        <color indexed="12"/>
      </top>
      <bottom style="medium">
        <color indexed="12"/>
      </bottom>
      <diagonal/>
    </border>
    <border>
      <left style="thin">
        <color indexed="18"/>
      </left>
      <right style="hair">
        <color indexed="18"/>
      </right>
      <top style="thin">
        <color indexed="18"/>
      </top>
      <bottom style="hair">
        <color indexed="18"/>
      </bottom>
      <diagonal/>
    </border>
    <border>
      <left/>
      <right/>
      <top/>
      <bottom style="hair">
        <color indexed="64"/>
      </bottom>
      <diagonal/>
    </border>
    <border>
      <left/>
      <right/>
      <top/>
      <bottom style="medium">
        <color indexed="64"/>
      </bottom>
      <diagonal/>
    </border>
    <border>
      <left/>
      <right/>
      <top/>
      <bottom style="thin">
        <color indexed="44"/>
      </bottom>
      <diagonal/>
    </border>
    <border>
      <left/>
      <right/>
      <top/>
      <bottom style="thin">
        <color indexed="55"/>
      </bottom>
      <diagonal/>
    </border>
    <border>
      <left style="dashed">
        <color indexed="63"/>
      </left>
      <right style="dashed">
        <color indexed="63"/>
      </right>
      <top style="dashed">
        <color indexed="63"/>
      </top>
      <bottom style="dashed">
        <color indexed="63"/>
      </bottom>
      <diagonal/>
    </border>
    <border>
      <left style="thin">
        <color theme="6" tint="-0.499984740745262"/>
      </left>
      <right style="thin">
        <color theme="6" tint="-0.499984740745262"/>
      </right>
      <top style="hair">
        <color theme="6" tint="-0.499984740745262"/>
      </top>
      <bottom style="hair">
        <color theme="6" tint="-0.499984740745262"/>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style="hair">
        <color theme="6" tint="-0.499984740745262"/>
      </left>
      <right style="hair">
        <color theme="6" tint="-0.499984740745262"/>
      </right>
      <top style="thin">
        <color theme="6" tint="-0.499984740745262"/>
      </top>
      <bottom style="thin">
        <color theme="6" tint="-0.499984740745262"/>
      </bottom>
      <diagonal/>
    </border>
    <border>
      <left style="hair">
        <color theme="6" tint="-0.499984740745262"/>
      </left>
      <right style="hair">
        <color theme="6" tint="-0.499984740745262"/>
      </right>
      <top style="hair">
        <color theme="6" tint="-0.499984740745262"/>
      </top>
      <bottom style="hair">
        <color theme="6" tint="-0.499984740745262"/>
      </bottom>
      <diagonal/>
    </border>
    <border>
      <left/>
      <right/>
      <top style="thin">
        <color indexed="64"/>
      </top>
      <bottom/>
      <diagonal/>
    </border>
    <border>
      <left style="dashed">
        <color rgb="FF7F7F7F"/>
      </left>
      <right style="dashed">
        <color rgb="FF7F7F7F"/>
      </right>
      <top style="dashed">
        <color rgb="FF7F7F7F"/>
      </top>
      <bottom style="dashed">
        <color rgb="FF7F7F7F"/>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double">
        <color indexed="64"/>
      </right>
      <top/>
      <bottom style="thin">
        <color indexed="64"/>
      </bottom>
      <diagonal/>
    </border>
    <border>
      <left/>
      <right/>
      <top/>
      <bottom style="dotted">
        <color indexed="64"/>
      </bottom>
      <diagonal/>
    </border>
    <border>
      <left style="dotted">
        <color indexed="28"/>
      </left>
      <right style="dotted">
        <color indexed="28"/>
      </right>
      <top style="dotted">
        <color indexed="28"/>
      </top>
      <bottom style="dotted">
        <color indexed="28"/>
      </bottom>
      <diagonal/>
    </border>
    <border>
      <left style="dashed">
        <color indexed="19"/>
      </left>
      <right style="dashed">
        <color indexed="19"/>
      </right>
      <top style="dashed">
        <color indexed="19"/>
      </top>
      <bottom style="dashed">
        <color indexed="19"/>
      </bottom>
      <diagonal/>
    </border>
    <border>
      <left style="thin">
        <color rgb="FF000099"/>
      </left>
      <right style="thin">
        <color rgb="FF000099"/>
      </right>
      <top style="thin">
        <color rgb="FF000099"/>
      </top>
      <bottom style="thin">
        <color rgb="FF000099"/>
      </bottom>
      <diagonal/>
    </border>
    <border>
      <left style="thin">
        <color indexed="63"/>
      </left>
      <right style="thin">
        <color indexed="63"/>
      </right>
      <top style="thin">
        <color indexed="63"/>
      </top>
      <bottom style="thin">
        <color indexed="63"/>
      </bottom>
      <diagonal/>
    </border>
    <border>
      <left/>
      <right/>
      <top style="thin">
        <color indexed="63"/>
      </top>
      <bottom style="double">
        <color indexed="63"/>
      </bottom>
      <diagonal/>
    </border>
    <border>
      <left style="dashed">
        <color indexed="55"/>
      </left>
      <right style="dashed">
        <color indexed="55"/>
      </right>
      <top style="dashed">
        <color indexed="55"/>
      </top>
      <bottom style="dashed">
        <color indexed="55"/>
      </bottom>
      <diagonal/>
    </border>
    <border>
      <left/>
      <right/>
      <top/>
      <bottom style="thick">
        <color theme="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theme="8" tint="-0.499984740745262"/>
      </bottom>
      <diagonal/>
    </border>
    <border>
      <left/>
      <right/>
      <top/>
      <bottom style="medium">
        <color theme="8" tint="-0.499984740745262"/>
      </bottom>
      <diagonal/>
    </border>
    <border>
      <left style="dashed">
        <color indexed="28"/>
      </left>
      <right style="dashed">
        <color indexed="28"/>
      </right>
      <top style="dashed">
        <color indexed="28"/>
      </top>
      <bottom style="dashed">
        <color indexed="28"/>
      </bottom>
      <diagonal/>
    </border>
    <border>
      <left style="dotted">
        <color indexed="57"/>
      </left>
      <right style="dotted">
        <color indexed="57"/>
      </right>
      <top style="dotted">
        <color indexed="57"/>
      </top>
      <bottom style="dotted">
        <color indexed="57"/>
      </bottom>
      <diagonal/>
    </border>
    <border>
      <left style="dotted">
        <color indexed="59"/>
      </left>
      <right style="dotted">
        <color indexed="59"/>
      </right>
      <top style="dotted">
        <color indexed="59"/>
      </top>
      <bottom style="dotted">
        <color indexed="59"/>
      </bottom>
      <diagonal/>
    </border>
    <border>
      <left style="thin">
        <color indexed="57"/>
      </left>
      <right style="thin">
        <color indexed="57"/>
      </right>
      <top style="thin">
        <color indexed="57"/>
      </top>
      <bottom style="thin">
        <color indexed="57"/>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2"/>
      </left>
      <right style="thin">
        <color indexed="12"/>
      </right>
      <top style="thin">
        <color indexed="12"/>
      </top>
      <bottom style="thin">
        <color indexed="12"/>
      </bottom>
      <diagonal/>
    </border>
    <border>
      <left style="dotted">
        <color indexed="57"/>
      </left>
      <right style="dotted">
        <color indexed="57"/>
      </right>
      <top style="thin">
        <color indexed="57"/>
      </top>
      <bottom style="thin">
        <color indexed="57"/>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dotted">
        <color rgb="FF3F3F3F"/>
      </left>
      <right style="dotted">
        <color rgb="FF3F3F3F"/>
      </right>
      <top style="dotted">
        <color rgb="FF3F3F3F"/>
      </top>
      <bottom style="dotted">
        <color rgb="FF3F3F3F"/>
      </bottom>
      <diagonal/>
    </border>
    <border>
      <left/>
      <right/>
      <top style="thin">
        <color indexed="23"/>
      </top>
      <bottom style="dotted">
        <color indexed="23"/>
      </bottom>
      <diagonal/>
    </border>
    <border>
      <left style="double">
        <color indexed="64"/>
      </left>
      <right/>
      <top style="double">
        <color indexed="64"/>
      </top>
      <bottom/>
      <diagonal/>
    </border>
    <border>
      <left/>
      <right style="medium">
        <color indexed="64"/>
      </right>
      <top/>
      <bottom/>
      <diagonal/>
    </border>
    <border>
      <left/>
      <right/>
      <top style="double">
        <color indexed="64"/>
      </top>
      <bottom/>
      <diagonal/>
    </border>
    <border>
      <left style="thin">
        <color indexed="64"/>
      </left>
      <right/>
      <top style="thin">
        <color indexed="64"/>
      </top>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indexed="63"/>
      </top>
      <bottom/>
      <diagonal/>
    </border>
    <border>
      <left/>
      <right/>
      <top style="medium">
        <color indexed="41"/>
      </top>
      <bottom style="medium">
        <color indexed="41"/>
      </bottom>
      <diagonal/>
    </border>
    <border>
      <left/>
      <right/>
      <top style="medium">
        <color indexed="41"/>
      </top>
      <bottom/>
      <diagonal/>
    </border>
    <border>
      <left/>
      <right style="thin">
        <color indexed="64"/>
      </right>
      <top/>
      <bottom style="thin">
        <color indexed="64"/>
      </bottom>
      <diagonal/>
    </border>
    <border>
      <left/>
      <right/>
      <top style="medium">
        <color indexed="63"/>
      </top>
      <bottom style="double">
        <color indexed="63"/>
      </bottom>
      <diagonal/>
    </border>
    <border>
      <left/>
      <right/>
      <top style="thin">
        <color indexed="63"/>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660066"/>
      </left>
      <right/>
      <top style="thin">
        <color rgb="FF660066"/>
      </top>
      <bottom style="thin">
        <color rgb="FF660066"/>
      </bottom>
      <diagonal/>
    </border>
    <border>
      <left/>
      <right/>
      <top style="thin">
        <color rgb="FF660066"/>
      </top>
      <bottom style="thin">
        <color rgb="FF660066"/>
      </bottom>
      <diagonal/>
    </border>
    <border>
      <left/>
      <right style="thin">
        <color rgb="FF660066"/>
      </right>
      <top style="thin">
        <color rgb="FF660066"/>
      </top>
      <bottom style="thin">
        <color rgb="FF660066"/>
      </bottom>
      <diagonal/>
    </border>
    <border>
      <left style="dashed">
        <color rgb="FF660066"/>
      </left>
      <right style="dashed">
        <color rgb="FF660066"/>
      </right>
      <top style="dashed">
        <color rgb="FF660066"/>
      </top>
      <bottom style="dashed">
        <color rgb="FF660066"/>
      </bottom>
      <diagonal/>
    </border>
    <border>
      <left style="medium">
        <color rgb="FF660066"/>
      </left>
      <right style="thin">
        <color rgb="FF660066"/>
      </right>
      <top style="thin">
        <color rgb="FF660066"/>
      </top>
      <bottom style="thin">
        <color rgb="FF660066"/>
      </bottom>
      <diagonal/>
    </border>
    <border>
      <left/>
      <right/>
      <top/>
      <bottom style="dashed">
        <color rgb="FF660066"/>
      </bottom>
      <diagonal/>
    </border>
    <border>
      <left/>
      <right/>
      <top style="thin">
        <color rgb="FF660066"/>
      </top>
      <bottom style="dashed">
        <color rgb="FF660066"/>
      </bottom>
      <diagonal/>
    </border>
    <border>
      <left style="medium">
        <color auto="1"/>
      </left>
      <right/>
      <top/>
      <bottom/>
      <diagonal/>
    </border>
    <border>
      <left/>
      <right/>
      <top style="thin">
        <color indexed="64"/>
      </top>
      <bottom style="thin">
        <color indexed="64"/>
      </bottom>
      <diagonal/>
    </border>
    <border>
      <left style="thin">
        <color rgb="FF642566"/>
      </left>
      <right style="thin">
        <color rgb="FF642566"/>
      </right>
      <top style="thin">
        <color rgb="FF642566"/>
      </top>
      <bottom/>
      <diagonal/>
    </border>
    <border>
      <left style="thin">
        <color rgb="FF642566"/>
      </left>
      <right style="thin">
        <color rgb="FF642566"/>
      </right>
      <top/>
      <bottom/>
      <diagonal/>
    </border>
    <border>
      <left style="thin">
        <color rgb="FF642566"/>
      </left>
      <right style="thin">
        <color rgb="FF642566"/>
      </right>
      <top/>
      <bottom style="thin">
        <color rgb="FF642566"/>
      </bottom>
      <diagonal/>
    </border>
    <border>
      <left/>
      <right/>
      <top/>
      <bottom style="thin">
        <color rgb="FF642566"/>
      </bottom>
      <diagonal/>
    </border>
    <border>
      <left/>
      <right/>
      <top style="thin">
        <color rgb="FF660066"/>
      </top>
      <bottom style="thin">
        <color rgb="FF642566"/>
      </bottom>
      <diagonal/>
    </border>
    <border>
      <left style="thin">
        <color rgb="FF660066"/>
      </left>
      <right/>
      <top/>
      <bottom/>
      <diagonal/>
    </border>
    <border>
      <left style="thin">
        <color rgb="FF642566"/>
      </left>
      <right style="thin">
        <color rgb="FF642566"/>
      </right>
      <top style="thin">
        <color rgb="FF642566"/>
      </top>
      <bottom style="thin">
        <color rgb="FF642566"/>
      </bottom>
      <diagonal/>
    </border>
    <border>
      <left/>
      <right/>
      <top style="thin">
        <color rgb="FF642566"/>
      </top>
      <bottom style="thin">
        <color rgb="FF642566"/>
      </bottom>
      <diagonal/>
    </border>
    <border>
      <left style="thin">
        <color rgb="FF642566"/>
      </left>
      <right/>
      <top/>
      <bottom/>
      <diagonal/>
    </border>
    <border>
      <left style="thin">
        <color rgb="FF660066"/>
      </left>
      <right/>
      <top style="thin">
        <color rgb="FF660066"/>
      </top>
      <bottom/>
      <diagonal/>
    </border>
    <border>
      <left/>
      <right style="thin">
        <color rgb="FF660066"/>
      </right>
      <top style="thin">
        <color rgb="FF660066"/>
      </top>
      <bottom/>
      <diagonal/>
    </border>
    <border>
      <left/>
      <right style="thin">
        <color rgb="FF660066"/>
      </right>
      <top/>
      <bottom/>
      <diagonal/>
    </border>
    <border>
      <left style="thin">
        <color rgb="FF660066"/>
      </left>
      <right/>
      <top/>
      <bottom style="thin">
        <color rgb="FF660066"/>
      </bottom>
      <diagonal/>
    </border>
    <border>
      <left/>
      <right style="thin">
        <color rgb="FF660066"/>
      </right>
      <top/>
      <bottom style="thin">
        <color rgb="FF660066"/>
      </bottom>
      <diagonal/>
    </border>
    <border>
      <left style="thin">
        <color rgb="FF660066"/>
      </left>
      <right style="thin">
        <color rgb="FF660066"/>
      </right>
      <top style="thin">
        <color rgb="FF660066"/>
      </top>
      <bottom/>
      <diagonal/>
    </border>
    <border>
      <left style="medium">
        <color rgb="FF660066"/>
      </left>
      <right style="thin">
        <color rgb="FF660066"/>
      </right>
      <top style="thin">
        <color rgb="FF660066"/>
      </top>
      <bottom/>
      <diagonal/>
    </border>
    <border>
      <left style="medium">
        <color rgb="FF660066"/>
      </left>
      <right style="thin">
        <color rgb="FF660066"/>
      </right>
      <top/>
      <bottom style="thin">
        <color rgb="FF660066"/>
      </bottom>
      <diagonal/>
    </border>
    <border>
      <left style="thin">
        <color rgb="FF642566"/>
      </left>
      <right style="thin">
        <color rgb="FF660066"/>
      </right>
      <top style="dotted">
        <color rgb="FF642566"/>
      </top>
      <bottom style="dotted">
        <color rgb="FF642566"/>
      </bottom>
      <diagonal/>
    </border>
    <border>
      <left style="thin">
        <color rgb="FF660066"/>
      </left>
      <right style="thin">
        <color rgb="FF660066"/>
      </right>
      <top style="dotted">
        <color rgb="FF642566"/>
      </top>
      <bottom style="dotted">
        <color rgb="FF642566"/>
      </bottom>
      <diagonal/>
    </border>
    <border>
      <left style="thin">
        <color rgb="FF660066"/>
      </left>
      <right/>
      <top style="dotted">
        <color rgb="FF642566"/>
      </top>
      <bottom style="dotted">
        <color rgb="FF642566"/>
      </bottom>
      <diagonal/>
    </border>
    <border>
      <left style="medium">
        <color rgb="FF660066"/>
      </left>
      <right style="thin">
        <color rgb="FF660066"/>
      </right>
      <top style="dotted">
        <color rgb="FF642566"/>
      </top>
      <bottom style="dotted">
        <color rgb="FF642566"/>
      </bottom>
      <diagonal/>
    </border>
    <border>
      <left style="thin">
        <color rgb="FF660066"/>
      </left>
      <right style="thin">
        <color rgb="FF660066"/>
      </right>
      <top/>
      <bottom/>
      <diagonal/>
    </border>
    <border>
      <left style="medium">
        <color rgb="FF660066"/>
      </left>
      <right style="thin">
        <color rgb="FF660066"/>
      </right>
      <top/>
      <bottom/>
      <diagonal/>
    </border>
    <border>
      <left style="medium">
        <color rgb="FF660066"/>
      </left>
      <right style="thin">
        <color rgb="FF660066"/>
      </right>
      <top style="dotted">
        <color rgb="FF660066"/>
      </top>
      <bottom style="dotted">
        <color rgb="FF660066"/>
      </bottom>
      <diagonal/>
    </border>
    <border>
      <left style="thin">
        <color rgb="FF642566"/>
      </left>
      <right style="thin">
        <color rgb="FF660066"/>
      </right>
      <top style="dotted">
        <color rgb="FF642566"/>
      </top>
      <bottom style="thin">
        <color rgb="FF660066"/>
      </bottom>
      <diagonal/>
    </border>
    <border>
      <left style="thin">
        <color rgb="FF660066"/>
      </left>
      <right style="thin">
        <color rgb="FF660066"/>
      </right>
      <top style="dotted">
        <color rgb="FF642566"/>
      </top>
      <bottom style="thin">
        <color rgb="FF660066"/>
      </bottom>
      <diagonal/>
    </border>
    <border>
      <left style="thin">
        <color rgb="FF660066"/>
      </left>
      <right/>
      <top style="dotted">
        <color rgb="FF642566"/>
      </top>
      <bottom style="thin">
        <color rgb="FF660066"/>
      </bottom>
      <diagonal/>
    </border>
    <border>
      <left style="medium">
        <color rgb="FF660066"/>
      </left>
      <right style="thin">
        <color rgb="FF660066"/>
      </right>
      <top style="dotted">
        <color rgb="FF642566"/>
      </top>
      <bottom style="thin">
        <color rgb="FF660066"/>
      </bottom>
      <diagonal/>
    </border>
    <border>
      <left style="thin">
        <color rgb="FF660066"/>
      </left>
      <right style="thin">
        <color rgb="FF660066"/>
      </right>
      <top style="dotted">
        <color rgb="FF642566"/>
      </top>
      <bottom style="dotted">
        <color rgb="FF660066"/>
      </bottom>
      <diagonal/>
    </border>
    <border>
      <left style="thin">
        <color rgb="FF660066"/>
      </left>
      <right/>
      <top style="dotted">
        <color rgb="FF642566"/>
      </top>
      <bottom style="dotted">
        <color rgb="FF660066"/>
      </bottom>
      <diagonal/>
    </border>
    <border>
      <left style="medium">
        <color rgb="FF660066"/>
      </left>
      <right style="thin">
        <color rgb="FF660066"/>
      </right>
      <top style="dotted">
        <color rgb="FF642566"/>
      </top>
      <bottom style="dotted">
        <color rgb="FF660066"/>
      </bottom>
      <diagonal/>
    </border>
    <border>
      <left style="thin">
        <color rgb="FF660066"/>
      </left>
      <right style="thin">
        <color rgb="FF660066"/>
      </right>
      <top style="dotted">
        <color rgb="FF660066"/>
      </top>
      <bottom style="dotted">
        <color rgb="FF660066"/>
      </bottom>
      <diagonal/>
    </border>
    <border>
      <left style="thin">
        <color rgb="FF660066"/>
      </left>
      <right/>
      <top style="dotted">
        <color rgb="FF660066"/>
      </top>
      <bottom style="dotted">
        <color rgb="FF660066"/>
      </bottom>
      <diagonal/>
    </border>
    <border>
      <left style="thin">
        <color rgb="FF642566"/>
      </left>
      <right style="thin">
        <color rgb="FF660066"/>
      </right>
      <top style="thin">
        <color rgb="FF660066"/>
      </top>
      <bottom style="dotted">
        <color rgb="FF642566"/>
      </bottom>
      <diagonal/>
    </border>
    <border>
      <left style="thin">
        <color rgb="FF660066"/>
      </left>
      <right style="thin">
        <color rgb="FF660066"/>
      </right>
      <top style="thin">
        <color rgb="FF660066"/>
      </top>
      <bottom style="dotted">
        <color rgb="FF642566"/>
      </bottom>
      <diagonal/>
    </border>
    <border>
      <left style="thin">
        <color rgb="FF660066"/>
      </left>
      <right/>
      <top style="thin">
        <color rgb="FF660066"/>
      </top>
      <bottom style="dotted">
        <color rgb="FF642566"/>
      </bottom>
      <diagonal/>
    </border>
    <border>
      <left style="medium">
        <color rgb="FF660066"/>
      </left>
      <right style="thin">
        <color rgb="FF660066"/>
      </right>
      <top style="thin">
        <color rgb="FF660066"/>
      </top>
      <bottom style="dotted">
        <color rgb="FF642566"/>
      </bottom>
      <diagonal/>
    </border>
    <border>
      <left style="thin">
        <color rgb="FF642566"/>
      </left>
      <right style="thin">
        <color rgb="FF660066"/>
      </right>
      <top style="dotted">
        <color rgb="FF642566"/>
      </top>
      <bottom/>
      <diagonal/>
    </border>
    <border>
      <left style="thin">
        <color rgb="FF660066"/>
      </left>
      <right style="thin">
        <color rgb="FF660066"/>
      </right>
      <top style="dotted">
        <color rgb="FF642566"/>
      </top>
      <bottom/>
      <diagonal/>
    </border>
    <border>
      <left style="medium">
        <color rgb="FF660066"/>
      </left>
      <right style="thin">
        <color rgb="FF660066"/>
      </right>
      <top style="dotted">
        <color rgb="FF660066"/>
      </top>
      <bottom/>
      <diagonal/>
    </border>
    <border>
      <left style="thin">
        <color rgb="FF660066"/>
      </left>
      <right/>
      <top/>
      <bottom style="dotted">
        <color rgb="FF642566"/>
      </bottom>
      <diagonal/>
    </border>
    <border>
      <left style="thin">
        <color rgb="FF660066"/>
      </left>
      <right/>
      <top style="dotted">
        <color rgb="FF660066"/>
      </top>
      <bottom/>
      <diagonal/>
    </border>
    <border>
      <left/>
      <right/>
      <top/>
      <bottom style="thin">
        <color rgb="FF660066"/>
      </bottom>
      <diagonal/>
    </border>
    <border>
      <left style="dotted">
        <color rgb="FF642566"/>
      </left>
      <right style="dotted">
        <color rgb="FF642566"/>
      </right>
      <top style="dotted">
        <color rgb="FF642566"/>
      </top>
      <bottom style="dotted">
        <color rgb="FF642566"/>
      </bottom>
      <diagonal/>
    </border>
    <border>
      <left style="dotted">
        <color rgb="FF642566"/>
      </left>
      <right style="dotted">
        <color rgb="FF642566"/>
      </right>
      <top style="dotted">
        <color rgb="FF642566"/>
      </top>
      <bottom style="thin">
        <color rgb="FF642566"/>
      </bottom>
      <diagonal/>
    </border>
    <border>
      <left style="dotted">
        <color rgb="FF642566"/>
      </left>
      <right style="dotted">
        <color rgb="FF642566"/>
      </right>
      <top/>
      <bottom style="dotted">
        <color rgb="FF642566"/>
      </bottom>
      <diagonal/>
    </border>
    <border>
      <left style="dotted">
        <color rgb="FF642566"/>
      </left>
      <right style="thin">
        <color rgb="FF642566"/>
      </right>
      <top/>
      <bottom style="dotted">
        <color rgb="FF642566"/>
      </bottom>
      <diagonal/>
    </border>
    <border>
      <left style="dotted">
        <color rgb="FF660066"/>
      </left>
      <right style="dotted">
        <color rgb="FF660066"/>
      </right>
      <top style="dashed">
        <color rgb="FF660066"/>
      </top>
      <bottom style="dotted">
        <color rgb="FF660066"/>
      </bottom>
      <diagonal/>
    </border>
    <border>
      <left style="thin">
        <color rgb="FF660066"/>
      </left>
      <right style="thin">
        <color rgb="FF642566"/>
      </right>
      <top style="thin">
        <color rgb="FF660066"/>
      </top>
      <bottom/>
      <diagonal/>
    </border>
    <border>
      <left style="thin">
        <color rgb="FF660066"/>
      </left>
      <right style="thin">
        <color rgb="FF642566"/>
      </right>
      <top/>
      <bottom style="thin">
        <color rgb="FF660066"/>
      </bottom>
      <diagonal/>
    </border>
    <border>
      <left style="medium">
        <color rgb="FF660066"/>
      </left>
      <right style="thin">
        <color rgb="FF660066"/>
      </right>
      <top style="dotted">
        <color rgb="FF660066"/>
      </top>
      <bottom style="dotted">
        <color rgb="FF642566"/>
      </bottom>
      <diagonal/>
    </border>
    <border>
      <left style="thin">
        <color rgb="FF660066"/>
      </left>
      <right style="thin">
        <color rgb="FF642566"/>
      </right>
      <top style="dotted">
        <color rgb="FF660066"/>
      </top>
      <bottom style="dotted">
        <color rgb="FF642566"/>
      </bottom>
      <diagonal/>
    </border>
    <border>
      <left style="thin">
        <color rgb="FF660066"/>
      </left>
      <right style="thin">
        <color rgb="FF642566"/>
      </right>
      <top style="dotted">
        <color rgb="FF642566"/>
      </top>
      <bottom style="dotted">
        <color rgb="FF642566"/>
      </bottom>
      <diagonal/>
    </border>
    <border>
      <left style="thin">
        <color rgb="FF660066"/>
      </left>
      <right style="thin">
        <color rgb="FF642566"/>
      </right>
      <top style="dotted">
        <color rgb="FF642566"/>
      </top>
      <bottom style="dotted">
        <color rgb="FF660066"/>
      </bottom>
      <diagonal/>
    </border>
    <border>
      <left style="thin">
        <color rgb="FF660066"/>
      </left>
      <right style="thin">
        <color rgb="FF660066"/>
      </right>
      <top/>
      <bottom style="dotted">
        <color rgb="FF642566"/>
      </bottom>
      <diagonal/>
    </border>
    <border>
      <left style="thin">
        <color rgb="FF642566"/>
      </left>
      <right style="thin">
        <color rgb="FF660066"/>
      </right>
      <top/>
      <bottom style="dotted">
        <color rgb="FF642566"/>
      </bottom>
      <diagonal/>
    </border>
    <border>
      <left style="thin">
        <color rgb="FF660066"/>
      </left>
      <right style="thin">
        <color rgb="FF660066"/>
      </right>
      <top style="thin">
        <color rgb="FF660066"/>
      </top>
      <bottom style="dotted">
        <color rgb="FF660066"/>
      </bottom>
      <diagonal/>
    </border>
    <border>
      <left/>
      <right/>
      <top style="thin">
        <color rgb="FF660066"/>
      </top>
      <bottom/>
      <diagonal/>
    </border>
    <border>
      <left style="dashed">
        <color rgb="FF660066"/>
      </left>
      <right/>
      <top style="dashed">
        <color rgb="FF660066"/>
      </top>
      <bottom style="dashed">
        <color rgb="FF660066"/>
      </bottom>
      <diagonal/>
    </border>
    <border>
      <left style="dotted">
        <color rgb="FF642566"/>
      </left>
      <right/>
      <top/>
      <bottom/>
      <diagonal/>
    </border>
  </borders>
  <cellStyleXfs count="2553">
    <xf numFmtId="0" fontId="0" fillId="0" borderId="0">
      <alignment vertical="center"/>
    </xf>
    <xf numFmtId="0" fontId="15" fillId="0" borderId="0" applyNumberFormat="0" applyAlignment="0">
      <alignment vertical="center"/>
    </xf>
    <xf numFmtId="165" fontId="24" fillId="0" borderId="0" applyNumberFormat="0" applyAlignment="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horizontal="left" vertical="center"/>
    </xf>
    <xf numFmtId="0" fontId="18" fillId="0" borderId="0" applyNumberFormat="0" applyFill="0" applyBorder="0" applyAlignment="0" applyProtection="0">
      <alignment vertical="center"/>
    </xf>
    <xf numFmtId="0" fontId="15" fillId="2" borderId="0" applyNumberFormat="0" applyFont="0" applyBorder="0" applyAlignment="0" applyProtection="0">
      <alignment vertical="center"/>
    </xf>
    <xf numFmtId="0" fontId="21" fillId="0" borderId="0" applyNumberFormat="0" applyAlignment="0">
      <alignment vertical="center"/>
    </xf>
    <xf numFmtId="0" fontId="20" fillId="0" borderId="0" applyNumberFormat="0" applyFill="0" applyBorder="0" applyAlignment="0" applyProtection="0">
      <alignment vertical="center"/>
    </xf>
    <xf numFmtId="164" fontId="15" fillId="0" borderId="0" applyFont="0" applyFill="0" applyBorder="0" applyAlignment="0" applyProtection="0">
      <alignment vertical="center"/>
    </xf>
    <xf numFmtId="0" fontId="15" fillId="3" borderId="0" applyNumberFormat="0" applyFont="0" applyBorder="0" applyAlignment="0" applyProtection="0">
      <alignment vertical="center"/>
    </xf>
    <xf numFmtId="166" fontId="15" fillId="0" borderId="0" applyFont="0" applyFill="0" applyBorder="0" applyAlignment="0" applyProtection="0">
      <alignment horizontal="right" vertical="center"/>
    </xf>
    <xf numFmtId="0" fontId="23" fillId="0" borderId="0" applyNumberFormat="0" applyFill="0" applyProtection="0">
      <alignment horizontal="left" vertical="center"/>
    </xf>
    <xf numFmtId="164" fontId="18" fillId="0" borderId="0" applyNumberFormat="0" applyFill="0" applyBorder="0" applyAlignment="0" applyProtection="0">
      <alignment vertical="center"/>
    </xf>
    <xf numFmtId="0" fontId="15" fillId="0" borderId="0" applyProtection="0">
      <alignment vertical="center"/>
    </xf>
    <xf numFmtId="0" fontId="15" fillId="0" borderId="2" applyNumberFormat="0" applyAlignment="0">
      <alignment vertical="center"/>
      <protection locked="0"/>
    </xf>
    <xf numFmtId="0" fontId="15" fillId="0" borderId="1" applyNumberFormat="0" applyAlignment="0">
      <alignment vertical="center"/>
      <protection locked="0"/>
    </xf>
    <xf numFmtId="0" fontId="23" fillId="0" borderId="0" applyNumberFormat="0" applyFill="0" applyBorder="0" applyAlignment="0" applyProtection="0">
      <alignment vertical="top"/>
    </xf>
    <xf numFmtId="0" fontId="15" fillId="4" borderId="0" applyNumberFormat="0" applyFont="0" applyBorder="0" applyAlignment="0" applyProtection="0">
      <alignment vertical="center"/>
    </xf>
    <xf numFmtId="0" fontId="15" fillId="5" borderId="0" applyNumberFormat="0" applyFont="0" applyBorder="0" applyAlignment="0" applyProtection="0">
      <alignment vertical="center"/>
    </xf>
    <xf numFmtId="0" fontId="20" fillId="0" borderId="0" applyFill="0" applyBorder="0" applyAlignment="0" applyProtection="0">
      <alignment vertical="center"/>
    </xf>
    <xf numFmtId="0" fontId="15" fillId="6" borderId="3" applyNumberFormat="0" applyFont="0" applyAlignment="0" applyProtection="0">
      <alignment vertical="center"/>
    </xf>
    <xf numFmtId="0" fontId="25" fillId="0" borderId="0">
      <alignment vertical="center"/>
    </xf>
    <xf numFmtId="0" fontId="26" fillId="19" borderId="0">
      <alignment vertical="center"/>
    </xf>
    <xf numFmtId="0" fontId="27" fillId="0" borderId="0" applyNumberFormat="0" applyBorder="0">
      <alignment vertical="center"/>
    </xf>
    <xf numFmtId="0" fontId="28" fillId="20" borderId="4">
      <alignment vertical="center"/>
    </xf>
    <xf numFmtId="0" fontId="28" fillId="0" borderId="0" applyNumberFormat="0" applyBorder="0"/>
    <xf numFmtId="0" fontId="13" fillId="0" borderId="0"/>
    <xf numFmtId="9" fontId="13" fillId="0" borderId="0" applyFont="0" applyFill="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5" borderId="0" applyNumberFormat="0" applyBorder="0" applyAlignment="0" applyProtection="0"/>
    <xf numFmtId="0" fontId="13" fillId="17"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4"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13" fillId="0" borderId="0"/>
    <xf numFmtId="0" fontId="29" fillId="0" borderId="0"/>
    <xf numFmtId="0" fontId="29" fillId="0" borderId="0"/>
    <xf numFmtId="0" fontId="29" fillId="0" borderId="0"/>
    <xf numFmtId="0" fontId="13" fillId="21" borderId="5" applyNumberFormat="0" applyFont="0" applyAlignment="0" applyProtection="0"/>
    <xf numFmtId="0" fontId="13" fillId="21" borderId="5" applyNumberFormat="0" applyFont="0" applyAlignment="0" applyProtection="0"/>
    <xf numFmtId="9" fontId="25" fillId="0" borderId="0" applyFill="0" applyBorder="0" applyAlignment="0" applyProtection="0"/>
    <xf numFmtId="0" fontId="25" fillId="23" borderId="0" applyNumberFormat="0" applyBorder="0" applyAlignment="0"/>
    <xf numFmtId="0" fontId="25" fillId="22" borderId="0" applyNumberFormat="0" applyBorder="0" applyAlignment="0"/>
    <xf numFmtId="0" fontId="30" fillId="0" borderId="0"/>
    <xf numFmtId="0" fontId="12" fillId="0" borderId="0"/>
    <xf numFmtId="0" fontId="11" fillId="0" borderId="0"/>
    <xf numFmtId="0" fontId="30" fillId="0" borderId="0"/>
    <xf numFmtId="0" fontId="31" fillId="25" borderId="0" applyNumberFormat="0" applyBorder="0" applyAlignment="0" applyProtection="0"/>
    <xf numFmtId="0" fontId="32" fillId="24" borderId="0" applyNumberFormat="0" applyBorder="0" applyAlignment="0" applyProtection="0"/>
    <xf numFmtId="0" fontId="10" fillId="0" borderId="0"/>
    <xf numFmtId="0" fontId="9" fillId="0" borderId="0"/>
    <xf numFmtId="9" fontId="9" fillId="0" borderId="0" applyFont="0" applyFill="0" applyBorder="0" applyAlignment="0" applyProtection="0"/>
    <xf numFmtId="0" fontId="8" fillId="0" borderId="0"/>
    <xf numFmtId="0" fontId="34" fillId="0" borderId="0"/>
    <xf numFmtId="0" fontId="7" fillId="0" borderId="0"/>
    <xf numFmtId="9" fontId="7" fillId="0" borderId="0" applyFont="0" applyFill="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0" borderId="0"/>
    <xf numFmtId="0" fontId="7" fillId="21" borderId="5" applyNumberFormat="0" applyFont="0" applyAlignment="0" applyProtection="0"/>
    <xf numFmtId="0" fontId="7" fillId="21" borderId="5" applyNumberFormat="0" applyFont="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15" fillId="0" borderId="0" applyFont="0" applyFill="0" applyBorder="0" applyAlignment="0" applyProtection="0"/>
    <xf numFmtId="170" fontId="41" fillId="0" borderId="0"/>
    <xf numFmtId="170" fontId="29" fillId="0" borderId="0"/>
    <xf numFmtId="0" fontId="29" fillId="0" borderId="0"/>
    <xf numFmtId="170" fontId="29" fillId="0" borderId="0"/>
    <xf numFmtId="170" fontId="29" fillId="0" borderId="0"/>
    <xf numFmtId="170" fontId="42" fillId="0" borderId="0"/>
    <xf numFmtId="170" fontId="29" fillId="0" borderId="0"/>
    <xf numFmtId="170" fontId="43" fillId="0" borderId="0"/>
    <xf numFmtId="0" fontId="29" fillId="0" borderId="0"/>
    <xf numFmtId="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43" fillId="0" borderId="0" applyNumberFormat="0" applyFont="0" applyFill="0" applyBorder="0" applyAlignment="0" applyProtection="0"/>
    <xf numFmtId="170" fontId="29" fillId="27" borderId="0" applyBorder="0" applyAlignment="0"/>
    <xf numFmtId="170" fontId="29" fillId="0" borderId="0"/>
    <xf numFmtId="171" fontId="29" fillId="0" borderId="0" applyFont="0" applyFill="0" applyBorder="0" applyAlignment="0" applyProtection="0"/>
    <xf numFmtId="172" fontId="29" fillId="0" borderId="0" applyFon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3" fontId="1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44" fillId="0" borderId="0" applyNumberFormat="0" applyFill="0" applyBorder="0" applyAlignment="0" applyProtection="0"/>
    <xf numFmtId="170" fontId="44" fillId="0" borderId="0" applyNumberFormat="0" applyFill="0" applyBorder="0" applyAlignment="0" applyProtection="0"/>
    <xf numFmtId="170" fontId="42" fillId="0" borderId="0"/>
    <xf numFmtId="170" fontId="42" fillId="0" borderId="0"/>
    <xf numFmtId="170" fontId="42" fillId="0" borderId="0"/>
    <xf numFmtId="170" fontId="42" fillId="0" borderId="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42" fillId="0" borderId="0"/>
    <xf numFmtId="170" fontId="41" fillId="0" borderId="0"/>
    <xf numFmtId="170" fontId="29" fillId="0" borderId="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0" fontId="29" fillId="0" borderId="0" applyNumberFormat="0" applyFill="0" applyBorder="0" applyAlignment="0" applyProtection="0"/>
    <xf numFmtId="3" fontId="15" fillId="0" borderId="0"/>
    <xf numFmtId="3" fontId="15" fillId="0" borderId="0"/>
    <xf numFmtId="3" fontId="15" fillId="0" borderId="0"/>
    <xf numFmtId="170" fontId="29" fillId="0" borderId="0" applyNumberFormat="0" applyFill="0" applyBorder="0" applyAlignment="0" applyProtection="0"/>
    <xf numFmtId="170" fontId="44" fillId="0" borderId="0" applyNumberFormat="0" applyFill="0" applyBorder="0" applyAlignment="0" applyProtection="0"/>
    <xf numFmtId="170" fontId="44"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3" fontId="15" fillId="0" borderId="0"/>
    <xf numFmtId="170" fontId="29" fillId="0" borderId="0" applyNumberFormat="0" applyFill="0" applyBorder="0" applyAlignment="0" applyProtection="0"/>
    <xf numFmtId="170" fontId="4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29" fillId="0" borderId="0" applyNumberFormat="0" applyFill="0" applyBorder="0" applyAlignment="0" applyProtection="0"/>
    <xf numFmtId="170" fontId="42" fillId="0" borderId="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6" fillId="0" borderId="0">
      <alignment vertical="top"/>
    </xf>
    <xf numFmtId="170" fontId="29" fillId="0" borderId="0"/>
    <xf numFmtId="0" fontId="42"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0" fontId="29" fillId="0" borderId="0" applyNumberFormat="0" applyFill="0" applyBorder="0" applyAlignment="0" applyProtection="0"/>
    <xf numFmtId="0" fontId="42"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5"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178" fontId="41" fillId="0" borderId="0" applyFont="0" applyFill="0" applyBorder="0" applyAlignment="0" applyProtection="0"/>
    <xf numFmtId="179" fontId="41" fillId="0" borderId="0" applyFont="0" applyFill="0" applyBorder="0" applyAlignment="0" applyProtection="0"/>
    <xf numFmtId="180" fontId="29"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77" fontId="29" fillId="0" borderId="0" applyFont="0" applyFill="0" applyBorder="0" applyAlignment="0" applyProtection="0"/>
    <xf numFmtId="181" fontId="29" fillId="0" borderId="0" applyFont="0" applyFill="0" applyBorder="0" applyAlignment="0" applyProtection="0"/>
    <xf numFmtId="39" fontId="29" fillId="0" borderId="0" applyFont="0" applyFill="0" applyBorder="0" applyAlignment="0" applyProtection="0"/>
    <xf numFmtId="39" fontId="29" fillId="0" borderId="0" applyFont="0" applyFill="0" applyBorder="0" applyAlignment="0" applyProtection="0"/>
    <xf numFmtId="39" fontId="29" fillId="0" borderId="0" applyFont="0" applyFill="0" applyBorder="0" applyAlignment="0" applyProtection="0"/>
    <xf numFmtId="39" fontId="29" fillId="0" borderId="0" applyFont="0" applyFill="0" applyBorder="0" applyAlignment="0" applyProtection="0"/>
    <xf numFmtId="39" fontId="29" fillId="0" borderId="0" applyFont="0" applyFill="0" applyBorder="0" applyAlignment="0" applyProtection="0"/>
    <xf numFmtId="39" fontId="29" fillId="0" borderId="0" applyFont="0" applyFill="0" applyBorder="0" applyAlignment="0" applyProtection="0"/>
    <xf numFmtId="170" fontId="29" fillId="0" borderId="0" applyNumberFormat="0" applyFill="0" applyBorder="0" applyAlignment="0" applyProtection="0"/>
    <xf numFmtId="170" fontId="29" fillId="0" borderId="0"/>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82" fontId="29" fillId="0" borderId="0" applyFont="0" applyFill="0" applyBorder="0" applyAlignment="0" applyProtection="0"/>
    <xf numFmtId="0" fontId="4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46" fillId="0" borderId="0">
      <alignment vertical="top"/>
    </xf>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7" fillId="0" borderId="0" applyNumberFormat="0" applyFill="0" applyBorder="0" applyAlignment="0" applyProtection="0"/>
    <xf numFmtId="170" fontId="47" fillId="0" borderId="0" applyNumberFormat="0" applyFill="0" applyBorder="0" applyAlignment="0" applyProtection="0"/>
    <xf numFmtId="170" fontId="29" fillId="0" borderId="0" applyNumberFormat="0" applyFill="0" applyBorder="0" applyAlignment="0" applyProtection="0"/>
    <xf numFmtId="170" fontId="29" fillId="28" borderId="0" applyNumberFormat="0" applyFont="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applyNumberFormat="0" applyFill="0" applyBorder="0" applyAlignment="0" applyProtection="0"/>
    <xf numFmtId="170" fontId="29" fillId="0" borderId="0"/>
    <xf numFmtId="170" fontId="29" fillId="0" borderId="0"/>
    <xf numFmtId="183" fontId="29" fillId="0" borderId="0" applyFont="0" applyFill="0" applyBorder="0" applyAlignment="0" applyProtection="0"/>
    <xf numFmtId="184" fontId="29" fillId="0" borderId="0" applyFont="0" applyFill="0" applyBorder="0" applyAlignment="0" applyProtection="0"/>
    <xf numFmtId="184" fontId="29" fillId="0" borderId="0" applyFont="0" applyFill="0" applyBorder="0" applyAlignment="0" applyProtection="0"/>
    <xf numFmtId="184" fontId="29" fillId="0" borderId="0" applyFont="0" applyFill="0" applyBorder="0" applyAlignment="0" applyProtection="0"/>
    <xf numFmtId="184" fontId="29" fillId="0" borderId="0" applyFont="0" applyFill="0" applyBorder="0" applyAlignment="0" applyProtection="0"/>
    <xf numFmtId="184" fontId="29" fillId="0" borderId="0" applyFont="0" applyFill="0" applyBorder="0" applyAlignment="0" applyProtection="0"/>
    <xf numFmtId="184" fontId="29" fillId="0" borderId="0" applyFont="0" applyFill="0" applyBorder="0" applyAlignment="0" applyProtection="0"/>
    <xf numFmtId="185" fontId="41" fillId="0" borderId="0" applyFont="0" applyFill="0" applyBorder="0" applyAlignment="0" applyProtection="0"/>
    <xf numFmtId="186" fontId="41" fillId="0" borderId="0" applyFont="0" applyFill="0" applyBorder="0" applyAlignment="0" applyProtection="0"/>
    <xf numFmtId="187" fontId="29"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8" fontId="29" fillId="0" borderId="0" applyFont="0" applyFill="0" applyBorder="0" applyProtection="0">
      <alignment horizontal="right"/>
    </xf>
    <xf numFmtId="189"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90" fontId="41" fillId="0" borderId="0" applyFont="0" applyFill="0" applyBorder="0" applyAlignment="0" applyProtection="0"/>
    <xf numFmtId="191" fontId="41" fillId="0" borderId="0" applyFont="0" applyFill="0" applyBorder="0" applyAlignment="0" applyProtection="0"/>
    <xf numFmtId="192" fontId="29" fillId="0" borderId="0" applyFont="0" applyFill="0" applyBorder="0" applyAlignment="0" applyProtection="0"/>
    <xf numFmtId="193" fontId="41" fillId="0" borderId="0" applyFont="0" applyFill="0" applyBorder="0" applyAlignment="0" applyProtection="0"/>
    <xf numFmtId="193" fontId="41" fillId="0" borderId="0" applyFont="0" applyFill="0" applyBorder="0" applyAlignment="0" applyProtection="0"/>
    <xf numFmtId="191" fontId="41" fillId="0" borderId="0" applyFont="0" applyFill="0" applyBorder="0" applyAlignment="0" applyProtection="0"/>
    <xf numFmtId="191" fontId="41" fillId="0" borderId="0" applyFont="0" applyFill="0" applyBorder="0" applyAlignment="0" applyProtection="0"/>
    <xf numFmtId="191" fontId="41" fillId="0" borderId="0" applyFont="0" applyFill="0" applyBorder="0" applyAlignment="0" applyProtection="0"/>
    <xf numFmtId="0" fontId="45" fillId="0" borderId="0"/>
    <xf numFmtId="170" fontId="42" fillId="0" borderId="0"/>
    <xf numFmtId="170" fontId="29" fillId="0" borderId="0" applyNumberFormat="0" applyFill="0" applyBorder="0" applyAlignment="0" applyProtection="0"/>
    <xf numFmtId="170" fontId="45" fillId="0" borderId="0"/>
    <xf numFmtId="170" fontId="48" fillId="0" borderId="0"/>
    <xf numFmtId="170" fontId="48" fillId="0" borderId="0"/>
    <xf numFmtId="170" fontId="45" fillId="0" borderId="0"/>
    <xf numFmtId="170" fontId="48" fillId="0" borderId="0"/>
    <xf numFmtId="170" fontId="45" fillId="0" borderId="0"/>
    <xf numFmtId="170" fontId="48" fillId="0" borderId="0"/>
    <xf numFmtId="170" fontId="48" fillId="0" borderId="0"/>
    <xf numFmtId="170" fontId="45" fillId="0" borderId="0"/>
    <xf numFmtId="170" fontId="48" fillId="0" borderId="0"/>
    <xf numFmtId="170" fontId="48" fillId="0" borderId="0"/>
    <xf numFmtId="170" fontId="48"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5" fillId="0" borderId="0"/>
    <xf numFmtId="170" fontId="29" fillId="0" borderId="0" applyNumberFormat="0" applyFill="0" applyBorder="0" applyAlignment="0" applyProtection="0"/>
    <xf numFmtId="170" fontId="45"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0" fontId="45" fillId="0" borderId="0"/>
    <xf numFmtId="170" fontId="42"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94" fontId="29" fillId="0" borderId="0" applyFont="0" applyFill="0" applyBorder="0" applyAlignment="0" applyProtection="0"/>
    <xf numFmtId="195" fontId="41" fillId="0" borderId="0" applyFont="0" applyFill="0" applyBorder="0" applyAlignment="0" applyProtection="0"/>
    <xf numFmtId="196" fontId="41" fillId="0" borderId="0" applyFont="0" applyFill="0" applyBorder="0" applyAlignment="0" applyProtection="0"/>
    <xf numFmtId="197" fontId="29" fillId="0" borderId="0" applyFont="0" applyFill="0" applyBorder="0" applyAlignment="0" applyProtection="0"/>
    <xf numFmtId="198" fontId="41" fillId="0" borderId="0" applyFont="0" applyFill="0" applyBorder="0" applyAlignment="0" applyProtection="0"/>
    <xf numFmtId="198" fontId="41" fillId="0" borderId="0" applyFont="0" applyFill="0" applyBorder="0" applyAlignment="0" applyProtection="0"/>
    <xf numFmtId="196" fontId="41" fillId="0" borderId="0" applyFont="0" applyFill="0" applyBorder="0" applyAlignment="0" applyProtection="0"/>
    <xf numFmtId="196" fontId="41" fillId="0" borderId="0" applyFont="0" applyFill="0" applyBorder="0" applyAlignment="0" applyProtection="0"/>
    <xf numFmtId="196" fontId="41" fillId="0" borderId="0" applyFont="0" applyFill="0" applyBorder="0" applyAlignment="0" applyProtection="0"/>
    <xf numFmtId="199" fontId="29" fillId="0" borderId="0" applyFont="0" applyFill="0" applyBorder="0" applyAlignment="0" applyProtection="0"/>
    <xf numFmtId="200" fontId="41" fillId="0" borderId="0" applyFont="0" applyFill="0" applyBorder="0" applyAlignment="0" applyProtection="0"/>
    <xf numFmtId="201" fontId="41" fillId="0" borderId="0" applyFont="0" applyFill="0" applyBorder="0" applyAlignment="0" applyProtection="0"/>
    <xf numFmtId="202" fontId="29" fillId="0" borderId="0" applyFont="0" applyFill="0" applyBorder="0" applyAlignment="0" applyProtection="0"/>
    <xf numFmtId="203" fontId="41" fillId="0" borderId="0" applyFont="0" applyFill="0" applyBorder="0" applyAlignment="0" applyProtection="0"/>
    <xf numFmtId="203" fontId="41" fillId="0" borderId="0" applyFont="0" applyFill="0" applyBorder="0" applyAlignment="0" applyProtection="0"/>
    <xf numFmtId="201" fontId="41" fillId="0" borderId="0" applyFont="0" applyFill="0" applyBorder="0" applyAlignment="0" applyProtection="0"/>
    <xf numFmtId="201" fontId="41" fillId="0" borderId="0" applyFont="0" applyFill="0" applyBorder="0" applyAlignment="0" applyProtection="0"/>
    <xf numFmtId="201" fontId="41" fillId="0" borderId="0" applyFont="0" applyFill="0" applyBorder="0" applyAlignment="0" applyProtection="0"/>
    <xf numFmtId="170" fontId="29" fillId="0" borderId="0"/>
    <xf numFmtId="0" fontId="45" fillId="0" borderId="0"/>
    <xf numFmtId="0" fontId="45" fillId="0" borderId="0"/>
    <xf numFmtId="0" fontId="45" fillId="0" borderId="0"/>
    <xf numFmtId="0" fontId="29" fillId="0" borderId="0" applyNumberFormat="0" applyFill="0" applyBorder="0" applyAlignment="0" applyProtection="0"/>
    <xf numFmtId="0" fontId="45"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3"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applyNumberFormat="0" applyFill="0" applyBorder="0" applyAlignment="0" applyProtection="0"/>
    <xf numFmtId="0" fontId="29" fillId="0" borderId="0"/>
    <xf numFmtId="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xf numFmtId="170" fontId="29" fillId="0" borderId="0"/>
    <xf numFmtId="0" fontId="45" fillId="0" borderId="0"/>
    <xf numFmtId="170" fontId="45"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Fill="0" applyBorder="0" applyProtection="0">
      <protection locked="0"/>
    </xf>
    <xf numFmtId="170" fontId="42" fillId="0" borderId="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29" fillId="0" borderId="0"/>
    <xf numFmtId="170" fontId="29" fillId="0" borderId="0"/>
    <xf numFmtId="170" fontId="29" fillId="0" borderId="0"/>
    <xf numFmtId="170" fontId="29" fillId="0" borderId="0"/>
    <xf numFmtId="170" fontId="29" fillId="0" borderId="0"/>
    <xf numFmtId="170" fontId="49" fillId="0" borderId="0" applyNumberFormat="0" applyFill="0" applyBorder="0" applyProtection="0">
      <alignment vertical="top"/>
    </xf>
    <xf numFmtId="170" fontId="49" fillId="0" borderId="0" applyNumberFormat="0" applyFill="0" applyBorder="0" applyProtection="0">
      <alignment vertical="top"/>
    </xf>
    <xf numFmtId="170" fontId="50" fillId="0" borderId="0"/>
    <xf numFmtId="170" fontId="48" fillId="0" borderId="0"/>
    <xf numFmtId="170" fontId="48" fillId="0" borderId="0"/>
    <xf numFmtId="170" fontId="50" fillId="0" borderId="0"/>
    <xf numFmtId="170" fontId="50" fillId="0" borderId="0"/>
    <xf numFmtId="170" fontId="48" fillId="0" borderId="0"/>
    <xf numFmtId="170" fontId="48" fillId="0" borderId="0"/>
    <xf numFmtId="170" fontId="50" fillId="0" borderId="0"/>
    <xf numFmtId="170" fontId="48" fillId="0" borderId="0"/>
    <xf numFmtId="170" fontId="48" fillId="0" borderId="0"/>
    <xf numFmtId="170" fontId="48" fillId="0" borderId="0"/>
    <xf numFmtId="170" fontId="29" fillId="0" borderId="0"/>
    <xf numFmtId="170" fontId="29" fillId="0" borderId="0"/>
    <xf numFmtId="170" fontId="29" fillId="0" borderId="0"/>
    <xf numFmtId="170" fontId="42" fillId="0" borderId="0"/>
    <xf numFmtId="170" fontId="51" fillId="0" borderId="10" applyNumberFormat="0" applyFill="0" applyAlignment="0" applyProtection="0"/>
    <xf numFmtId="170" fontId="51" fillId="0" borderId="10" applyNumberFormat="0" applyFill="0" applyAlignment="0" applyProtection="0"/>
    <xf numFmtId="170" fontId="52" fillId="0" borderId="11" applyNumberFormat="0" applyFill="0" applyProtection="0">
      <alignment horizontal="center"/>
    </xf>
    <xf numFmtId="170" fontId="52" fillId="0" borderId="11" applyNumberFormat="0" applyFill="0" applyProtection="0">
      <alignment horizontal="center"/>
    </xf>
    <xf numFmtId="170" fontId="52" fillId="0" borderId="0" applyNumberFormat="0" applyFill="0" applyBorder="0" applyProtection="0">
      <alignment horizontal="left"/>
    </xf>
    <xf numFmtId="170" fontId="52" fillId="0" borderId="0" applyNumberFormat="0" applyFill="0" applyBorder="0" applyProtection="0">
      <alignment horizontal="left"/>
    </xf>
    <xf numFmtId="170" fontId="53" fillId="0" borderId="0" applyNumberFormat="0" applyFill="0" applyBorder="0" applyProtection="0">
      <alignment horizontal="centerContinuous"/>
    </xf>
    <xf numFmtId="170" fontId="53" fillId="0" borderId="0" applyNumberFormat="0" applyFill="0" applyBorder="0" applyProtection="0">
      <alignment horizontal="centerContinuous"/>
    </xf>
    <xf numFmtId="170" fontId="29" fillId="0" borderId="0"/>
    <xf numFmtId="170" fontId="45"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xf numFmtId="170" fontId="29" fillId="0" borderId="0" applyNumberFormat="0" applyFill="0" applyBorder="0" applyAlignment="0" applyProtection="0"/>
    <xf numFmtId="170" fontId="29" fillId="0" borderId="0" applyNumberFormat="0" applyFill="0" applyBorder="0" applyAlignment="0" applyProtection="0"/>
    <xf numFmtId="0" fontId="45" fillId="0" borderId="0"/>
    <xf numFmtId="0" fontId="45" fillId="0" borderId="0"/>
    <xf numFmtId="0" fontId="45" fillId="0" borderId="0"/>
    <xf numFmtId="170" fontId="46" fillId="0" borderId="0">
      <alignment vertical="top"/>
    </xf>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xf numFmtId="170" fontId="29" fillId="0" borderId="0" applyNumberFormat="0" applyFill="0" applyBorder="0" applyAlignment="0" applyProtection="0"/>
    <xf numFmtId="170" fontId="54" fillId="0" borderId="0">
      <alignment vertical="top"/>
    </xf>
    <xf numFmtId="170" fontId="54" fillId="0" borderId="0">
      <alignment vertical="top"/>
    </xf>
    <xf numFmtId="170" fontId="54" fillId="0" borderId="0">
      <alignment vertical="top"/>
    </xf>
    <xf numFmtId="170" fontId="54" fillId="0" borderId="0">
      <alignment vertical="top"/>
    </xf>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0" fontId="45" fillId="0" borderId="0"/>
    <xf numFmtId="170" fontId="29" fillId="0" borderId="0" applyNumberFormat="0" applyFill="0" applyBorder="0" applyAlignment="0" applyProtection="0"/>
    <xf numFmtId="180" fontId="29" fillId="0" borderId="0" applyFont="0" applyFill="0" applyBorder="0" applyAlignment="0" applyProtection="0"/>
    <xf numFmtId="0" fontId="29" fillId="0" borderId="0"/>
    <xf numFmtId="170" fontId="55" fillId="0" borderId="0"/>
    <xf numFmtId="170" fontId="56" fillId="0" borderId="0"/>
    <xf numFmtId="170" fontId="42" fillId="0" borderId="0"/>
    <xf numFmtId="170" fontId="42" fillId="0" borderId="0"/>
    <xf numFmtId="204" fontId="14" fillId="0" borderId="0" applyFont="0" applyFill="0" applyBorder="0" applyAlignment="0" applyProtection="0"/>
    <xf numFmtId="205" fontId="14" fillId="0" borderId="0" applyFont="0" applyFill="0" applyBorder="0" applyAlignment="0" applyProtection="0"/>
    <xf numFmtId="170" fontId="57" fillId="0" borderId="0"/>
    <xf numFmtId="0" fontId="58" fillId="0" borderId="0"/>
    <xf numFmtId="0" fontId="58" fillId="0" borderId="12" applyNumberFormat="0" applyProtection="0"/>
    <xf numFmtId="170" fontId="57" fillId="0" borderId="0"/>
    <xf numFmtId="16" fontId="56" fillId="0" borderId="0">
      <alignment horizontal="center"/>
    </xf>
    <xf numFmtId="174" fontId="17" fillId="0" borderId="13" applyFont="0" applyBorder="0"/>
    <xf numFmtId="0" fontId="59" fillId="29" borderId="7" applyNumberFormat="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40" fontId="29" fillId="0" borderId="0" applyFont="0" applyFill="0" applyBorder="0" applyAlignment="0" applyProtection="0"/>
    <xf numFmtId="0" fontId="60" fillId="0" borderId="0" applyNumberFormat="0" applyAlignment="0" applyProtection="0"/>
    <xf numFmtId="0" fontId="60" fillId="0" borderId="14" applyNumberFormat="0" applyAlignment="0" applyProtection="0"/>
    <xf numFmtId="0" fontId="58" fillId="0" borderId="14" applyNumberFormat="0" applyAlignment="0" applyProtection="0"/>
    <xf numFmtId="0" fontId="61" fillId="0" borderId="0" applyNumberFormat="0" applyAlignment="0" applyProtection="0"/>
    <xf numFmtId="0" fontId="61" fillId="0" borderId="14" applyNumberFormat="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170" fontId="29" fillId="0" borderId="0" applyFont="0" applyFill="0" applyBorder="0" applyAlignment="0" applyProtection="0"/>
    <xf numFmtId="0" fontId="58" fillId="30" borderId="15" applyNumberFormat="0" applyProtection="0"/>
    <xf numFmtId="0" fontId="58" fillId="30" borderId="16"/>
    <xf numFmtId="0" fontId="60" fillId="30" borderId="16"/>
    <xf numFmtId="0" fontId="58" fillId="31" borderId="0" applyNumberFormat="0" applyAlignment="0" applyProtection="0"/>
    <xf numFmtId="0" fontId="62" fillId="0" borderId="0" applyNumberFormat="0" applyAlignment="0" applyProtection="0"/>
    <xf numFmtId="0" fontId="63" fillId="0" borderId="0" applyNumberFormat="0" applyAlignment="0" applyProtection="0"/>
    <xf numFmtId="0" fontId="58" fillId="32" borderId="17"/>
    <xf numFmtId="206" fontId="64" fillId="0" borderId="0" applyFont="0" applyFill="0" applyBorder="0" applyAlignment="0" applyProtection="0"/>
    <xf numFmtId="207" fontId="64" fillId="0" borderId="0" applyFont="0" applyFill="0" applyBorder="0" applyAlignment="0" applyProtection="0"/>
    <xf numFmtId="170" fontId="29" fillId="0" borderId="0" applyFill="0" applyBorder="0" applyProtection="0">
      <protection locked="0"/>
    </xf>
    <xf numFmtId="170" fontId="65" fillId="0" borderId="0">
      <alignment horizontal="center" wrapText="1"/>
      <protection locked="0"/>
    </xf>
    <xf numFmtId="17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208" fontId="64" fillId="0" borderId="0" applyFont="0" applyFill="0" applyBorder="0" applyAlignment="0" applyProtection="0"/>
    <xf numFmtId="209" fontId="64" fillId="0" borderId="0" applyFont="0" applyFill="0" applyBorder="0" applyAlignment="0" applyProtection="0"/>
    <xf numFmtId="170" fontId="20" fillId="33" borderId="0"/>
    <xf numFmtId="210" fontId="29" fillId="0" borderId="0" applyFont="0" applyFill="0" applyBorder="0" applyAlignment="0" applyProtection="0">
      <alignment horizontal="left"/>
    </xf>
    <xf numFmtId="2" fontId="67" fillId="0" borderId="19" applyBorder="0">
      <alignment horizontal="center" vertical="center"/>
    </xf>
    <xf numFmtId="170" fontId="68" fillId="0" borderId="0" applyNumberFormat="0" applyFill="0" applyBorder="0" applyAlignment="0" applyProtection="0"/>
    <xf numFmtId="170" fontId="69" fillId="0" borderId="20"/>
    <xf numFmtId="49" fontId="70" fillId="0" borderId="0" applyBorder="0" applyProtection="0">
      <alignment horizontal="center" wrapText="1"/>
    </xf>
    <xf numFmtId="170" fontId="65" fillId="0" borderId="21" applyNumberFormat="0" applyFont="0" applyFill="0" applyAlignment="0" applyProtection="0"/>
    <xf numFmtId="170" fontId="65" fillId="0" borderId="22" applyNumberFormat="0" applyFont="0" applyFill="0" applyAlignment="0" applyProtection="0"/>
    <xf numFmtId="41" fontId="29" fillId="0" borderId="23" applyNumberFormat="0" applyFont="0" applyFill="0" applyAlignment="0" applyProtection="0"/>
    <xf numFmtId="211" fontId="44" fillId="0" borderId="0" applyFont="0" applyFill="0" applyBorder="0" applyAlignment="0">
      <alignment horizontal="right"/>
    </xf>
    <xf numFmtId="170" fontId="71" fillId="0" borderId="0"/>
    <xf numFmtId="170" fontId="72" fillId="0" borderId="0" applyFill="0" applyBorder="0" applyProtection="0"/>
    <xf numFmtId="205" fontId="29" fillId="34" borderId="24" applyNumberFormat="0">
      <alignment vertical="center"/>
    </xf>
    <xf numFmtId="212" fontId="29" fillId="35" borderId="24" applyNumberFormat="0">
      <alignment vertical="center"/>
    </xf>
    <xf numFmtId="1" fontId="29" fillId="36" borderId="24" applyNumberFormat="0">
      <alignment vertical="center"/>
    </xf>
    <xf numFmtId="205" fontId="29" fillId="37" borderId="24" applyNumberFormat="0">
      <alignment vertical="center"/>
    </xf>
    <xf numFmtId="205" fontId="29" fillId="27" borderId="24" applyNumberFormat="0">
      <alignment vertical="center"/>
    </xf>
    <xf numFmtId="213" fontId="37" fillId="38" borderId="0" applyNumberFormat="0">
      <alignment vertical="center"/>
    </xf>
    <xf numFmtId="213" fontId="37" fillId="39" borderId="0" applyNumberFormat="0">
      <alignment vertical="center"/>
    </xf>
    <xf numFmtId="3" fontId="29" fillId="0" borderId="24" applyNumberFormat="0">
      <alignment vertical="center"/>
    </xf>
    <xf numFmtId="213" fontId="37" fillId="0" borderId="24">
      <alignment vertical="center"/>
    </xf>
    <xf numFmtId="3" fontId="37" fillId="0" borderId="24" applyNumberFormat="0">
      <alignment vertical="center"/>
    </xf>
    <xf numFmtId="214" fontId="29" fillId="0" borderId="0" applyFill="0" applyBorder="0" applyAlignment="0"/>
    <xf numFmtId="215" fontId="56" fillId="0" borderId="0" applyFill="0" applyBorder="0" applyAlignment="0"/>
    <xf numFmtId="216" fontId="29" fillId="0" borderId="0" applyFill="0" applyBorder="0" applyAlignment="0"/>
    <xf numFmtId="217" fontId="29" fillId="0" borderId="0" applyFill="0" applyBorder="0" applyAlignment="0"/>
    <xf numFmtId="218" fontId="29" fillId="0" borderId="0" applyFill="0" applyBorder="0" applyAlignment="0"/>
    <xf numFmtId="219" fontId="29" fillId="0" borderId="0" applyFill="0" applyBorder="0" applyAlignment="0"/>
    <xf numFmtId="169" fontId="56" fillId="0" borderId="0" applyFill="0" applyBorder="0" applyAlignment="0"/>
    <xf numFmtId="215" fontId="56" fillId="0" borderId="0" applyFill="0" applyBorder="0" applyAlignment="0"/>
    <xf numFmtId="3" fontId="29" fillId="40" borderId="0"/>
    <xf numFmtId="9" fontId="29" fillId="0" borderId="0">
      <alignment vertical="top"/>
    </xf>
    <xf numFmtId="220" fontId="73" fillId="0" borderId="25">
      <alignment vertical="center"/>
    </xf>
    <xf numFmtId="3" fontId="74" fillId="0" borderId="0" applyFill="0" applyBorder="0" applyProtection="0"/>
    <xf numFmtId="220" fontId="75" fillId="0" borderId="26">
      <alignment vertical="center"/>
    </xf>
    <xf numFmtId="221" fontId="73" fillId="0" borderId="27">
      <alignment vertical="center"/>
    </xf>
    <xf numFmtId="221" fontId="73" fillId="0" borderId="27">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220" fontId="75" fillId="0" borderId="28" applyAlignment="0" applyProtection="0"/>
    <xf numFmtId="0" fontId="76" fillId="2" borderId="29" applyNumberFormat="0" applyAlignment="0" applyProtection="0"/>
    <xf numFmtId="0" fontId="76" fillId="2" borderId="29" applyNumberFormat="0" applyAlignment="0" applyProtection="0"/>
    <xf numFmtId="0" fontId="76" fillId="2" borderId="29" applyNumberFormat="0" applyAlignment="0" applyProtection="0"/>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76" fillId="2" borderId="29" applyNumberFormat="0" applyAlignment="0" applyProtection="0"/>
    <xf numFmtId="0" fontId="76" fillId="2" borderId="29" applyNumberFormat="0" applyAlignment="0" applyProtection="0"/>
    <xf numFmtId="0" fontId="76" fillId="2" borderId="29" applyNumberFormat="0" applyAlignment="0" applyProtection="0"/>
    <xf numFmtId="0" fontId="76" fillId="2" borderId="29" applyNumberFormat="0" applyAlignment="0" applyProtection="0"/>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0" fontId="15" fillId="0" borderId="0" applyNumberFormat="0" applyAlignment="0">
      <alignment vertical="center"/>
    </xf>
    <xf numFmtId="2" fontId="29" fillId="41" borderId="30"/>
    <xf numFmtId="222" fontId="29" fillId="42" borderId="0" applyProtection="0">
      <alignment horizontal="center"/>
    </xf>
    <xf numFmtId="165" fontId="77" fillId="0" borderId="0" applyNumberFormat="0" applyAlignment="0">
      <alignment vertical="center"/>
    </xf>
    <xf numFmtId="169" fontId="33" fillId="39" borderId="0">
      <alignment vertical="center"/>
    </xf>
    <xf numFmtId="170" fontId="78" fillId="43" borderId="21" applyNumberFormat="0" applyProtection="0">
      <alignment horizontal="center" vertical="center" wrapText="1"/>
    </xf>
    <xf numFmtId="17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0" applyNumberFormat="0" applyBorder="0" applyProtection="0">
      <alignment horizontal="centerContinuous" vertical="center"/>
    </xf>
    <xf numFmtId="0" fontId="78" fillId="43" borderId="21" applyNumberFormat="0" applyProtection="0">
      <alignment horizontal="center" vertical="center" wrapText="1"/>
    </xf>
    <xf numFmtId="0" fontId="78" fillId="43" borderId="21" applyNumberFormat="0" applyProtection="0">
      <alignment horizontal="center" vertical="center" wrapText="1"/>
    </xf>
    <xf numFmtId="0" fontId="78" fillId="43" borderId="21" applyNumberFormat="0" applyProtection="0">
      <alignment horizontal="center" vertical="center" wrapText="1"/>
    </xf>
    <xf numFmtId="0" fontId="78" fillId="43" borderId="21" applyNumberFormat="0" applyProtection="0">
      <alignment horizontal="center" vertical="center" wrapText="1"/>
    </xf>
    <xf numFmtId="0" fontId="78" fillId="43" borderId="21" applyNumberFormat="0" applyProtection="0">
      <alignment horizontal="center" vertical="center" wrapText="1"/>
    </xf>
    <xf numFmtId="0" fontId="78" fillId="43" borderId="21" applyNumberFormat="0" applyProtection="0">
      <alignment horizontal="center" vertical="center" wrapText="1"/>
    </xf>
    <xf numFmtId="170" fontId="18" fillId="44" borderId="0" applyNumberFormat="0">
      <alignment horizontal="center" vertical="top" wrapText="1"/>
    </xf>
    <xf numFmtId="170" fontId="18" fillId="44" borderId="0" applyNumberFormat="0">
      <alignment horizontal="left" vertical="top" wrapText="1"/>
    </xf>
    <xf numFmtId="170" fontId="18" fillId="44" borderId="0" applyNumberFormat="0">
      <alignment horizontal="centerContinuous" vertical="top"/>
    </xf>
    <xf numFmtId="170" fontId="15" fillId="44" borderId="0" applyNumberFormat="0">
      <alignment horizontal="center" vertical="top" wrapText="1"/>
    </xf>
    <xf numFmtId="17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44" fillId="0" borderId="31" applyNumberFormat="0" applyFont="0" applyFill="0" applyAlignment="0" applyProtection="0">
      <alignment horizontal="left"/>
    </xf>
    <xf numFmtId="0" fontId="79" fillId="45" borderId="32">
      <alignment horizontal="center" wrapText="1"/>
    </xf>
    <xf numFmtId="223" fontId="80" fillId="0" borderId="0"/>
    <xf numFmtId="223" fontId="80" fillId="0" borderId="0"/>
    <xf numFmtId="223" fontId="80" fillId="0" borderId="0"/>
    <xf numFmtId="223" fontId="80" fillId="0" borderId="0"/>
    <xf numFmtId="223" fontId="80" fillId="0" borderId="0"/>
    <xf numFmtId="223" fontId="80" fillId="0" borderId="0"/>
    <xf numFmtId="223" fontId="80" fillId="0" borderId="0"/>
    <xf numFmtId="223" fontId="80" fillId="0" borderId="0"/>
    <xf numFmtId="224" fontId="81" fillId="0" borderId="0" applyFont="0" applyBorder="0">
      <alignment horizontal="right"/>
    </xf>
    <xf numFmtId="219" fontId="29" fillId="0" borderId="0" applyFont="0" applyFill="0" applyBorder="0" applyAlignment="0" applyProtection="0"/>
    <xf numFmtId="174" fontId="65" fillId="0" borderId="0"/>
    <xf numFmtId="225" fontId="29" fillId="0" borderId="0"/>
    <xf numFmtId="226" fontId="29" fillId="0" borderId="0"/>
    <xf numFmtId="170" fontId="20" fillId="0" borderId="0" applyFont="0" applyFill="0" applyBorder="0" applyAlignment="0" applyProtection="0">
      <alignment horizontal="right"/>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43" fontId="29"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227" fontId="42" fillId="0" borderId="0" applyFont="0" applyFill="0" applyBorder="0" applyAlignment="0" applyProtection="0"/>
    <xf numFmtId="227" fontId="42" fillId="0" borderId="0" applyFont="0" applyFill="0" applyBorder="0" applyAlignment="0" applyProtection="0"/>
    <xf numFmtId="43" fontId="42" fillId="0" borderId="0" applyFont="0" applyFill="0" applyBorder="0" applyAlignment="0" applyProtection="0"/>
    <xf numFmtId="43" fontId="29" fillId="0" borderId="0" applyFont="0" applyFill="0" applyBorder="0" applyAlignment="0" applyProtection="0"/>
    <xf numFmtId="227" fontId="20"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27"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83" fillId="0" borderId="0" applyFont="0" applyFill="0" applyBorder="0" applyAlignment="0" applyProtection="0"/>
    <xf numFmtId="227" fontId="42"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27" fontId="6" fillId="0" borderId="0" applyFont="0" applyFill="0" applyBorder="0" applyAlignment="0" applyProtection="0"/>
    <xf numFmtId="43" fontId="6" fillId="0" borderId="0" applyFont="0" applyFill="0" applyBorder="0" applyAlignment="0" applyProtection="0"/>
    <xf numFmtId="228" fontId="85" fillId="0" borderId="0" applyFont="0" applyFill="0" applyBorder="0" applyAlignment="0" applyProtection="0"/>
    <xf numFmtId="174" fontId="39" fillId="0" borderId="0" applyFont="0" applyFill="0" applyBorder="0" applyAlignment="0" applyProtection="0">
      <alignment horizontal="centerContinuous"/>
    </xf>
    <xf numFmtId="229" fontId="29" fillId="0" borderId="0" applyFont="0" applyFill="0" applyBorder="0" applyAlignment="0" applyProtection="0"/>
    <xf numFmtId="230" fontId="39" fillId="0" borderId="0" applyFont="0" applyFill="0" applyBorder="0" applyAlignment="0" applyProtection="0">
      <alignment horizontal="centerContinuous"/>
    </xf>
    <xf numFmtId="231" fontId="29" fillId="0" borderId="0" applyFont="0" applyFill="0" applyBorder="0" applyAlignment="0" applyProtection="0"/>
    <xf numFmtId="0" fontId="86" fillId="0" borderId="0" applyNumberFormat="0" applyAlignment="0">
      <alignment horizontal="left"/>
    </xf>
    <xf numFmtId="0" fontId="35" fillId="39" borderId="0"/>
    <xf numFmtId="170" fontId="29" fillId="0" borderId="0" applyNumberFormat="0" applyAlignment="0"/>
    <xf numFmtId="232" fontId="42" fillId="0" borderId="0" applyFont="0"/>
    <xf numFmtId="232" fontId="42" fillId="0" borderId="0" applyFont="0"/>
    <xf numFmtId="233" fontId="15" fillId="0" borderId="0">
      <alignment vertical="center"/>
    </xf>
    <xf numFmtId="234" fontId="15" fillId="0" borderId="0" applyFont="0" applyFill="0" applyBorder="0" applyAlignment="0" applyProtection="0">
      <alignment vertical="center"/>
    </xf>
    <xf numFmtId="235" fontId="42" fillId="0" borderId="0" applyFont="0"/>
    <xf numFmtId="215" fontId="56" fillId="0" borderId="0" applyFont="0" applyFill="0" applyBorder="0" applyAlignment="0" applyProtection="0"/>
    <xf numFmtId="236" fontId="20" fillId="0" borderId="0" applyFont="0" applyFill="0" applyBorder="0" applyAlignment="0" applyProtection="0">
      <alignment horizontal="right"/>
    </xf>
    <xf numFmtId="237" fontId="20" fillId="0" borderId="32"/>
    <xf numFmtId="44" fontId="29" fillId="0" borderId="0" applyFont="0" applyFill="0" applyBorder="0" applyAlignment="0" applyProtection="0"/>
    <xf numFmtId="44" fontId="29" fillId="0" borderId="0" applyFont="0" applyFill="0" applyBorder="0" applyAlignment="0" applyProtection="0"/>
    <xf numFmtId="233" fontId="15" fillId="0" borderId="0" applyFont="0" applyFill="0" applyBorder="0" applyAlignment="0" applyProtection="0">
      <alignment vertical="center"/>
    </xf>
    <xf numFmtId="233" fontId="15" fillId="0" borderId="0" applyFont="0" applyFill="0" applyBorder="0" applyAlignment="0" applyProtection="0">
      <alignment vertical="center"/>
    </xf>
    <xf numFmtId="44" fontId="29" fillId="0" borderId="0" applyFont="0" applyFill="0" applyBorder="0" applyAlignment="0" applyProtection="0"/>
    <xf numFmtId="238" fontId="15" fillId="0" borderId="0" applyFont="0" applyFill="0" applyBorder="0" applyAlignment="0" applyProtection="0">
      <alignment vertical="center"/>
    </xf>
    <xf numFmtId="239" fontId="15" fillId="0" borderId="0" applyFont="0" applyFill="0" applyBorder="0" applyAlignment="0" applyProtection="0">
      <alignment vertical="center"/>
    </xf>
    <xf numFmtId="170" fontId="15" fillId="0" borderId="0" applyFont="0" applyFill="0" applyBorder="0" applyAlignment="0" applyProtection="0">
      <alignment vertical="center"/>
    </xf>
    <xf numFmtId="170" fontId="15" fillId="0" borderId="0" applyFont="0" applyFill="0" applyBorder="0" applyAlignment="0" applyProtection="0">
      <alignment vertical="center"/>
    </xf>
    <xf numFmtId="240" fontId="15" fillId="0" borderId="0" applyFont="0" applyFill="0" applyBorder="0" applyAlignment="0" applyProtection="0">
      <alignment vertical="center"/>
    </xf>
    <xf numFmtId="241" fontId="15" fillId="0" borderId="0" applyFont="0" applyFill="0" applyBorder="0" applyAlignment="0" applyProtection="0">
      <alignment vertical="center"/>
    </xf>
    <xf numFmtId="170" fontId="15" fillId="0" borderId="0" applyFont="0" applyFill="0" applyBorder="0" applyAlignment="0" applyProtection="0">
      <alignment vertical="center"/>
    </xf>
    <xf numFmtId="170" fontId="15" fillId="0" borderId="0" applyFont="0" applyFill="0" applyBorder="0" applyAlignment="0" applyProtection="0">
      <alignment vertical="center"/>
    </xf>
    <xf numFmtId="242" fontId="15" fillId="0" borderId="0" applyFont="0" applyFill="0" applyBorder="0" applyAlignment="0" applyProtection="0">
      <alignment vertical="center"/>
    </xf>
    <xf numFmtId="243" fontId="15" fillId="0" borderId="0" applyFont="0" applyFill="0" applyBorder="0" applyAlignment="0" applyProtection="0">
      <alignment vertical="center"/>
    </xf>
    <xf numFmtId="170" fontId="15" fillId="0" borderId="0" applyFont="0" applyFill="0" applyBorder="0" applyAlignment="0" applyProtection="0">
      <alignment vertical="center"/>
    </xf>
    <xf numFmtId="170" fontId="15" fillId="0" borderId="0" applyFont="0" applyFill="0" applyBorder="0" applyAlignment="0" applyProtection="0">
      <alignment vertical="center"/>
    </xf>
    <xf numFmtId="244" fontId="29" fillId="0" borderId="0" applyFill="0" applyBorder="0" applyProtection="0">
      <alignment vertical="center"/>
    </xf>
    <xf numFmtId="245" fontId="29" fillId="0" borderId="0" applyFill="0" applyBorder="0" applyProtection="0">
      <alignment vertical="center"/>
    </xf>
    <xf numFmtId="246" fontId="87" fillId="0" borderId="0" applyFont="0" applyFill="0" applyBorder="0" applyAlignment="0" applyProtection="0">
      <alignment horizontal="right"/>
    </xf>
    <xf numFmtId="247" fontId="87" fillId="0" borderId="33" applyFont="0" applyFill="0" applyBorder="0" applyAlignment="0" applyProtection="0">
      <alignment horizontal="right"/>
    </xf>
    <xf numFmtId="49" fontId="88" fillId="46" borderId="0">
      <alignment vertical="center"/>
    </xf>
    <xf numFmtId="248" fontId="29" fillId="0" borderId="0" applyFill="0" applyBorder="0" applyProtection="0">
      <alignment vertical="center"/>
    </xf>
    <xf numFmtId="170" fontId="89" fillId="40" borderId="32">
      <alignment horizontal="right"/>
    </xf>
    <xf numFmtId="0" fontId="14" fillId="0" borderId="0"/>
    <xf numFmtId="249" fontId="20" fillId="40" borderId="32"/>
    <xf numFmtId="170" fontId="44" fillId="35" borderId="34" applyBorder="0" applyAlignment="0">
      <alignment horizontal="right"/>
      <protection locked="0"/>
    </xf>
    <xf numFmtId="14" fontId="20" fillId="0" borderId="0" applyFill="0" applyBorder="0" applyAlignment="0" applyProtection="0"/>
    <xf numFmtId="250" fontId="15" fillId="0" borderId="0" applyFont="0" applyFill="0" applyBorder="0" applyAlignment="0" applyProtection="0">
      <alignment vertical="center"/>
    </xf>
    <xf numFmtId="251"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2" fontId="15" fillId="0" borderId="0" applyFont="0" applyFill="0" applyBorder="0" applyAlignment="0" applyProtection="0">
      <alignment vertical="center"/>
    </xf>
    <xf numFmtId="253" fontId="20" fillId="0" borderId="0" applyFont="0" applyFill="0" applyBorder="0" applyAlignment="0" applyProtection="0"/>
    <xf numFmtId="14" fontId="90" fillId="0" borderId="35" applyFill="0" applyBorder="0">
      <alignment horizontal="center" vertical="top"/>
      <protection locked="0"/>
    </xf>
    <xf numFmtId="14" fontId="54" fillId="0" borderId="0" applyFill="0" applyBorder="0" applyAlignment="0"/>
    <xf numFmtId="15" fontId="91" fillId="0" borderId="0" applyFont="0" applyFill="0" applyBorder="0" applyAlignment="0" applyProtection="0">
      <protection locked="0"/>
    </xf>
    <xf numFmtId="15" fontId="29" fillId="0" borderId="0" applyFont="0" applyFill="0" applyBorder="0" applyAlignment="0" applyProtection="0"/>
    <xf numFmtId="254" fontId="20" fillId="47" borderId="0">
      <alignment horizontal="right"/>
    </xf>
    <xf numFmtId="255" fontId="29" fillId="0" borderId="0">
      <alignment vertical="top"/>
    </xf>
    <xf numFmtId="256" fontId="29" fillId="0" borderId="0">
      <alignment vertical="top"/>
    </xf>
    <xf numFmtId="224" fontId="29" fillId="0" borderId="0" applyFont="0" applyFill="0" applyBorder="0" applyAlignment="0" applyProtection="0"/>
    <xf numFmtId="227" fontId="29" fillId="0" borderId="0" applyFont="0" applyFill="0" applyBorder="0" applyAlignment="0" applyProtection="0"/>
    <xf numFmtId="257" fontId="20" fillId="0" borderId="36" applyNumberFormat="0" applyFont="0" applyFill="0" applyAlignment="0" applyProtection="0"/>
    <xf numFmtId="3" fontId="20" fillId="0" borderId="29" applyNumberFormat="0" applyBorder="0"/>
    <xf numFmtId="170" fontId="85" fillId="48" borderId="0" applyNumberFormat="0" applyFont="0" applyBorder="0">
      <alignment horizontal="right"/>
      <protection locked="0"/>
    </xf>
    <xf numFmtId="219" fontId="29" fillId="0" borderId="0" applyFill="0" applyBorder="0" applyAlignment="0"/>
    <xf numFmtId="215" fontId="56" fillId="0" borderId="0" applyFill="0" applyBorder="0" applyAlignment="0"/>
    <xf numFmtId="219" fontId="29" fillId="0" borderId="0" applyFill="0" applyBorder="0" applyAlignment="0"/>
    <xf numFmtId="169" fontId="56" fillId="0" borderId="0" applyFill="0" applyBorder="0" applyAlignment="0"/>
    <xf numFmtId="215" fontId="56" fillId="0" borderId="0" applyFill="0" applyBorder="0" applyAlignment="0"/>
    <xf numFmtId="0" fontId="92" fillId="0" borderId="0" applyNumberFormat="0" applyAlignment="0">
      <alignment horizontal="left"/>
    </xf>
    <xf numFmtId="170" fontId="93" fillId="0" borderId="0" applyNumberFormat="0" applyFont="0" applyFill="0" applyBorder="0" applyAlignment="0">
      <protection locked="0"/>
    </xf>
    <xf numFmtId="170" fontId="20" fillId="2" borderId="32"/>
    <xf numFmtId="170" fontId="29" fillId="0" borderId="0" applyFont="0" applyFill="0" applyBorder="0" applyAlignment="0" applyProtection="0"/>
    <xf numFmtId="170" fontId="29" fillId="3" borderId="37" applyNumberFormat="0">
      <alignment vertical="center"/>
    </xf>
    <xf numFmtId="170" fontId="37" fillId="49" borderId="0">
      <alignment vertical="center"/>
    </xf>
    <xf numFmtId="170" fontId="37" fillId="49" borderId="38" applyNumberFormat="0">
      <alignment vertical="center"/>
    </xf>
    <xf numFmtId="220" fontId="94" fillId="50" borderId="39" applyAlignment="0">
      <alignment vertical="center"/>
      <protection locked="0"/>
    </xf>
    <xf numFmtId="220" fontId="29" fillId="51" borderId="1" applyAlignment="0">
      <alignment vertical="center"/>
      <protection locked="0"/>
    </xf>
    <xf numFmtId="249" fontId="20" fillId="0" borderId="34"/>
    <xf numFmtId="221" fontId="94" fillId="52" borderId="39">
      <alignment horizontal="left" vertical="center"/>
      <protection locked="0"/>
    </xf>
    <xf numFmtId="212" fontId="95" fillId="53" borderId="1">
      <alignment horizontal="left" vertical="center"/>
      <protection locked="0"/>
    </xf>
    <xf numFmtId="170" fontId="42" fillId="0" borderId="0" applyNumberFormat="0" applyFill="0" applyBorder="0" applyAlignment="0" applyProtection="0"/>
    <xf numFmtId="0" fontId="15" fillId="0" borderId="0" applyFill="0" applyBorder="0">
      <alignment vertical="center"/>
    </xf>
    <xf numFmtId="0" fontId="96" fillId="0" borderId="0" applyNumberFormat="0" applyFill="0" applyBorder="0" applyAlignment="0"/>
    <xf numFmtId="170" fontId="97" fillId="0" borderId="0" applyFill="0" applyBorder="0"/>
    <xf numFmtId="170" fontId="29" fillId="27" borderId="40" applyNumberFormat="0">
      <alignment vertical="center"/>
    </xf>
    <xf numFmtId="213" fontId="37" fillId="27" borderId="0" applyNumberFormat="0">
      <alignment vertical="center"/>
    </xf>
    <xf numFmtId="213" fontId="37" fillId="27" borderId="0" applyNumberFormat="0">
      <alignment vertical="center"/>
    </xf>
    <xf numFmtId="170" fontId="37" fillId="27" borderId="40" applyNumberFormat="0">
      <alignment vertical="center"/>
    </xf>
    <xf numFmtId="170" fontId="20" fillId="0" borderId="0"/>
    <xf numFmtId="170" fontId="57" fillId="0" borderId="0">
      <alignment vertical="center"/>
    </xf>
    <xf numFmtId="170" fontId="98" fillId="54" borderId="0" applyNumberFormat="0" applyFill="0" applyBorder="0" applyAlignment="0">
      <alignment horizontal="center" vertical="center"/>
    </xf>
    <xf numFmtId="170" fontId="99" fillId="0" borderId="0" applyFill="0" applyBorder="0" applyProtection="0">
      <alignment horizontal="left"/>
    </xf>
    <xf numFmtId="170" fontId="88" fillId="55" borderId="0">
      <alignment horizontal="right" vertical="center"/>
    </xf>
    <xf numFmtId="222" fontId="100" fillId="31" borderId="0" applyProtection="0"/>
    <xf numFmtId="170" fontId="72" fillId="0" borderId="0" applyFill="0" applyBorder="0"/>
    <xf numFmtId="0" fontId="29" fillId="0" borderId="0"/>
    <xf numFmtId="213" fontId="37" fillId="0" borderId="0">
      <alignment vertical="center"/>
      <protection locked="0"/>
    </xf>
    <xf numFmtId="213" fontId="37" fillId="0" borderId="0">
      <alignment vertical="center"/>
      <protection locked="0"/>
    </xf>
    <xf numFmtId="258" fontId="37" fillId="0" borderId="0">
      <alignment vertical="center"/>
      <protection locked="0"/>
    </xf>
    <xf numFmtId="205" fontId="37" fillId="0" borderId="41">
      <alignment vertical="center"/>
    </xf>
    <xf numFmtId="170" fontId="101" fillId="0" borderId="0" applyNumberFormat="0" applyFill="0" applyBorder="0" applyAlignment="0" applyProtection="0">
      <alignment horizontal="left"/>
    </xf>
    <xf numFmtId="38" fontId="20" fillId="27" borderId="0" applyNumberFormat="0" applyBorder="0" applyAlignment="0" applyProtection="0"/>
    <xf numFmtId="170" fontId="102" fillId="27" borderId="42" applyNumberFormat="0">
      <alignment vertical="center"/>
    </xf>
    <xf numFmtId="213" fontId="103" fillId="56" borderId="0" applyNumberFormat="0">
      <alignment vertical="center"/>
    </xf>
    <xf numFmtId="170" fontId="103" fillId="56" borderId="42" applyNumberFormat="0">
      <alignment vertical="center"/>
    </xf>
    <xf numFmtId="170" fontId="35" fillId="0" borderId="0" applyBorder="0">
      <alignment horizontal="left"/>
    </xf>
    <xf numFmtId="49" fontId="104" fillId="0" borderId="0" applyFill="0" applyBorder="0">
      <alignment horizontal="right"/>
    </xf>
    <xf numFmtId="49" fontId="105" fillId="0" borderId="0" applyFill="0">
      <alignment horizontal="right"/>
    </xf>
    <xf numFmtId="170" fontId="19" fillId="44" borderId="0" applyNumberFormat="0">
      <alignment vertical="center"/>
    </xf>
    <xf numFmtId="0" fontId="19" fillId="2" borderId="0" applyNumberFormat="0">
      <alignment vertical="center"/>
    </xf>
    <xf numFmtId="0" fontId="106" fillId="0" borderId="43" applyFill="0" applyAlignment="0" applyProtection="0"/>
    <xf numFmtId="259" fontId="29" fillId="57" borderId="0" applyProtection="0"/>
    <xf numFmtId="260" fontId="20" fillId="0" borderId="0" applyFont="0" applyFill="0" applyBorder="0" applyAlignment="0" applyProtection="0">
      <alignment horizontal="right"/>
    </xf>
    <xf numFmtId="170" fontId="107" fillId="0" borderId="0" applyProtection="0">
      <alignment horizontal="right"/>
    </xf>
    <xf numFmtId="0" fontId="14" fillId="0" borderId="44" applyNumberFormat="0" applyAlignment="0" applyProtection="0">
      <alignment horizontal="left" vertical="center"/>
    </xf>
    <xf numFmtId="0" fontId="14" fillId="0" borderId="45">
      <alignment horizontal="left" vertical="center"/>
    </xf>
    <xf numFmtId="170" fontId="33" fillId="0" borderId="0"/>
    <xf numFmtId="170" fontId="108" fillId="0" borderId="0"/>
    <xf numFmtId="221" fontId="109" fillId="0" borderId="46" applyFill="0" applyAlignment="0"/>
    <xf numFmtId="0" fontId="110" fillId="58" borderId="0" applyNumberFormat="0" applyAlignment="0" applyProtection="0"/>
    <xf numFmtId="221" fontId="111" fillId="0" borderId="46" applyFill="0" applyAlignment="0"/>
    <xf numFmtId="0" fontId="112" fillId="59" borderId="0" applyNumberFormat="0" applyAlignment="0" applyProtection="0"/>
    <xf numFmtId="221" fontId="113" fillId="0" borderId="47" applyFill="0" applyAlignment="0"/>
    <xf numFmtId="221" fontId="114" fillId="0" borderId="0" applyFill="0" applyBorder="0" applyAlignment="0"/>
    <xf numFmtId="221" fontId="35" fillId="0" borderId="0" applyFill="0" applyBorder="0" applyAlignment="0"/>
    <xf numFmtId="221" fontId="35" fillId="0" borderId="0" applyFill="0" applyBorder="0" applyAlignment="0"/>
    <xf numFmtId="170" fontId="115" fillId="60" borderId="32"/>
    <xf numFmtId="170" fontId="116" fillId="60" borderId="0"/>
    <xf numFmtId="170" fontId="117" fillId="56" borderId="0"/>
    <xf numFmtId="170" fontId="118" fillId="0" borderId="9"/>
    <xf numFmtId="38" fontId="119" fillId="0" borderId="0" applyNumberFormat="0" applyFill="0" applyBorder="0" applyAlignment="0" applyProtection="0"/>
    <xf numFmtId="170" fontId="120" fillId="0" borderId="0">
      <alignment vertical="center"/>
    </xf>
    <xf numFmtId="170" fontId="121" fillId="0" borderId="0"/>
    <xf numFmtId="204" fontId="122" fillId="0" borderId="0" applyFont="0" applyFill="0" applyBorder="0" applyAlignment="0" applyProtection="0">
      <alignment horizontal="right"/>
    </xf>
    <xf numFmtId="204" fontId="123" fillId="0" borderId="0"/>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15" fillId="2" borderId="0" applyNumberFormat="0" applyFont="0" applyBorder="0" applyAlignment="0" applyProtection="0">
      <alignment vertical="center"/>
    </xf>
    <xf numFmtId="0" fontId="66" fillId="0" borderId="0" applyNumberFormat="0" applyFill="0" applyBorder="0" applyAlignment="0" applyProtection="0"/>
    <xf numFmtId="261" fontId="20" fillId="0" borderId="0" applyFill="0" applyBorder="0"/>
    <xf numFmtId="17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170" fontId="29" fillId="60" borderId="0"/>
    <xf numFmtId="9" fontId="20" fillId="40" borderId="34"/>
    <xf numFmtId="10" fontId="20" fillId="35" borderId="32" applyNumberFormat="0" applyBorder="0" applyAlignment="0" applyProtection="0"/>
    <xf numFmtId="205" fontId="127" fillId="40" borderId="48" applyNumberFormat="0">
      <alignment vertical="center"/>
      <protection locked="0"/>
    </xf>
    <xf numFmtId="43" fontId="37" fillId="2" borderId="0" applyNumberFormat="0">
      <alignment vertical="center"/>
      <protection locked="0"/>
    </xf>
    <xf numFmtId="205" fontId="37" fillId="2" borderId="48" applyNumberFormat="0">
      <alignment vertical="center"/>
      <protection locked="0"/>
    </xf>
    <xf numFmtId="0" fontId="36" fillId="26" borderId="8" applyNumberFormat="0" applyAlignment="0" applyProtection="0"/>
    <xf numFmtId="170" fontId="37" fillId="34" borderId="0" applyNumberFormat="0">
      <alignment vertical="center"/>
      <protection locked="0"/>
    </xf>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170" fontId="37" fillId="34" borderId="48" applyNumberFormat="0">
      <alignment vertical="center"/>
      <protection locked="0"/>
    </xf>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128" fillId="0" borderId="0" applyNumberFormat="0" applyFill="0" applyAlignment="0" applyProtection="0"/>
    <xf numFmtId="0" fontId="36" fillId="26" borderId="8" applyNumberFormat="0" applyAlignment="0" applyProtection="0"/>
    <xf numFmtId="0" fontId="36" fillId="26" borderId="8" applyNumberFormat="0" applyAlignment="0" applyProtection="0"/>
    <xf numFmtId="0" fontId="36" fillId="26" borderId="8" applyNumberFormat="0" applyAlignment="0" applyProtection="0"/>
    <xf numFmtId="0" fontId="36" fillId="26" borderId="8" applyNumberFormat="0" applyAlignment="0" applyProtection="0"/>
    <xf numFmtId="0" fontId="36" fillId="26" borderId="8" applyNumberFormat="0" applyAlignment="0" applyProtection="0"/>
    <xf numFmtId="170" fontId="15" fillId="0" borderId="49" applyNumberFormat="0" applyAlignment="0">
      <alignment vertical="center"/>
    </xf>
    <xf numFmtId="0" fontId="15" fillId="0" borderId="29" applyNumberFormat="0" applyAlignment="0">
      <alignment vertical="center"/>
    </xf>
    <xf numFmtId="174" fontId="129" fillId="61" borderId="0"/>
    <xf numFmtId="0" fontId="15" fillId="0" borderId="50" applyNumberFormat="0" applyAlignment="0">
      <alignment vertical="center"/>
      <protection locked="0"/>
    </xf>
    <xf numFmtId="0" fontId="15" fillId="0" borderId="9" applyNumberFormat="0" applyAlignment="0">
      <alignment vertical="center"/>
      <protection locked="0"/>
    </xf>
    <xf numFmtId="164" fontId="15" fillId="62" borderId="51" applyNumberFormat="0" applyAlignment="0">
      <alignment vertical="center"/>
      <protection locked="0"/>
    </xf>
    <xf numFmtId="221" fontId="130" fillId="52" borderId="52">
      <alignment horizontal="left" vertical="center"/>
      <protection locked="0"/>
    </xf>
    <xf numFmtId="170" fontId="128" fillId="0" borderId="0" applyNumberFormat="0" applyFill="0" applyBorder="0" applyAlignment="0" applyProtection="0"/>
    <xf numFmtId="170" fontId="15" fillId="37"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4"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4"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5" borderId="0" applyNumberFormat="0" applyAlignment="0">
      <alignment vertical="center"/>
    </xf>
    <xf numFmtId="0" fontId="15" fillId="65" borderId="0" applyNumberFormat="0" applyAlignment="0">
      <alignment vertical="center"/>
    </xf>
    <xf numFmtId="0" fontId="15" fillId="65" borderId="0" applyNumberFormat="0" applyAlignment="0">
      <alignment vertical="center"/>
    </xf>
    <xf numFmtId="0" fontId="15" fillId="65" borderId="0" applyNumberFormat="0" applyAlignment="0">
      <alignment vertical="center"/>
    </xf>
    <xf numFmtId="0" fontId="15" fillId="65" borderId="0" applyNumberFormat="0" applyAlignment="0">
      <alignment vertical="center"/>
    </xf>
    <xf numFmtId="0" fontId="15" fillId="63" borderId="0" applyNumberFormat="0" applyAlignment="0">
      <alignment vertical="center"/>
    </xf>
    <xf numFmtId="0" fontId="15" fillId="65" borderId="0" applyNumberFormat="0" applyAlignment="0">
      <alignment vertical="center"/>
    </xf>
    <xf numFmtId="0" fontId="15" fillId="65"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0" fontId="15" fillId="63" borderId="0" applyNumberFormat="0" applyAlignment="0">
      <alignment vertical="center"/>
    </xf>
    <xf numFmtId="170" fontId="15" fillId="63" borderId="0" applyNumberFormat="0" applyAlignment="0">
      <alignment vertical="center"/>
    </xf>
    <xf numFmtId="170" fontId="15" fillId="0" borderId="53" applyNumberFormat="0" applyAlignment="0">
      <alignment vertical="center"/>
      <protection locked="0"/>
    </xf>
    <xf numFmtId="0" fontId="15" fillId="0" borderId="1" applyNumberFormat="0" applyAlignment="0">
      <alignment vertical="center"/>
      <protection locked="0"/>
    </xf>
    <xf numFmtId="3" fontId="131" fillId="1" borderId="0">
      <protection locked="0"/>
    </xf>
    <xf numFmtId="262" fontId="131" fillId="1" borderId="0">
      <protection locked="0"/>
    </xf>
    <xf numFmtId="2" fontId="131" fillId="1" borderId="0"/>
    <xf numFmtId="218" fontId="131" fillId="1" borderId="0">
      <protection locked="0"/>
    </xf>
    <xf numFmtId="263" fontId="131" fillId="1" borderId="0">
      <protection locked="0"/>
    </xf>
    <xf numFmtId="170" fontId="131" fillId="1" borderId="0">
      <protection locked="0"/>
    </xf>
    <xf numFmtId="9" fontId="131" fillId="1" borderId="0">
      <alignment horizontal="right"/>
      <protection locked="0"/>
    </xf>
    <xf numFmtId="264" fontId="131" fillId="1" borderId="0">
      <protection locked="0"/>
    </xf>
    <xf numFmtId="10" fontId="131" fillId="1" borderId="0">
      <protection locked="0"/>
    </xf>
    <xf numFmtId="220" fontId="75" fillId="50" borderId="28">
      <alignment vertical="center"/>
    </xf>
    <xf numFmtId="1" fontId="29" fillId="0" borderId="0"/>
    <xf numFmtId="222" fontId="100" fillId="66" borderId="0" applyProtection="0"/>
    <xf numFmtId="170" fontId="29" fillId="0" borderId="0" applyFont="0" applyFill="0" applyBorder="0" applyAlignment="0" applyProtection="0"/>
    <xf numFmtId="170" fontId="29" fillId="0" borderId="0" applyFont="0" applyFill="0" applyBorder="0" applyAlignment="0" applyProtection="0"/>
    <xf numFmtId="38" fontId="132" fillId="0" borderId="0"/>
    <xf numFmtId="38" fontId="133" fillId="0" borderId="0"/>
    <xf numFmtId="38" fontId="134" fillId="0" borderId="0"/>
    <xf numFmtId="38" fontId="135" fillId="0" borderId="0"/>
    <xf numFmtId="170" fontId="136" fillId="0" borderId="0"/>
    <xf numFmtId="170" fontId="136" fillId="0" borderId="0"/>
    <xf numFmtId="170" fontId="137" fillId="0" borderId="0"/>
    <xf numFmtId="221" fontId="35" fillId="0" borderId="54">
      <alignment vertical="top"/>
    </xf>
    <xf numFmtId="212" fontId="138" fillId="0" borderId="55">
      <alignment horizontal="left" vertical="center"/>
    </xf>
    <xf numFmtId="212" fontId="138" fillId="0" borderId="55">
      <alignment horizontal="left" vertical="center"/>
    </xf>
    <xf numFmtId="0" fontId="44" fillId="0" borderId="0" applyNumberFormat="0" applyFont="0" applyFill="0" applyBorder="0" applyProtection="0">
      <alignment horizontal="left" vertical="center"/>
    </xf>
    <xf numFmtId="170" fontId="29" fillId="0" borderId="0" applyNumberFormat="0" applyFill="0" applyBorder="0" applyAlignment="0" applyProtection="0">
      <alignment vertical="top"/>
      <protection locked="0"/>
    </xf>
    <xf numFmtId="170" fontId="29" fillId="0" borderId="0" applyNumberFormat="0" applyFill="0" applyBorder="0" applyAlignment="0" applyProtection="0">
      <alignment vertical="top"/>
      <protection locked="0"/>
    </xf>
    <xf numFmtId="219" fontId="29" fillId="0" borderId="0" applyFill="0" applyBorder="0" applyAlignment="0"/>
    <xf numFmtId="215" fontId="56" fillId="0" borderId="0" applyFill="0" applyBorder="0" applyAlignment="0"/>
    <xf numFmtId="2" fontId="139" fillId="67" borderId="6" applyNumberFormat="0">
      <alignment horizontal="center" vertical="center"/>
    </xf>
    <xf numFmtId="219" fontId="29" fillId="0" borderId="0" applyFill="0" applyBorder="0" applyAlignment="0"/>
    <xf numFmtId="169" fontId="56" fillId="0" borderId="0" applyFill="0" applyBorder="0" applyAlignment="0"/>
    <xf numFmtId="215" fontId="56" fillId="0" borderId="0" applyFill="0" applyBorder="0" applyAlignment="0"/>
    <xf numFmtId="222" fontId="100" fillId="58" borderId="0" applyProtection="0"/>
    <xf numFmtId="174" fontId="29" fillId="68" borderId="0"/>
    <xf numFmtId="170" fontId="88" fillId="69" borderId="0">
      <alignment horizontal="right" vertical="center"/>
    </xf>
    <xf numFmtId="170" fontId="140" fillId="0" borderId="0"/>
    <xf numFmtId="17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1" fillId="0" borderId="0" applyNumberFormat="0" applyFill="0" applyBorder="0" applyProtection="0">
      <alignment horizontal="left" vertical="center"/>
    </xf>
    <xf numFmtId="0" fontId="142" fillId="0" borderId="0" applyNumberFormat="0" applyBorder="0" applyProtection="0">
      <alignment vertical="top"/>
    </xf>
    <xf numFmtId="265" fontId="20" fillId="0" borderId="0" applyFill="0" applyBorder="0" applyProtection="0"/>
    <xf numFmtId="4" fontId="48" fillId="0" borderId="0" applyFont="0" applyFill="0" applyBorder="0" applyAlignment="0" applyProtection="0"/>
    <xf numFmtId="224" fontId="48"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266" fontId="20" fillId="0" borderId="0" applyFont="0" applyFill="0" applyBorder="0" applyAlignment="0" applyProtection="0"/>
    <xf numFmtId="0" fontId="20" fillId="0" borderId="0"/>
    <xf numFmtId="220" fontId="29" fillId="70" borderId="6">
      <alignment vertical="center"/>
    </xf>
    <xf numFmtId="42"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 fontId="29" fillId="0" borderId="0" applyFont="0" applyFill="0" applyBorder="0" applyAlignment="0" applyProtection="0"/>
    <xf numFmtId="267" fontId="20" fillId="0" borderId="0" applyFill="0" applyBorder="0"/>
    <xf numFmtId="257" fontId="123" fillId="0" borderId="0"/>
    <xf numFmtId="49" fontId="143" fillId="46" borderId="0">
      <alignment horizontal="centerContinuous" vertical="center"/>
    </xf>
    <xf numFmtId="268" fontId="123" fillId="0" borderId="0">
      <alignment horizontal="right"/>
    </xf>
    <xf numFmtId="269" fontId="20" fillId="0" borderId="0"/>
    <xf numFmtId="270" fontId="20" fillId="0" borderId="0" applyFill="0" applyAlignment="0"/>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144" fillId="0" borderId="0" applyNumberFormat="0" applyFill="0" applyBorder="0" applyProtection="0">
      <alignment horizontal="left"/>
    </xf>
    <xf numFmtId="170" fontId="127" fillId="34" borderId="56" applyNumberFormat="0" applyFont="0" applyFill="0" applyAlignment="0" applyProtection="0">
      <alignment vertical="center"/>
      <protection locked="0"/>
    </xf>
    <xf numFmtId="170" fontId="23" fillId="0" borderId="0" applyNumberFormat="0" applyBorder="0">
      <alignment horizontal="left" vertical="top"/>
    </xf>
    <xf numFmtId="170" fontId="145" fillId="34" borderId="56" applyNumberFormat="0" applyFill="0" applyAlignment="0" applyProtection="0">
      <alignment vertical="center"/>
      <protection locked="0"/>
    </xf>
    <xf numFmtId="170" fontId="146" fillId="0" borderId="0"/>
    <xf numFmtId="37" fontId="147" fillId="0" borderId="0"/>
    <xf numFmtId="271" fontId="148" fillId="0" borderId="0"/>
    <xf numFmtId="272" fontId="56" fillId="0" borderId="0"/>
    <xf numFmtId="0" fontId="6" fillId="0" borderId="0"/>
    <xf numFmtId="0" fontId="6" fillId="0" borderId="0"/>
    <xf numFmtId="0" fontId="6" fillId="0" borderId="0"/>
    <xf numFmtId="0" fontId="15" fillId="0" borderId="0">
      <alignment vertical="center"/>
    </xf>
    <xf numFmtId="0" fontId="15" fillId="0" borderId="0">
      <alignment vertical="center"/>
    </xf>
    <xf numFmtId="0" fontId="84" fillId="0" borderId="0"/>
    <xf numFmtId="0" fontId="84" fillId="0" borderId="0"/>
    <xf numFmtId="0" fontId="84" fillId="0" borderId="0"/>
    <xf numFmtId="0" fontId="84" fillId="0" borderId="0"/>
    <xf numFmtId="0" fontId="84" fillId="0" borderId="0"/>
    <xf numFmtId="0" fontId="8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15" fillId="0" borderId="0">
      <alignment vertical="center"/>
    </xf>
    <xf numFmtId="0" fontId="84" fillId="0" borderId="0"/>
    <xf numFmtId="0" fontId="6" fillId="0" borderId="0"/>
    <xf numFmtId="0" fontId="20" fillId="0" borderId="0"/>
    <xf numFmtId="0" fontId="84" fillId="0" borderId="0"/>
    <xf numFmtId="0" fontId="84" fillId="0" borderId="0"/>
    <xf numFmtId="0" fontId="84" fillId="0" borderId="0"/>
    <xf numFmtId="0" fontId="84" fillId="0" borderId="0"/>
    <xf numFmtId="0" fontId="84" fillId="0" borderId="0"/>
    <xf numFmtId="0" fontId="84" fillId="0" borderId="0"/>
    <xf numFmtId="170" fontId="15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4" fillId="0" borderId="0"/>
    <xf numFmtId="0" fontId="84" fillId="0" borderId="0"/>
    <xf numFmtId="0" fontId="84" fillId="0" borderId="0"/>
    <xf numFmtId="0" fontId="84" fillId="0" borderId="0"/>
    <xf numFmtId="0" fontId="29" fillId="0" borderId="0"/>
    <xf numFmtId="0" fontId="29" fillId="0" borderId="0"/>
    <xf numFmtId="0" fontId="29" fillId="0" borderId="0"/>
    <xf numFmtId="0" fontId="29" fillId="0" borderId="0"/>
    <xf numFmtId="0" fontId="84" fillId="0" borderId="0"/>
    <xf numFmtId="0" fontId="1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29" fillId="0" borderId="0"/>
    <xf numFmtId="0" fontId="6" fillId="0" borderId="0"/>
    <xf numFmtId="0" fontId="6" fillId="0" borderId="0"/>
    <xf numFmtId="0" fontId="6" fillId="0" borderId="0"/>
    <xf numFmtId="0" fontId="6" fillId="0" borderId="0"/>
    <xf numFmtId="0" fontId="6"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6" fillId="0" borderId="0"/>
    <xf numFmtId="0" fontId="6" fillId="0" borderId="0"/>
    <xf numFmtId="0" fontId="6" fillId="0" borderId="0"/>
    <xf numFmtId="273" fontId="33" fillId="0" borderId="0" applyNumberFormat="0" applyFill="0" applyBorder="0" applyAlignment="0" applyProtection="0"/>
    <xf numFmtId="170" fontId="90" fillId="0" borderId="9" applyFill="0" applyBorder="0">
      <alignment vertical="top"/>
      <protection locked="0"/>
    </xf>
    <xf numFmtId="170" fontId="56" fillId="71" borderId="0" applyNumberFormat="0" applyFont="0" applyAlignment="0">
      <alignment vertical="top"/>
    </xf>
    <xf numFmtId="3" fontId="41" fillId="0" borderId="0"/>
    <xf numFmtId="4" fontId="41" fillId="0" borderId="0"/>
    <xf numFmtId="218" fontId="41" fillId="0" borderId="0"/>
    <xf numFmtId="263" fontId="41" fillId="0" borderId="0"/>
    <xf numFmtId="170" fontId="41" fillId="0" borderId="0"/>
    <xf numFmtId="170" fontId="29" fillId="0" borderId="0">
      <alignment horizontal="right"/>
    </xf>
    <xf numFmtId="170" fontId="41" fillId="0" borderId="0"/>
    <xf numFmtId="274" fontId="29" fillId="0" borderId="0"/>
    <xf numFmtId="170" fontId="56" fillId="0" borderId="0"/>
    <xf numFmtId="37" fontId="29" fillId="0" borderId="0">
      <alignment horizontal="left"/>
    </xf>
    <xf numFmtId="0" fontId="43"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1" fillId="0" borderId="0" applyNumberFormat="0" applyAlignment="0" applyProtection="0"/>
    <xf numFmtId="0" fontId="84" fillId="3" borderId="9" applyNumberFormat="0" applyFont="0" applyAlignment="0" applyProtection="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170" fontId="152" fillId="47" borderId="0">
      <alignment horizontal="left" vertical="top" wrapText="1"/>
    </xf>
    <xf numFmtId="165"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164" fontId="15" fillId="0" borderId="0" applyFont="0" applyFill="0" applyBorder="0" applyAlignment="0" applyProtection="0">
      <alignment vertical="center"/>
    </xf>
    <xf numFmtId="275" fontId="123" fillId="0" borderId="0"/>
    <xf numFmtId="221" fontId="153" fillId="0" borderId="0">
      <alignment horizontal="right" vertical="center"/>
    </xf>
    <xf numFmtId="221" fontId="153" fillId="0" borderId="0">
      <alignment horizontal="right" vertical="center"/>
    </xf>
    <xf numFmtId="203" fontId="29" fillId="0" borderId="0" applyFill="0" applyBorder="0" applyProtection="0">
      <alignment vertical="center"/>
    </xf>
    <xf numFmtId="167" fontId="29" fillId="40" borderId="6"/>
    <xf numFmtId="264" fontId="29" fillId="0" borderId="0" applyFont="0" applyFill="0" applyBorder="0" applyAlignment="0" applyProtection="0"/>
    <xf numFmtId="276" fontId="29" fillId="0" borderId="0" applyFont="0" applyFill="0" applyBorder="0" applyAlignment="0" applyProtection="0"/>
    <xf numFmtId="179" fontId="29" fillId="0" borderId="0" applyFont="0" applyFill="0" applyBorder="0" applyAlignment="0" applyProtection="0"/>
    <xf numFmtId="170" fontId="154" fillId="0" borderId="0" applyNumberFormat="0" applyAlignment="0">
      <alignment vertical="top"/>
    </xf>
    <xf numFmtId="277" fontId="29" fillId="0" borderId="0" applyFont="0" applyFill="0" applyBorder="0" applyAlignment="0" applyProtection="0"/>
    <xf numFmtId="278" fontId="29" fillId="0" borderId="0" applyFont="0" applyFill="0" applyBorder="0" applyAlignment="0" applyProtection="0"/>
    <xf numFmtId="0" fontId="15" fillId="6" borderId="3">
      <alignment vertical="center"/>
    </xf>
    <xf numFmtId="169" fontId="155" fillId="0" borderId="0"/>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6" fillId="72" borderId="57" applyNumberFormat="0" applyAlignment="0" applyProtection="0"/>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0" fontId="15" fillId="3" borderId="0" applyNumberFormat="0" applyFont="0" applyBorder="0" applyAlignment="0" applyProtection="0">
      <alignment vertical="center"/>
    </xf>
    <xf numFmtId="170" fontId="157" fillId="39" borderId="58"/>
    <xf numFmtId="0" fontId="156" fillId="73" borderId="59" applyAlignment="0" applyProtection="0"/>
    <xf numFmtId="170" fontId="158" fillId="0" borderId="0" applyFill="0" applyBorder="0" applyProtection="0">
      <alignment horizontal="left"/>
    </xf>
    <xf numFmtId="170" fontId="141" fillId="0" borderId="0" applyFill="0" applyBorder="0" applyProtection="0">
      <alignment horizontal="left"/>
    </xf>
    <xf numFmtId="1" fontId="159" fillId="0" borderId="0" applyProtection="0">
      <alignment horizontal="right" vertical="center"/>
    </xf>
    <xf numFmtId="279" fontId="29" fillId="0" borderId="0" applyFont="0" applyFill="0" applyBorder="0" applyAlignment="0" applyProtection="0"/>
    <xf numFmtId="14" fontId="65" fillId="0" borderId="0">
      <alignment horizontal="center" wrapText="1"/>
      <protection locked="0"/>
    </xf>
    <xf numFmtId="264" fontId="85" fillId="0" borderId="0" applyFont="0" applyFill="0" applyBorder="0" applyAlignment="0" applyProtection="0"/>
    <xf numFmtId="218" fontId="29" fillId="0" borderId="0" applyFont="0" applyFill="0" applyBorder="0" applyAlignment="0" applyProtection="0"/>
    <xf numFmtId="262" fontId="56" fillId="0" borderId="0" applyFont="0" applyFill="0" applyBorder="0" applyAlignment="0" applyProtection="0"/>
    <xf numFmtId="264" fontId="29" fillId="0" borderId="0"/>
    <xf numFmtId="10" fontId="29" fillId="0" borderId="0" applyFont="0" applyFill="0" applyBorder="0" applyAlignment="0" applyProtection="0"/>
    <xf numFmtId="10" fontId="29" fillId="0" borderId="0"/>
    <xf numFmtId="9" fontId="6" fillId="0" borderId="0" applyFont="0" applyFill="0" applyBorder="0" applyAlignment="0" applyProtection="0"/>
    <xf numFmtId="166" fontId="15" fillId="0" borderId="0" applyFont="0" applyFill="0" applyBorder="0" applyAlignment="0" applyProtection="0">
      <alignment vertical="center"/>
    </xf>
    <xf numFmtId="166" fontId="15" fillId="0" borderId="0" applyFont="0" applyFill="0" applyBorder="0" applyAlignment="0" applyProtection="0">
      <alignment vertical="center"/>
    </xf>
    <xf numFmtId="166" fontId="15" fillId="0" borderId="0" applyFont="0" applyFill="0" applyBorder="0" applyAlignment="0" applyProtection="0">
      <alignment vertical="center"/>
    </xf>
    <xf numFmtId="166" fontId="15" fillId="0" borderId="0" applyFont="0" applyFill="0" applyBorder="0" applyAlignment="0" applyProtection="0">
      <alignment vertical="center"/>
    </xf>
    <xf numFmtId="166" fontId="15" fillId="0" borderId="0" applyFont="0" applyFill="0" applyBorder="0" applyAlignment="0" applyProtection="0">
      <alignment vertical="center"/>
    </xf>
    <xf numFmtId="9" fontId="15" fillId="0" borderId="0" applyFont="0" applyFill="0" applyBorder="0" applyAlignment="0" applyProtection="0"/>
    <xf numFmtId="9" fontId="29"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0" fillId="0" borderId="0" applyFont="0" applyFill="0" applyBorder="0" applyAlignment="0" applyProtection="0"/>
    <xf numFmtId="9" fontId="160" fillId="0" borderId="0" applyFont="0" applyFill="0" applyBorder="0" applyAlignment="0" applyProtection="0"/>
    <xf numFmtId="9" fontId="8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80" fontId="65" fillId="0" borderId="0" applyFont="0" applyFill="0" applyBorder="0" applyProtection="0">
      <alignment horizontal="right"/>
    </xf>
    <xf numFmtId="194" fontId="29" fillId="0" borderId="0" applyFont="0" applyFill="0" applyBorder="0" applyAlignment="0" applyProtection="0"/>
    <xf numFmtId="199" fontId="29" fillId="0" borderId="0" applyFont="0" applyFill="0" applyBorder="0" applyAlignment="0" applyProtection="0"/>
    <xf numFmtId="196" fontId="29" fillId="0" borderId="0" applyFont="0" applyFill="0" applyBorder="0" applyAlignment="0" applyProtection="0"/>
    <xf numFmtId="281" fontId="20" fillId="0" borderId="0"/>
    <xf numFmtId="170" fontId="20" fillId="0" borderId="0"/>
    <xf numFmtId="282" fontId="20" fillId="0" borderId="0"/>
    <xf numFmtId="283" fontId="20" fillId="0" borderId="0"/>
    <xf numFmtId="284" fontId="20" fillId="0" borderId="0"/>
    <xf numFmtId="285" fontId="15" fillId="0" borderId="0" applyFont="0" applyFill="0" applyBorder="0" applyAlignment="0" applyProtection="0">
      <alignmen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166" fontId="15" fillId="0" borderId="0" applyFont="0" applyFill="0" applyBorder="0" applyAlignment="0" applyProtection="0">
      <alignment horizontal="right" vertical="center"/>
    </xf>
    <xf numFmtId="0" fontId="20" fillId="0" borderId="0">
      <alignment horizontal="center"/>
    </xf>
    <xf numFmtId="286" fontId="37" fillId="39" borderId="60" applyFont="0" applyFill="0" applyBorder="0" applyAlignment="0" applyProtection="0">
      <alignment horizontal="center" vertical="center"/>
    </xf>
    <xf numFmtId="287" fontId="161" fillId="0" borderId="0" applyFont="0" applyFill="0" applyBorder="0" applyAlignment="0" applyProtection="0"/>
    <xf numFmtId="170" fontId="20" fillId="0" borderId="0"/>
    <xf numFmtId="170" fontId="20" fillId="0" borderId="0"/>
    <xf numFmtId="288" fontId="20" fillId="0" borderId="0"/>
    <xf numFmtId="253" fontId="20" fillId="0" borderId="0"/>
    <xf numFmtId="289" fontId="20" fillId="0" borderId="0"/>
    <xf numFmtId="290" fontId="20" fillId="0" borderId="0"/>
    <xf numFmtId="13" fontId="29" fillId="0" borderId="0" applyFont="0" applyFill="0" applyProtection="0"/>
    <xf numFmtId="0" fontId="20" fillId="27" borderId="6"/>
    <xf numFmtId="219" fontId="29" fillId="0" borderId="0" applyFill="0" applyBorder="0" applyAlignment="0"/>
    <xf numFmtId="215" fontId="56" fillId="0" borderId="0" applyFill="0" applyBorder="0" applyAlignment="0"/>
    <xf numFmtId="219" fontId="29" fillId="0" borderId="0" applyFill="0" applyBorder="0" applyAlignment="0"/>
    <xf numFmtId="169" fontId="56" fillId="0" borderId="0" applyFill="0" applyBorder="0" applyAlignment="0"/>
    <xf numFmtId="215" fontId="56" fillId="0" borderId="0" applyFill="0" applyBorder="0" applyAlignment="0"/>
    <xf numFmtId="0" fontId="162" fillId="74" borderId="0" applyNumberFormat="0" applyBorder="0" applyAlignment="0" applyProtection="0">
      <alignment vertical="center"/>
    </xf>
    <xf numFmtId="291" fontId="29" fillId="0" borderId="0" applyFill="0" applyBorder="0">
      <alignment vertical="top"/>
    </xf>
    <xf numFmtId="170" fontId="48" fillId="0" borderId="0" applyFill="0" applyBorder="0">
      <alignment vertical="top"/>
    </xf>
    <xf numFmtId="214" fontId="29" fillId="0" borderId="0" applyFill="0" applyBorder="0">
      <alignment vertical="top"/>
    </xf>
    <xf numFmtId="292" fontId="29" fillId="0" borderId="0"/>
    <xf numFmtId="37" fontId="29" fillId="0" borderId="0" applyFont="0" applyFill="0" applyBorder="0" applyAlignment="0" applyProtection="0"/>
    <xf numFmtId="0" fontId="56" fillId="0" borderId="0" applyNumberFormat="0" applyFont="0" applyFill="0" applyBorder="0" applyAlignment="0" applyProtection="0">
      <alignment horizontal="left"/>
    </xf>
    <xf numFmtId="15" fontId="56" fillId="0" borderId="0" applyFont="0" applyFill="0" applyBorder="0" applyAlignment="0" applyProtection="0"/>
    <xf numFmtId="4" fontId="56" fillId="0" borderId="0" applyFont="0" applyFill="0" applyBorder="0" applyAlignment="0" applyProtection="0"/>
    <xf numFmtId="170" fontId="163" fillId="0" borderId="21">
      <alignment horizontal="center"/>
    </xf>
    <xf numFmtId="3" fontId="56" fillId="0" borderId="0" applyFont="0" applyFill="0" applyBorder="0" applyAlignment="0" applyProtection="0"/>
    <xf numFmtId="170" fontId="56" fillId="75" borderId="0" applyNumberFormat="0" applyFont="0" applyBorder="0" applyAlignment="0" applyProtection="0"/>
    <xf numFmtId="222" fontId="29" fillId="0" borderId="0" applyFont="0" applyFill="0" applyBorder="0" applyAlignment="0" applyProtection="0"/>
    <xf numFmtId="293" fontId="29" fillId="0" borderId="0" applyFont="0" applyFill="0" applyBorder="0" applyAlignment="0" applyProtection="0"/>
    <xf numFmtId="294" fontId="29" fillId="0" borderId="0" applyFont="0" applyFill="0" applyBorder="0" applyAlignment="0" applyProtection="0"/>
    <xf numFmtId="38" fontId="29" fillId="0" borderId="0" applyFill="0" applyBorder="0">
      <alignment horizontal="center" vertical="top"/>
    </xf>
    <xf numFmtId="170" fontId="164" fillId="0" borderId="0" applyNumberFormat="0" applyFill="0" applyBorder="0" applyAlignment="0" applyProtection="0"/>
    <xf numFmtId="3" fontId="165" fillId="0" borderId="0" applyFill="0" applyBorder="0" applyProtection="0"/>
    <xf numFmtId="288" fontId="23" fillId="0" borderId="0" applyNumberFormat="0" applyFill="0" applyBorder="0" applyAlignment="0" applyProtection="0"/>
    <xf numFmtId="49" fontId="15" fillId="0" borderId="0">
      <alignment horizontal="right"/>
    </xf>
    <xf numFmtId="170" fontId="166" fillId="0" borderId="0">
      <alignment horizontal="left" vertical="center"/>
    </xf>
    <xf numFmtId="170" fontId="167" fillId="76" borderId="0" applyNumberFormat="0" applyFont="0" applyBorder="0" applyAlignment="0">
      <alignment horizontal="center"/>
    </xf>
    <xf numFmtId="205" fontId="29" fillId="0" borderId="0" applyFont="0" applyFill="0" applyBorder="0" applyAlignment="0" applyProtection="0"/>
    <xf numFmtId="295" fontId="29" fillId="0" borderId="0" applyProtection="0">
      <alignment horizontal="right"/>
    </xf>
    <xf numFmtId="296" fontId="29" fillId="0" borderId="0" applyProtection="0">
      <alignment horizontal="right"/>
    </xf>
    <xf numFmtId="297" fontId="29" fillId="0" borderId="0" applyNumberFormat="0" applyFill="0" applyBorder="0" applyAlignment="0" applyProtection="0">
      <alignment horizontal="left"/>
    </xf>
    <xf numFmtId="170" fontId="44" fillId="0" borderId="61" applyNumberFormat="0" applyFont="0" applyFill="0" applyAlignment="0" applyProtection="0"/>
    <xf numFmtId="0" fontId="44" fillId="0" borderId="61" applyNumberFormat="0" applyFont="0" applyFill="0" applyAlignment="0" applyProtection="0"/>
    <xf numFmtId="0" fontId="44" fillId="0" borderId="61" applyNumberFormat="0" applyFont="0" applyFill="0" applyAlignment="0" applyProtection="0"/>
    <xf numFmtId="0" fontId="44" fillId="0" borderId="61" applyNumberFormat="0" applyFont="0" applyFill="0" applyAlignment="0" applyProtection="0"/>
    <xf numFmtId="0" fontId="44" fillId="0" borderId="61" applyNumberFormat="0" applyFont="0" applyFill="0" applyAlignment="0" applyProtection="0"/>
    <xf numFmtId="0" fontId="44" fillId="0" borderId="61" applyNumberFormat="0" applyFont="0" applyFill="0" applyAlignment="0" applyProtection="0"/>
    <xf numFmtId="0" fontId="44" fillId="0" borderId="61" applyNumberFormat="0" applyFont="0" applyFill="0" applyAlignment="0" applyProtection="0"/>
    <xf numFmtId="170" fontId="78" fillId="43" borderId="62" applyNumberFormat="0" applyBorder="0" applyProtection="0">
      <alignment horizontal="left" wrapText="1"/>
    </xf>
    <xf numFmtId="170" fontId="78" fillId="43" borderId="0" applyNumberFormat="0" applyBorder="0" applyProtection="0">
      <alignment horizontal="left"/>
    </xf>
    <xf numFmtId="0" fontId="78" fillId="43" borderId="0" applyNumberFormat="0" applyBorder="0" applyProtection="0">
      <alignment horizontal="left"/>
    </xf>
    <xf numFmtId="0" fontId="78" fillId="43" borderId="0" applyNumberFormat="0" applyBorder="0" applyProtection="0">
      <alignment horizontal="left"/>
    </xf>
    <xf numFmtId="0" fontId="78" fillId="43" borderId="0" applyNumberFormat="0" applyBorder="0" applyProtection="0">
      <alignment horizontal="left"/>
    </xf>
    <xf numFmtId="0" fontId="78" fillId="43" borderId="0" applyNumberFormat="0" applyBorder="0" applyProtection="0">
      <alignment horizontal="left"/>
    </xf>
    <xf numFmtId="0" fontId="78" fillId="43" borderId="0" applyNumberFormat="0" applyBorder="0" applyProtection="0">
      <alignment horizontal="left"/>
    </xf>
    <xf numFmtId="0" fontId="78" fillId="43" borderId="0" applyNumberFormat="0" applyBorder="0" applyProtection="0">
      <alignment horizontal="left"/>
    </xf>
    <xf numFmtId="0" fontId="78" fillId="43" borderId="62" applyNumberFormat="0" applyBorder="0" applyProtection="0">
      <alignment horizontal="left" wrapText="1"/>
    </xf>
    <xf numFmtId="0" fontId="78" fillId="43" borderId="62" applyNumberFormat="0" applyBorder="0" applyProtection="0">
      <alignment horizontal="left" wrapText="1"/>
    </xf>
    <xf numFmtId="0" fontId="78" fillId="43" borderId="62" applyNumberFormat="0" applyBorder="0" applyProtection="0">
      <alignment horizontal="left" wrapText="1"/>
    </xf>
    <xf numFmtId="0" fontId="78" fillId="43" borderId="62" applyNumberFormat="0" applyBorder="0" applyProtection="0">
      <alignment horizontal="left" wrapText="1"/>
    </xf>
    <xf numFmtId="0" fontId="78" fillId="43" borderId="62" applyNumberFormat="0" applyBorder="0" applyProtection="0">
      <alignment horizontal="left" wrapText="1"/>
    </xf>
    <xf numFmtId="0" fontId="78" fillId="43" borderId="62" applyNumberFormat="0" applyBorder="0" applyProtection="0">
      <alignment horizontal="left" wrapText="1"/>
    </xf>
    <xf numFmtId="170" fontId="18" fillId="0" borderId="0" applyNumberFormat="0" applyFill="0" applyBorder="0">
      <alignment horizontal="left" vertical="center" wrapText="1"/>
    </xf>
    <xf numFmtId="170" fontId="15" fillId="0" borderId="0" applyNumberFormat="0" applyFill="0" applyBorder="0">
      <alignment horizontal="left" vertical="center" wrapText="1" indent="1"/>
    </xf>
    <xf numFmtId="170" fontId="44" fillId="0" borderId="63" applyNumberFormat="0" applyFont="0" applyFill="0" applyAlignment="0" applyProtection="0"/>
    <xf numFmtId="0" fontId="44" fillId="0" borderId="63" applyNumberFormat="0" applyFont="0" applyFill="0" applyAlignment="0" applyProtection="0"/>
    <xf numFmtId="0" fontId="44" fillId="0" borderId="63" applyNumberFormat="0" applyFont="0" applyFill="0" applyAlignment="0" applyProtection="0"/>
    <xf numFmtId="0" fontId="44" fillId="0" borderId="63" applyNumberFormat="0" applyFont="0" applyFill="0" applyAlignment="0" applyProtection="0"/>
    <xf numFmtId="0" fontId="44" fillId="0" borderId="63" applyNumberFormat="0" applyFont="0" applyFill="0" applyAlignment="0" applyProtection="0"/>
    <xf numFmtId="0" fontId="44" fillId="0" borderId="63" applyNumberFormat="0" applyFont="0" applyFill="0" applyAlignment="0" applyProtection="0"/>
    <xf numFmtId="0" fontId="44" fillId="0" borderId="63" applyNumberFormat="0" applyFont="0" applyFill="0" applyAlignment="0" applyProtection="0"/>
    <xf numFmtId="0" fontId="14" fillId="0" borderId="0"/>
    <xf numFmtId="170" fontId="168" fillId="77" borderId="0">
      <alignment wrapText="1"/>
    </xf>
    <xf numFmtId="0" fontId="169" fillId="0" borderId="0" applyNumberFormat="0" applyFill="0" applyBorder="0" applyProtection="0">
      <alignment horizontal="left" vertical="center"/>
    </xf>
    <xf numFmtId="0" fontId="169" fillId="0" borderId="0" applyNumberFormat="0" applyFill="0" applyBorder="0" applyProtection="0">
      <alignment horizontal="left" vertical="center"/>
    </xf>
    <xf numFmtId="0" fontId="169" fillId="0" borderId="0" applyNumberFormat="0" applyFill="0" applyBorder="0" applyProtection="0">
      <alignment horizontal="left" vertical="center"/>
    </xf>
    <xf numFmtId="0" fontId="169" fillId="0" borderId="0" applyNumberFormat="0" applyFill="0" applyBorder="0" applyProtection="0">
      <alignment horizontal="left" vertical="center"/>
    </xf>
    <xf numFmtId="0" fontId="169" fillId="0" borderId="0" applyNumberFormat="0" applyFill="0" applyBorder="0" applyProtection="0">
      <alignment horizontal="left" vertical="center"/>
    </xf>
    <xf numFmtId="0" fontId="169" fillId="0" borderId="0" applyNumberFormat="0" applyFill="0" applyBorder="0" applyProtection="0">
      <alignment horizontal="left" vertical="center"/>
    </xf>
    <xf numFmtId="0" fontId="170" fillId="77" borderId="0"/>
    <xf numFmtId="0" fontId="170" fillId="77" borderId="0">
      <alignment wrapText="1"/>
    </xf>
    <xf numFmtId="170" fontId="93" fillId="65" borderId="6" applyNumberFormat="0" applyFont="0" applyBorder="0" applyAlignment="0" applyProtection="0"/>
    <xf numFmtId="170" fontId="167" fillId="1" borderId="4" applyNumberFormat="0" applyFont="0" applyAlignment="0">
      <alignment horizontal="center"/>
    </xf>
    <xf numFmtId="0" fontId="171" fillId="27" borderId="64"/>
    <xf numFmtId="170" fontId="88" fillId="46" borderId="0">
      <alignment horizontal="right" vertical="center"/>
    </xf>
    <xf numFmtId="0" fontId="29" fillId="0" borderId="0" applyFill="0" applyBorder="0" applyProtection="0">
      <alignment horizontal="centerContinuous" vertical="top"/>
    </xf>
    <xf numFmtId="236" fontId="172" fillId="0" borderId="0" applyNumberFormat="0" applyFont="0" applyBorder="0">
      <alignment horizontal="left"/>
    </xf>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70" fontId="173" fillId="0" borderId="0" applyNumberFormat="0">
      <alignment horizontal="left"/>
    </xf>
    <xf numFmtId="298" fontId="29" fillId="0" borderId="0" applyFont="0" applyFill="0" applyBorder="0" applyAlignment="0" applyProtection="0"/>
    <xf numFmtId="299" fontId="44" fillId="0" borderId="0" applyFont="0" applyFill="0" applyBorder="0" applyAlignment="0" applyProtection="0"/>
    <xf numFmtId="299" fontId="44" fillId="0" borderId="0" applyFont="0" applyFill="0" applyBorder="0" applyAlignment="0" applyProtection="0"/>
    <xf numFmtId="299" fontId="44" fillId="0" borderId="0" applyFont="0" applyFill="0" applyBorder="0" applyAlignment="0" applyProtection="0"/>
    <xf numFmtId="299" fontId="44" fillId="0" borderId="0" applyFont="0" applyFill="0" applyBorder="0" applyAlignment="0" applyProtection="0"/>
    <xf numFmtId="299" fontId="44" fillId="0" borderId="0" applyFont="0" applyFill="0" applyBorder="0" applyAlignment="0" applyProtection="0"/>
    <xf numFmtId="299" fontId="44" fillId="0" borderId="0" applyFont="0" applyFill="0" applyBorder="0" applyAlignment="0" applyProtection="0"/>
    <xf numFmtId="0" fontId="23" fillId="0" borderId="65" applyNumberFormat="0" applyFill="0" applyBorder="0" applyAlignment="0" applyProtection="0">
      <alignment horizontal="left" vertical="center" wrapText="1"/>
    </xf>
    <xf numFmtId="3" fontId="20" fillId="0" borderId="0"/>
    <xf numFmtId="1" fontId="174" fillId="0" borderId="0">
      <alignment vertical="center"/>
    </xf>
    <xf numFmtId="170" fontId="175" fillId="0" borderId="0" applyNumberFormat="0" applyFill="0" applyBorder="0" applyAlignment="0">
      <alignment horizontal="center"/>
    </xf>
    <xf numFmtId="170" fontId="56" fillId="0" borderId="0"/>
    <xf numFmtId="170" fontId="29" fillId="0" borderId="0"/>
    <xf numFmtId="0" fontId="29" fillId="63" borderId="66"/>
    <xf numFmtId="170" fontId="176" fillId="0" borderId="66">
      <alignment horizontal="center"/>
    </xf>
    <xf numFmtId="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5" fontId="29" fillId="0" borderId="0"/>
    <xf numFmtId="170" fontId="43" fillId="0" borderId="0" applyNumberFormat="0" applyFont="0" applyFill="0" applyBorder="0" applyAlignment="0" applyProtection="0"/>
    <xf numFmtId="170" fontId="15" fillId="0" borderId="0">
      <alignment vertical="top"/>
    </xf>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29" fillId="0" borderId="0"/>
    <xf numFmtId="170" fontId="29" fillId="0" borderId="0"/>
    <xf numFmtId="170" fontId="29" fillId="0" borderId="0"/>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43" fillId="0" borderId="0" applyNumberFormat="0" applyFont="0" applyFill="0" applyBorder="0" applyAlignment="0" applyProtection="0"/>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15" fillId="0" borderId="0">
      <alignment vertical="top"/>
    </xf>
    <xf numFmtId="170" fontId="43" fillId="0" borderId="0" applyNumberFormat="0" applyFont="0" applyFill="0" applyBorder="0" applyAlignment="0" applyProtection="0"/>
    <xf numFmtId="170" fontId="176" fillId="0" borderId="66">
      <alignment horizontal="center"/>
    </xf>
    <xf numFmtId="170" fontId="176" fillId="0" borderId="0">
      <alignment horizontal="center" vertical="center"/>
    </xf>
    <xf numFmtId="170" fontId="177" fillId="78" borderId="0" applyNumberFormat="0" applyFill="0">
      <alignment horizontal="left" vertical="center"/>
    </xf>
    <xf numFmtId="3" fontId="178" fillId="0" borderId="0" applyNumberFormat="0" applyAlignment="0">
      <alignment horizontal="right"/>
    </xf>
    <xf numFmtId="0" fontId="179" fillId="0" borderId="0" applyNumberFormat="0" applyBorder="0" applyProtection="0">
      <alignment vertical="top"/>
    </xf>
    <xf numFmtId="0" fontId="180" fillId="0" borderId="0">
      <alignment vertical="top"/>
    </xf>
    <xf numFmtId="170" fontId="181" fillId="56" borderId="0"/>
    <xf numFmtId="0" fontId="40" fillId="0" borderId="0"/>
    <xf numFmtId="0" fontId="182" fillId="27" borderId="67"/>
    <xf numFmtId="40" fontId="183" fillId="0" borderId="0" applyBorder="0">
      <alignment horizontal="right"/>
    </xf>
    <xf numFmtId="205" fontId="184" fillId="0" borderId="68">
      <alignment vertical="center"/>
    </xf>
    <xf numFmtId="164" fontId="18" fillId="0" borderId="69" applyNumberFormat="0" applyFill="0" applyAlignment="0" applyProtection="0">
      <alignment vertical="center"/>
    </xf>
    <xf numFmtId="164" fontId="18" fillId="0" borderId="4" applyNumberFormat="0" applyFill="0" applyAlignment="0" applyProtection="0">
      <alignment vertical="center"/>
    </xf>
    <xf numFmtId="40" fontId="183" fillId="0" borderId="0" applyBorder="0">
      <alignment horizontal="right"/>
    </xf>
    <xf numFmtId="264" fontId="120" fillId="0" borderId="0"/>
    <xf numFmtId="0" fontId="185" fillId="63" borderId="6">
      <alignment horizontal="right"/>
    </xf>
    <xf numFmtId="300" fontId="20" fillId="0" borderId="0" applyFill="0" applyBorder="0" applyProtection="0"/>
    <xf numFmtId="222" fontId="186" fillId="77" borderId="0" applyProtection="0"/>
    <xf numFmtId="170" fontId="18" fillId="0" borderId="0" applyFill="0" applyBorder="0" applyProtection="0">
      <alignment horizontal="center" vertical="center"/>
    </xf>
    <xf numFmtId="164" fontId="15" fillId="0" borderId="70" applyNumberFormat="0" applyFont="0" applyFill="0" applyAlignment="0" applyProtection="0">
      <alignment vertical="center"/>
    </xf>
    <xf numFmtId="170" fontId="187" fillId="0" borderId="0" applyBorder="0" applyProtection="0">
      <alignment vertical="center"/>
    </xf>
    <xf numFmtId="257" fontId="20" fillId="0" borderId="9" applyBorder="0" applyProtection="0">
      <alignment horizontal="right" vertical="center"/>
    </xf>
    <xf numFmtId="170" fontId="188" fillId="79" borderId="0" applyBorder="0" applyProtection="0">
      <alignment horizontal="centerContinuous" vertical="center"/>
    </xf>
    <xf numFmtId="170" fontId="188" fillId="60" borderId="9" applyBorder="0" applyProtection="0">
      <alignment horizontal="centerContinuous" vertical="center"/>
    </xf>
    <xf numFmtId="170" fontId="29" fillId="0" borderId="0" applyBorder="0" applyProtection="0">
      <alignment vertical="center"/>
    </xf>
    <xf numFmtId="3" fontId="18" fillId="0" borderId="0" applyNumberFormat="0"/>
    <xf numFmtId="170" fontId="15" fillId="27" borderId="0" applyNumberFormat="0" applyFont="0" applyBorder="0" applyAlignment="0" applyProtection="0">
      <alignment vertical="center"/>
    </xf>
    <xf numFmtId="170" fontId="18" fillId="0" borderId="0" applyFill="0" applyBorder="0" applyProtection="0"/>
    <xf numFmtId="170" fontId="189" fillId="0" borderId="0" applyNumberFormat="0">
      <alignment horizontal="left"/>
    </xf>
    <xf numFmtId="170" fontId="190" fillId="0" borderId="0" applyFill="0" applyBorder="0" applyProtection="0">
      <alignment horizontal="left"/>
    </xf>
    <xf numFmtId="170" fontId="15" fillId="0" borderId="0" applyNumberFormat="0" applyFont="0" applyFill="0" applyAlignment="0" applyProtection="0">
      <alignment vertical="center"/>
    </xf>
    <xf numFmtId="170" fontId="99" fillId="0" borderId="67" applyFill="0" applyBorder="0" applyProtection="0">
      <alignment horizontal="left" vertical="top"/>
    </xf>
    <xf numFmtId="164" fontId="15" fillId="0" borderId="0" applyNumberFormat="0" applyFont="0" applyBorder="0" applyAlignment="0" applyProtection="0">
      <alignment vertical="center"/>
    </xf>
    <xf numFmtId="0" fontId="191" fillId="35" borderId="0" applyNumberFormat="0" applyBorder="0" applyAlignment="0" applyProtection="0">
      <alignment vertical="center"/>
    </xf>
    <xf numFmtId="0" fontId="82" fillId="60" borderId="6">
      <alignment horizontal="left" wrapText="1"/>
    </xf>
    <xf numFmtId="0" fontId="35" fillId="39" borderId="0"/>
    <xf numFmtId="170" fontId="157" fillId="40" borderId="0"/>
    <xf numFmtId="49" fontId="15" fillId="0" borderId="0" applyFont="0" applyFill="0" applyBorder="0" applyAlignment="0" applyProtection="0">
      <alignment horizontal="center" vertical="center"/>
    </xf>
    <xf numFmtId="49" fontId="54" fillId="0" borderId="0" applyFill="0" applyBorder="0" applyAlignment="0"/>
    <xf numFmtId="301" fontId="29" fillId="0" borderId="0" applyFill="0" applyBorder="0" applyAlignment="0"/>
    <xf numFmtId="264" fontId="56" fillId="0" borderId="0" applyFill="0" applyBorder="0" applyAlignment="0"/>
    <xf numFmtId="170" fontId="33" fillId="47" borderId="0"/>
    <xf numFmtId="170" fontId="20" fillId="47" borderId="0">
      <alignment horizontal="left"/>
    </xf>
    <xf numFmtId="170" fontId="20" fillId="47" borderId="0">
      <alignment horizontal="left" indent="1"/>
    </xf>
    <xf numFmtId="170" fontId="20" fillId="47" borderId="0">
      <alignment horizontal="left" vertical="center" indent="2"/>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302" fontId="20" fillId="0" borderId="0" applyFont="0" applyFill="0" applyBorder="0" applyAlignment="0" applyProtection="0"/>
    <xf numFmtId="20" fontId="161" fillId="0" borderId="71" applyFill="0" applyBorder="0">
      <alignment horizontal="center" vertical="center"/>
    </xf>
    <xf numFmtId="170" fontId="105" fillId="0" borderId="0">
      <alignment horizontal="center"/>
    </xf>
    <xf numFmtId="20" fontId="90" fillId="0" borderId="71" applyFill="0" applyBorder="0">
      <alignment horizontal="center" vertical="top"/>
      <protection locked="0"/>
    </xf>
    <xf numFmtId="20" fontId="161" fillId="0" borderId="71" applyFill="0" applyBorder="0">
      <alignment horizontal="center" vertical="center"/>
    </xf>
    <xf numFmtId="170" fontId="42" fillId="0" borderId="0" applyNumberFormat="0" applyFill="0" applyBorder="0" applyAlignment="0" applyProtection="0"/>
    <xf numFmtId="205" fontId="192" fillId="80" borderId="0" applyNumberFormat="0">
      <alignment vertical="center"/>
    </xf>
    <xf numFmtId="205" fontId="193" fillId="34" borderId="0" applyNumberFormat="0">
      <alignment vertical="center"/>
    </xf>
    <xf numFmtId="205" fontId="17" fillId="0" borderId="0" applyNumberFormat="0">
      <alignment vertical="center"/>
    </xf>
    <xf numFmtId="205" fontId="184" fillId="0" borderId="0" applyNumberFormat="0">
      <alignment vertical="center"/>
    </xf>
    <xf numFmtId="170" fontId="78" fillId="43" borderId="21" applyNumberFormat="0" applyProtection="0">
      <alignment horizontal="left" vertical="center"/>
    </xf>
    <xf numFmtId="0" fontId="78" fillId="43" borderId="21" applyNumberFormat="0" applyProtection="0">
      <alignment horizontal="left" vertical="center"/>
    </xf>
    <xf numFmtId="0" fontId="78" fillId="43" borderId="21" applyNumberFormat="0" applyProtection="0">
      <alignment horizontal="left" vertical="center"/>
    </xf>
    <xf numFmtId="0" fontId="78" fillId="43" borderId="21" applyNumberFormat="0" applyProtection="0">
      <alignment horizontal="left" vertical="center"/>
    </xf>
    <xf numFmtId="0" fontId="78" fillId="43" borderId="21" applyNumberFormat="0" applyProtection="0">
      <alignment horizontal="left" vertical="center"/>
    </xf>
    <xf numFmtId="0" fontId="78" fillId="43" borderId="21" applyNumberFormat="0" applyProtection="0">
      <alignment horizontal="left" vertical="center"/>
    </xf>
    <xf numFmtId="0" fontId="78" fillId="43" borderId="21" applyNumberFormat="0" applyProtection="0">
      <alignment horizontal="left" vertical="center"/>
    </xf>
    <xf numFmtId="3" fontId="194" fillId="0" borderId="0"/>
    <xf numFmtId="0" fontId="29" fillId="27" borderId="0" applyNumberFormat="0" applyFont="0" applyBorder="0" applyAlignment="0"/>
    <xf numFmtId="170" fontId="16" fillId="0" borderId="0">
      <alignment vertical="center"/>
    </xf>
    <xf numFmtId="170" fontId="18" fillId="0" borderId="4">
      <alignment horizontal="center" wrapText="1"/>
    </xf>
    <xf numFmtId="205" fontId="184" fillId="0" borderId="72">
      <alignment vertical="center"/>
    </xf>
    <xf numFmtId="205" fontId="184" fillId="0" borderId="73">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164" fontId="18" fillId="0" borderId="0" applyNumberFormat="0" applyFill="0" applyBorder="0" applyAlignment="0" applyProtection="0">
      <alignment vertical="center"/>
    </xf>
    <xf numFmtId="0" fontId="35" fillId="0" borderId="0"/>
    <xf numFmtId="3" fontId="18" fillId="0" borderId="9" applyNumberFormat="0"/>
    <xf numFmtId="167" fontId="29" fillId="0" borderId="74"/>
    <xf numFmtId="2" fontId="195" fillId="81" borderId="75" applyBorder="0">
      <alignment horizontal="right"/>
    </xf>
    <xf numFmtId="170" fontId="15" fillId="0" borderId="0" applyNumberFormat="0" applyFont="0" applyBorder="0" applyAlignment="0" applyProtection="0">
      <alignment vertical="center"/>
    </xf>
    <xf numFmtId="0" fontId="15" fillId="0" borderId="0" applyNumberFormat="0" applyFont="0" applyBorder="0" applyAlignment="0" applyProtection="0">
      <alignment vertical="center"/>
    </xf>
    <xf numFmtId="170" fontId="196" fillId="0" borderId="0" applyNumberFormat="0" applyFill="0" applyBorder="0" applyAlignment="0">
      <protection locked="0"/>
    </xf>
    <xf numFmtId="170" fontId="15" fillId="0" borderId="0" applyNumberFormat="0" applyFont="0" applyAlignment="0" applyProtection="0">
      <alignment vertical="center"/>
    </xf>
    <xf numFmtId="170" fontId="197" fillId="0" borderId="0">
      <alignment vertical="top"/>
    </xf>
    <xf numFmtId="0" fontId="29" fillId="0" borderId="0">
      <alignment horizontal="center"/>
    </xf>
    <xf numFmtId="0" fontId="35" fillId="39" borderId="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70" fontId="198" fillId="0" borderId="0">
      <alignment horizontal="center" vertical="center" textRotation="90" wrapText="1"/>
    </xf>
    <xf numFmtId="245" fontId="29" fillId="0" borderId="0" applyFont="0" applyFill="0" applyBorder="0" applyAlignment="0" applyProtection="0"/>
    <xf numFmtId="248" fontId="29" fillId="0" borderId="0" applyFont="0" applyFill="0" applyBorder="0" applyAlignment="0" applyProtection="0"/>
    <xf numFmtId="0" fontId="199" fillId="74" borderId="0" applyNumberFormat="0" applyBorder="0" applyAlignment="0" applyProtection="0">
      <alignment vertical="center"/>
    </xf>
    <xf numFmtId="170" fontId="44" fillId="43" borderId="0" applyNumberFormat="0" applyBorder="0" applyProtection="0">
      <alignment horizontal="left"/>
    </xf>
    <xf numFmtId="0" fontId="44" fillId="43" borderId="0" applyNumberFormat="0" applyBorder="0" applyProtection="0">
      <alignment horizontal="left"/>
    </xf>
    <xf numFmtId="0" fontId="44" fillId="43" borderId="0" applyNumberFormat="0" applyBorder="0" applyProtection="0">
      <alignment horizontal="left"/>
    </xf>
    <xf numFmtId="0" fontId="44" fillId="43" borderId="0" applyNumberFormat="0" applyBorder="0" applyProtection="0">
      <alignment horizontal="left"/>
    </xf>
    <xf numFmtId="0" fontId="44" fillId="43" borderId="0" applyNumberFormat="0" applyBorder="0" applyProtection="0">
      <alignment horizontal="left"/>
    </xf>
    <xf numFmtId="0" fontId="44" fillId="43" borderId="0" applyNumberFormat="0" applyBorder="0" applyProtection="0">
      <alignment horizontal="left"/>
    </xf>
    <xf numFmtId="0" fontId="44" fillId="43" borderId="0" applyNumberFormat="0" applyBorder="0" applyProtection="0">
      <alignment horizontal="left"/>
    </xf>
    <xf numFmtId="0" fontId="41" fillId="0" borderId="0" applyNumberFormat="0" applyFont="0" applyFill="0" applyBorder="0" applyProtection="0">
      <alignment horizontal="center" vertical="center" wrapText="1"/>
    </xf>
    <xf numFmtId="303" fontId="44" fillId="0" borderId="0"/>
    <xf numFmtId="304" fontId="20" fillId="0" borderId="9" applyBorder="0" applyProtection="0">
      <alignment horizontal="right"/>
    </xf>
    <xf numFmtId="305" fontId="35" fillId="0" borderId="0"/>
    <xf numFmtId="306" fontId="20" fillId="0" borderId="0" applyFill="0" applyProtection="0"/>
    <xf numFmtId="307" fontId="35" fillId="0" borderId="67" applyFont="0" applyFill="0" applyBorder="0" applyAlignment="0" applyProtection="0">
      <alignment vertical="top" wrapText="1"/>
    </xf>
    <xf numFmtId="208" fontId="200"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224" fontId="80" fillId="0" borderId="0" applyFont="0" applyFill="0" applyBorder="0" applyAlignment="0" applyProtection="0"/>
    <xf numFmtId="227" fontId="80" fillId="0" borderId="0" applyFont="0" applyFill="0" applyBorder="0" applyAlignment="0" applyProtection="0"/>
    <xf numFmtId="170" fontId="42" fillId="0" borderId="0" applyFont="0" applyFill="0" applyBorder="0" applyAlignment="0" applyProtection="0"/>
    <xf numFmtId="0" fontId="42" fillId="0" borderId="0" applyFont="0" applyFill="0" applyBorder="0" applyAlignment="0" applyProtection="0"/>
    <xf numFmtId="170" fontId="80" fillId="0" borderId="0"/>
    <xf numFmtId="170" fontId="80" fillId="0" borderId="0"/>
    <xf numFmtId="224" fontId="29" fillId="0" borderId="0" applyFont="0" applyFill="0" applyBorder="0" applyAlignment="0" applyProtection="0"/>
    <xf numFmtId="170" fontId="20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29" fillId="0" borderId="0"/>
    <xf numFmtId="0" fontId="29" fillId="0" borderId="0"/>
    <xf numFmtId="0" fontId="29" fillId="0" borderId="0" applyFill="0" applyBorder="0" applyAlignment="0"/>
    <xf numFmtId="0" fontId="20" fillId="38" borderId="66" applyNumberFormat="0">
      <alignment vertical="top" wrapText="1"/>
    </xf>
    <xf numFmtId="43" fontId="29" fillId="0" borderId="0" applyFont="0" applyFill="0" applyBorder="0" applyAlignment="0" applyProtection="0"/>
    <xf numFmtId="227"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7" fontId="44" fillId="0" borderId="0" applyFont="0" applyFill="0" applyBorder="0" applyAlignment="0" applyProtection="0"/>
    <xf numFmtId="0" fontId="14" fillId="0" borderId="86">
      <alignment horizontal="left" vertical="center"/>
    </xf>
    <xf numFmtId="0" fontId="14" fillId="0" borderId="86">
      <alignment horizontal="left" vertical="center"/>
    </xf>
    <xf numFmtId="0" fontId="120" fillId="0" borderId="0">
      <alignment vertical="center"/>
    </xf>
    <xf numFmtId="0" fontId="121" fillId="0" borderId="0"/>
    <xf numFmtId="10" fontId="20" fillId="35" borderId="66" applyNumberFormat="0" applyBorder="0" applyAlignment="0" applyProtection="0"/>
    <xf numFmtId="0" fontId="44" fillId="0" borderId="0" applyNumberFormat="0" applyFont="0" applyFill="0" applyBorder="0" applyProtection="0">
      <alignment horizontal="left" vertical="center"/>
    </xf>
    <xf numFmtId="309"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3"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20" fillId="83" borderId="66" applyNumberFormat="0">
      <alignment vertical="top" wrapText="1"/>
    </xf>
    <xf numFmtId="9" fontId="29" fillId="0" borderId="0" applyFont="0" applyFill="0" applyBorder="0" applyAlignment="0" applyProtection="0"/>
    <xf numFmtId="9" fontId="29" fillId="0" borderId="0" applyFont="0" applyFill="0" applyBorder="0" applyAlignment="0" applyProtection="0"/>
    <xf numFmtId="0" fontId="20" fillId="0" borderId="66" applyNumberFormat="0">
      <alignment vertical="top" wrapText="1"/>
    </xf>
    <xf numFmtId="310" fontId="56" fillId="0" borderId="0" applyFill="0" applyBorder="0">
      <alignment vertical="top"/>
    </xf>
    <xf numFmtId="311" fontId="29" fillId="0" borderId="0" applyFill="0" applyBorder="0">
      <alignment vertical="top"/>
    </xf>
    <xf numFmtId="0" fontId="163" fillId="0" borderId="21">
      <alignment horizontal="center"/>
    </xf>
    <xf numFmtId="0" fontId="56" fillId="75" borderId="0" applyNumberFormat="0" applyFont="0" applyBorder="0" applyAlignment="0" applyProtection="0"/>
    <xf numFmtId="38" fontId="29" fillId="0" borderId="0" applyFill="0" applyBorder="0">
      <alignment horizontal="center" vertical="top"/>
    </xf>
    <xf numFmtId="0" fontId="29" fillId="0" borderId="0" applyNumberFormat="0" applyFill="0" applyBorder="0" applyAlignment="0" applyProtection="0">
      <alignment horizontal="left"/>
    </xf>
    <xf numFmtId="0" fontId="176" fillId="0" borderId="66">
      <alignment horizontal="center"/>
    </xf>
    <xf numFmtId="0" fontId="50" fillId="0" borderId="0"/>
    <xf numFmtId="0" fontId="176" fillId="0" borderId="0">
      <alignment horizontal="center" vertical="center"/>
    </xf>
    <xf numFmtId="0" fontId="177" fillId="78" borderId="0" applyNumberFormat="0" applyFill="0">
      <alignment horizontal="left" vertical="center"/>
    </xf>
    <xf numFmtId="264" fontId="121" fillId="0" borderId="0"/>
    <xf numFmtId="224" fontId="29" fillId="0" borderId="0" applyFont="0" applyFill="0" applyBorder="0" applyAlignment="0" applyProtection="0"/>
    <xf numFmtId="0" fontId="208" fillId="0" borderId="0" applyNumberFormat="0" applyFont="0" applyFill="0" applyBorder="0" applyProtection="0">
      <alignment horizontal="center" vertical="center" wrapText="1"/>
    </xf>
    <xf numFmtId="0" fontId="2" fillId="0" borderId="0"/>
    <xf numFmtId="0" fontId="2" fillId="0" borderId="0"/>
    <xf numFmtId="0" fontId="1" fillId="0" borderId="0"/>
    <xf numFmtId="43" fontId="1" fillId="0" borderId="0" applyFont="0" applyFill="0" applyBorder="0" applyAlignment="0" applyProtection="0"/>
  </cellStyleXfs>
  <cellXfs count="352">
    <xf numFmtId="0" fontId="0" fillId="0" borderId="0" xfId="0">
      <alignment vertical="center"/>
    </xf>
    <xf numFmtId="0" fontId="14" fillId="0" borderId="0" xfId="5" applyAlignment="1"/>
    <xf numFmtId="0" fontId="14" fillId="0" borderId="0" xfId="5" applyAlignment="1">
      <alignment vertical="center"/>
    </xf>
    <xf numFmtId="0" fontId="17" fillId="0" borderId="0" xfId="4" applyFill="1" applyAlignment="1">
      <alignment horizontal="left"/>
    </xf>
    <xf numFmtId="0" fontId="0" fillId="0" borderId="0" xfId="0" applyAlignment="1">
      <alignment horizontal="left" vertical="center" wrapText="1" indent="1"/>
    </xf>
    <xf numFmtId="0" fontId="0" fillId="0" borderId="0" xfId="0" applyFont="1" applyAlignment="1">
      <alignment vertical="center"/>
    </xf>
    <xf numFmtId="0" fontId="15" fillId="0" borderId="0" xfId="0" applyFont="1" applyAlignment="1">
      <alignment vertical="center"/>
    </xf>
    <xf numFmtId="0" fontId="22" fillId="0" borderId="0" xfId="0" applyFont="1">
      <alignment vertical="center"/>
    </xf>
    <xf numFmtId="0" fontId="18" fillId="0" borderId="0" xfId="0" applyFont="1" applyAlignment="1">
      <alignment horizontal="left" vertical="center" wrapText="1" indent="1"/>
    </xf>
    <xf numFmtId="0" fontId="18" fillId="0" borderId="0" xfId="0" applyFont="1" applyAlignment="1">
      <alignment vertical="center"/>
    </xf>
    <xf numFmtId="0" fontId="18" fillId="0" borderId="0" xfId="0" applyFont="1">
      <alignment vertical="center"/>
    </xf>
    <xf numFmtId="0" fontId="0" fillId="0" borderId="0" xfId="0" applyFill="1">
      <alignment vertical="center"/>
    </xf>
    <xf numFmtId="0" fontId="19" fillId="0" borderId="0" xfId="0" applyFont="1" applyAlignment="1"/>
    <xf numFmtId="0" fontId="19" fillId="0" borderId="0" xfId="0" applyFont="1" applyAlignment="1">
      <alignment horizontal="right"/>
    </xf>
    <xf numFmtId="0" fontId="0" fillId="0" borderId="0" xfId="0" applyFont="1" applyAlignment="1">
      <alignment vertical="center" wrapText="1"/>
    </xf>
    <xf numFmtId="0" fontId="0" fillId="0" borderId="6" xfId="0" applyFont="1" applyBorder="1" applyAlignment="1">
      <alignment vertical="top"/>
    </xf>
    <xf numFmtId="0" fontId="0" fillId="0" borderId="6" xfId="0" applyFont="1" applyBorder="1" applyAlignment="1">
      <alignment vertical="top" wrapText="1"/>
    </xf>
    <xf numFmtId="0" fontId="0" fillId="0" borderId="6" xfId="0" applyFont="1" applyBorder="1" applyAlignment="1">
      <alignment vertical="center"/>
    </xf>
    <xf numFmtId="0" fontId="0" fillId="0" borderId="6" xfId="0" applyFont="1" applyBorder="1" applyAlignment="1">
      <alignment vertical="center" wrapText="1"/>
    </xf>
    <xf numFmtId="0" fontId="0" fillId="0" borderId="0" xfId="0">
      <alignment vertical="center"/>
    </xf>
    <xf numFmtId="0" fontId="0" fillId="0" borderId="0" xfId="0" applyBorder="1">
      <alignment vertical="center"/>
    </xf>
    <xf numFmtId="0" fontId="15" fillId="0" borderId="0" xfId="15">
      <alignment vertical="center"/>
    </xf>
    <xf numFmtId="0" fontId="0" fillId="0" borderId="0" xfId="0" applyAlignment="1">
      <alignment horizontal="right" vertical="center"/>
    </xf>
    <xf numFmtId="0" fontId="19" fillId="0" borderId="0" xfId="0" applyFont="1" applyAlignment="1">
      <alignment horizontal="right" vertical="center"/>
    </xf>
    <xf numFmtId="0" fontId="0" fillId="0" borderId="0" xfId="0" applyFill="1" applyBorder="1">
      <alignment vertical="center"/>
    </xf>
    <xf numFmtId="0" fontId="38" fillId="0" borderId="0" xfId="0" applyFont="1" applyAlignment="1">
      <alignment horizontal="right" vertical="center"/>
    </xf>
    <xf numFmtId="0" fontId="29" fillId="0" borderId="0" xfId="0" applyFont="1" applyAlignment="1">
      <alignment horizontal="right" vertical="center"/>
    </xf>
    <xf numFmtId="0" fontId="39" fillId="0" borderId="0" xfId="0" applyFont="1" applyAlignment="1">
      <alignment horizontal="right" vertical="center"/>
    </xf>
    <xf numFmtId="0" fontId="0" fillId="0" borderId="0" xfId="0" applyAlignment="1">
      <alignment horizontal="right" vertical="center" wrapText="1"/>
    </xf>
    <xf numFmtId="9" fontId="15" fillId="0" borderId="0" xfId="85" applyNumberFormat="1" applyBorder="1" applyAlignment="1" applyProtection="1">
      <alignment horizontal="center" vertical="center"/>
      <protection locked="0"/>
    </xf>
    <xf numFmtId="0" fontId="18" fillId="0" borderId="0" xfId="0" applyFont="1" applyAlignment="1">
      <alignment horizontal="right" vertical="center"/>
    </xf>
    <xf numFmtId="9" fontId="15" fillId="0" borderId="1" xfId="17" applyNumberFormat="1">
      <alignment vertical="center"/>
      <protection locked="0"/>
    </xf>
    <xf numFmtId="7" fontId="18" fillId="0" borderId="0" xfId="0" applyNumberFormat="1" applyFont="1" applyAlignment="1">
      <alignment horizontal="right" vertical="center"/>
    </xf>
    <xf numFmtId="0" fontId="35" fillId="0" borderId="0" xfId="0" applyFont="1" applyAlignment="1">
      <alignment horizontal="right" vertical="center"/>
    </xf>
    <xf numFmtId="10" fontId="15" fillId="0" borderId="1" xfId="17" applyNumberFormat="1" applyFont="1" applyAlignment="1">
      <alignment horizontal="center" vertical="center"/>
      <protection locked="0"/>
    </xf>
    <xf numFmtId="167" fontId="15" fillId="0" borderId="1" xfId="17" applyNumberFormat="1" applyFont="1" applyAlignment="1">
      <alignment horizontal="center" vertical="center" wrapText="1" shrinkToFit="1"/>
      <protection locked="0"/>
    </xf>
    <xf numFmtId="0" fontId="14" fillId="0" borderId="0" xfId="0" applyFont="1" applyAlignment="1">
      <alignment horizontal="right" vertical="center"/>
    </xf>
    <xf numFmtId="0" fontId="0" fillId="0" borderId="0" xfId="0" applyFill="1" applyBorder="1" applyAlignment="1">
      <alignment horizontal="right" vertical="center"/>
    </xf>
    <xf numFmtId="168" fontId="0" fillId="0" borderId="0" xfId="0" applyNumberFormat="1">
      <alignment vertical="center"/>
    </xf>
    <xf numFmtId="168" fontId="0" fillId="82" borderId="77" xfId="0" applyNumberFormat="1" applyFill="1" applyBorder="1" applyAlignment="1">
      <alignment horizontal="center" vertical="center"/>
    </xf>
    <xf numFmtId="0" fontId="202" fillId="0" borderId="0" xfId="0" applyFont="1" applyAlignment="1">
      <alignment horizontal="right" vertical="center"/>
    </xf>
    <xf numFmtId="0" fontId="0" fillId="0" borderId="1" xfId="0" applyBorder="1" applyAlignment="1">
      <alignment horizontal="right" vertical="center"/>
    </xf>
    <xf numFmtId="0" fontId="18" fillId="0" borderId="0" xfId="0" applyFont="1" applyBorder="1" applyAlignment="1">
      <alignment horizontal="right" vertical="center"/>
    </xf>
    <xf numFmtId="0" fontId="0" fillId="0" borderId="0" xfId="0" applyBorder="1" applyAlignment="1">
      <alignment horizontal="right" vertical="center"/>
    </xf>
    <xf numFmtId="0" fontId="18" fillId="0" borderId="81" xfId="0" applyFont="1" applyBorder="1" applyAlignment="1">
      <alignment horizontal="right" vertical="center"/>
    </xf>
    <xf numFmtId="0" fontId="18" fillId="0" borderId="81" xfId="0" applyFont="1" applyBorder="1" applyAlignment="1">
      <alignment horizontal="center" vertical="center"/>
    </xf>
    <xf numFmtId="0" fontId="18" fillId="0" borderId="0" xfId="0" applyFont="1" applyFill="1" applyBorder="1" applyAlignment="1">
      <alignment horizontal="right" vertical="center"/>
    </xf>
    <xf numFmtId="0" fontId="0" fillId="0" borderId="79" xfId="0" applyBorder="1" applyAlignment="1">
      <alignment horizontal="center" vertical="center"/>
    </xf>
    <xf numFmtId="0" fontId="0" fillId="82" borderId="4" xfId="0" applyFill="1" applyBorder="1" applyAlignment="1">
      <alignment horizontal="center" vertical="center"/>
    </xf>
    <xf numFmtId="308" fontId="0" fillId="0" borderId="0" xfId="0" applyNumberFormat="1">
      <alignment vertical="center"/>
    </xf>
    <xf numFmtId="0" fontId="18" fillId="32" borderId="1" xfId="0" applyFont="1" applyFill="1" applyBorder="1" applyAlignment="1">
      <alignment horizontal="right" vertical="center"/>
    </xf>
    <xf numFmtId="3" fontId="0" fillId="0" borderId="1" xfId="0" applyNumberFormat="1" applyBorder="1">
      <alignment vertical="center"/>
    </xf>
    <xf numFmtId="308" fontId="0" fillId="0" borderId="1" xfId="0" applyNumberFormat="1" applyBorder="1">
      <alignment vertical="center"/>
    </xf>
    <xf numFmtId="0" fontId="18" fillId="0" borderId="1" xfId="0" applyFont="1" applyBorder="1" applyAlignment="1">
      <alignment horizontal="center" vertical="center" wrapText="1"/>
    </xf>
    <xf numFmtId="0" fontId="18" fillId="0" borderId="82" xfId="0" applyFont="1" applyBorder="1" applyAlignment="1">
      <alignment horizontal="center" vertical="center" wrapText="1"/>
    </xf>
    <xf numFmtId="308" fontId="0" fillId="0" borderId="82" xfId="0" applyNumberFormat="1" applyBorder="1">
      <alignment vertical="center"/>
    </xf>
    <xf numFmtId="0" fontId="18" fillId="32" borderId="78" xfId="0" applyFont="1" applyFill="1" applyBorder="1" applyAlignment="1">
      <alignment vertical="center" wrapText="1"/>
    </xf>
    <xf numFmtId="3" fontId="0" fillId="32" borderId="78" xfId="0" applyNumberFormat="1" applyFill="1" applyBorder="1">
      <alignment vertical="center"/>
    </xf>
    <xf numFmtId="0" fontId="15" fillId="32" borderId="1" xfId="17" applyFill="1" applyBorder="1" applyAlignment="1">
      <alignment horizontal="center" vertical="center"/>
      <protection locked="0"/>
    </xf>
    <xf numFmtId="0" fontId="0" fillId="32" borderId="1" xfId="17" applyFont="1" applyFill="1" applyBorder="1" applyAlignment="1">
      <alignment horizontal="center" vertical="center"/>
      <protection locked="0"/>
    </xf>
    <xf numFmtId="308" fontId="204" fillId="0" borderId="0" xfId="0" applyNumberFormat="1" applyFont="1">
      <alignment vertical="center"/>
    </xf>
    <xf numFmtId="0" fontId="204" fillId="0" borderId="0" xfId="0" applyFont="1">
      <alignment vertical="center"/>
    </xf>
    <xf numFmtId="168" fontId="0" fillId="4" borderId="0" xfId="19" applyNumberFormat="1" applyFont="1" applyAlignment="1">
      <alignment horizontal="center" vertical="center"/>
    </xf>
    <xf numFmtId="0" fontId="39" fillId="0" borderId="0" xfId="0" applyFont="1">
      <alignment vertical="center"/>
    </xf>
    <xf numFmtId="3" fontId="15" fillId="32" borderId="1" xfId="17" applyNumberFormat="1" applyFill="1" applyBorder="1" applyAlignment="1">
      <alignment horizontal="center" vertical="center"/>
      <protection locked="0"/>
    </xf>
    <xf numFmtId="0" fontId="39" fillId="0" borderId="0" xfId="0" applyFont="1" applyAlignment="1">
      <alignment vertical="center"/>
    </xf>
    <xf numFmtId="3" fontId="0" fillId="0" borderId="2" xfId="0" applyNumberFormat="1" applyBorder="1">
      <alignment vertical="center"/>
    </xf>
    <xf numFmtId="0" fontId="15" fillId="0" borderId="1" xfId="17" applyBorder="1" applyAlignment="1">
      <alignment horizontal="center" vertical="center"/>
      <protection locked="0"/>
    </xf>
    <xf numFmtId="0" fontId="15" fillId="0" borderId="83" xfId="17" applyBorder="1" applyAlignment="1">
      <alignment horizontal="center" vertical="center"/>
      <protection locked="0"/>
    </xf>
    <xf numFmtId="0" fontId="15" fillId="0" borderId="84" xfId="17" applyBorder="1" applyAlignment="1">
      <alignment horizontal="center" vertical="center"/>
      <protection locked="0"/>
    </xf>
    <xf numFmtId="0" fontId="0" fillId="0" borderId="0" xfId="0" applyFont="1" applyBorder="1" applyAlignment="1">
      <alignment horizontal="right" vertical="center"/>
    </xf>
    <xf numFmtId="0" fontId="0" fillId="0" borderId="66" xfId="0" applyFont="1" applyBorder="1" applyAlignment="1">
      <alignment vertical="top"/>
    </xf>
    <xf numFmtId="0" fontId="0" fillId="0" borderId="66" xfId="0" applyFont="1" applyBorder="1" applyAlignment="1">
      <alignment vertical="top" wrapText="1"/>
    </xf>
    <xf numFmtId="0" fontId="18" fillId="0" borderId="66" xfId="0" applyFont="1" applyBorder="1" applyAlignment="1">
      <alignment horizontal="right" vertical="center"/>
    </xf>
    <xf numFmtId="0" fontId="0" fillId="0" borderId="78" xfId="0" applyBorder="1" applyAlignment="1">
      <alignment horizontal="center" vertical="center"/>
    </xf>
    <xf numFmtId="0" fontId="0" fillId="0" borderId="80" xfId="0" applyBorder="1" applyAlignment="1">
      <alignment horizontal="center" vertical="center"/>
    </xf>
    <xf numFmtId="0" fontId="18" fillId="0" borderId="1" xfId="0" applyFont="1" applyBorder="1" applyAlignment="1">
      <alignment horizontal="center" vertical="center"/>
    </xf>
    <xf numFmtId="0" fontId="205" fillId="0" borderId="0" xfId="0" applyFont="1" applyAlignment="1">
      <alignment horizontal="center" vertical="center"/>
    </xf>
    <xf numFmtId="0" fontId="149" fillId="0" borderId="0" xfId="0" applyFont="1">
      <alignment vertical="center"/>
    </xf>
    <xf numFmtId="168" fontId="18" fillId="4" borderId="9" xfId="19" applyNumberFormat="1" applyFont="1" applyBorder="1" applyAlignment="1">
      <alignment horizontal="center" vertical="center"/>
    </xf>
    <xf numFmtId="0" fontId="205" fillId="0" borderId="0" xfId="0" applyFont="1">
      <alignment vertical="center"/>
    </xf>
    <xf numFmtId="0" fontId="205" fillId="0" borderId="0" xfId="0" applyFont="1" applyAlignment="1">
      <alignment horizontal="right" vertical="center"/>
    </xf>
    <xf numFmtId="3" fontId="0" fillId="4" borderId="2" xfId="19" applyNumberFormat="1" applyFont="1" applyBorder="1">
      <alignment vertical="center"/>
    </xf>
    <xf numFmtId="0" fontId="15" fillId="4" borderId="1" xfId="19" applyFont="1" applyBorder="1" applyAlignment="1">
      <alignment horizontal="right" vertical="center"/>
    </xf>
    <xf numFmtId="308" fontId="15" fillId="4" borderId="1" xfId="19" applyNumberFormat="1" applyFont="1" applyBorder="1">
      <alignment vertical="center"/>
    </xf>
    <xf numFmtId="0" fontId="0" fillId="4" borderId="1" xfId="19" applyFont="1" applyBorder="1" applyAlignment="1">
      <alignment horizontal="right" vertical="center"/>
    </xf>
    <xf numFmtId="308" fontId="0" fillId="4" borderId="1" xfId="19" applyNumberFormat="1" applyFont="1" applyBorder="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5" fillId="0" borderId="1" xfId="17">
      <alignment vertical="center"/>
      <protection locked="0"/>
    </xf>
    <xf numFmtId="0" fontId="15" fillId="0" borderId="81" xfId="17" applyBorder="1">
      <alignment vertical="center"/>
      <protection locked="0"/>
    </xf>
    <xf numFmtId="0" fontId="18" fillId="0" borderId="0" xfId="0" applyFont="1" applyAlignment="1">
      <alignment horizontal="left" vertical="center"/>
    </xf>
    <xf numFmtId="0" fontId="0" fillId="0" borderId="0" xfId="0" applyFont="1" applyAlignment="1">
      <alignment horizontal="left" vertical="center"/>
    </xf>
    <xf numFmtId="0" fontId="18" fillId="2" borderId="66" xfId="7" applyFont="1" applyBorder="1" applyAlignment="1">
      <alignment horizontal="center" vertical="center"/>
    </xf>
    <xf numFmtId="0" fontId="0" fillId="0" borderId="85" xfId="0" applyBorder="1">
      <alignment vertical="center"/>
    </xf>
    <xf numFmtId="7" fontId="0" fillId="0" borderId="0" xfId="0" applyNumberFormat="1" applyFont="1" applyAlignment="1">
      <alignment horizontal="left" vertical="center"/>
    </xf>
    <xf numFmtId="0" fontId="0" fillId="0" borderId="0" xfId="0" applyFont="1" applyFill="1" applyBorder="1" applyAlignment="1">
      <alignment horizontal="left" vertical="center"/>
    </xf>
    <xf numFmtId="10" fontId="15" fillId="0" borderId="81" xfId="17" applyNumberFormat="1" applyBorder="1" applyAlignment="1">
      <alignment horizontal="center" vertical="center"/>
      <protection locked="0"/>
    </xf>
    <xf numFmtId="10" fontId="0" fillId="0" borderId="1" xfId="0" applyNumberFormat="1" applyFill="1" applyBorder="1" applyAlignment="1">
      <alignment horizontal="center" vertical="center"/>
    </xf>
    <xf numFmtId="10" fontId="15" fillId="0" borderId="1" xfId="17" applyNumberFormat="1" applyAlignment="1">
      <alignment horizontal="center" vertical="center"/>
      <protection locked="0"/>
    </xf>
    <xf numFmtId="0" fontId="15" fillId="0" borderId="1" xfId="17" applyAlignment="1">
      <alignment horizontal="center" vertical="center"/>
      <protection locked="0"/>
    </xf>
    <xf numFmtId="0" fontId="18" fillId="4" borderId="0" xfId="19" applyFont="1" applyAlignment="1" applyProtection="1">
      <alignment horizontal="center" vertical="center"/>
      <protection locked="0"/>
    </xf>
    <xf numFmtId="0" fontId="18" fillId="4" borderId="0" xfId="19" applyFont="1" applyBorder="1" applyAlignment="1">
      <alignment horizontal="center" vertical="center"/>
    </xf>
    <xf numFmtId="0" fontId="0" fillId="0" borderId="1" xfId="17" applyFont="1" applyAlignment="1">
      <alignment horizontal="center" vertical="center" wrapText="1"/>
      <protection locked="0"/>
    </xf>
    <xf numFmtId="3" fontId="15" fillId="0" borderId="1" xfId="17" applyNumberFormat="1" applyAlignment="1">
      <alignment horizontal="center" vertical="center"/>
      <protection locked="0"/>
    </xf>
    <xf numFmtId="0" fontId="207" fillId="0" borderId="0" xfId="0" applyFont="1">
      <alignment vertical="center"/>
    </xf>
    <xf numFmtId="0" fontId="0" fillId="0" borderId="1" xfId="17" applyFont="1" applyAlignment="1">
      <alignment horizontal="center" vertical="center"/>
      <protection locked="0"/>
    </xf>
    <xf numFmtId="0" fontId="0" fillId="0" borderId="1" xfId="17" applyFont="1" applyAlignment="1">
      <alignment horizontal="right" vertical="center"/>
      <protection locked="0"/>
    </xf>
    <xf numFmtId="0" fontId="206" fillId="0" borderId="1" xfId="17" applyFont="1" applyAlignment="1">
      <alignment horizontal="right" vertical="center"/>
      <protection locked="0"/>
    </xf>
    <xf numFmtId="1" fontId="15" fillId="0" borderId="1" xfId="17" applyNumberFormat="1" applyAlignment="1">
      <alignment horizontal="center" vertical="center"/>
      <protection locked="0"/>
    </xf>
    <xf numFmtId="169" fontId="0" fillId="0" borderId="81" xfId="0" applyNumberFormat="1" applyBorder="1">
      <alignment vertical="center"/>
    </xf>
    <xf numFmtId="1" fontId="15" fillId="0" borderId="81" xfId="17" applyNumberFormat="1" applyBorder="1" applyAlignment="1">
      <alignment horizontal="center" vertical="center"/>
      <protection locked="0"/>
    </xf>
    <xf numFmtId="0" fontId="0" fillId="82" borderId="86" xfId="0" applyFill="1" applyBorder="1" applyAlignment="1">
      <alignment horizontal="center" vertical="center"/>
    </xf>
    <xf numFmtId="4" fontId="0" fillId="0" borderId="0" xfId="0" applyNumberFormat="1" applyBorder="1" applyAlignment="1">
      <alignment horizontal="center" vertical="center"/>
    </xf>
    <xf numFmtId="0" fontId="0" fillId="0" borderId="0" xfId="0" applyBorder="1" applyAlignment="1">
      <alignment horizontal="center" vertical="center"/>
    </xf>
    <xf numFmtId="168" fontId="0" fillId="0" borderId="0" xfId="0" applyNumberFormat="1" applyBorder="1" applyAlignment="1">
      <alignment horizontal="center" vertical="center"/>
    </xf>
    <xf numFmtId="0" fontId="18" fillId="29" borderId="79" xfId="0" applyFont="1" applyFill="1" applyBorder="1" applyAlignment="1">
      <alignment horizontal="right" vertical="center"/>
    </xf>
    <xf numFmtId="0" fontId="0" fillId="29" borderId="79" xfId="0" applyFont="1" applyFill="1" applyBorder="1" applyAlignment="1">
      <alignment horizontal="right" vertical="center"/>
    </xf>
    <xf numFmtId="4" fontId="0" fillId="29" borderId="79" xfId="0" applyNumberFormat="1" applyFill="1" applyBorder="1" applyAlignment="1">
      <alignment horizontal="center" vertical="center"/>
    </xf>
    <xf numFmtId="168" fontId="0" fillId="29" borderId="81" xfId="0" applyNumberFormat="1" applyFill="1" applyBorder="1" applyAlignment="1">
      <alignment horizontal="center" vertical="center"/>
    </xf>
    <xf numFmtId="3" fontId="0" fillId="0" borderId="0" xfId="0" applyNumberFormat="1" applyBorder="1">
      <alignment vertical="center"/>
    </xf>
    <xf numFmtId="308" fontId="0" fillId="0" borderId="0" xfId="0" applyNumberFormat="1" applyBorder="1">
      <alignment vertical="center"/>
    </xf>
    <xf numFmtId="0" fontId="0" fillId="0" borderId="80" xfId="0" applyBorder="1" applyAlignment="1">
      <alignment horizontal="right" vertical="center"/>
    </xf>
    <xf numFmtId="0" fontId="0" fillId="0" borderId="87" xfId="0" applyBorder="1">
      <alignment vertical="center"/>
    </xf>
    <xf numFmtId="0" fontId="14" fillId="0" borderId="0" xfId="0" applyFont="1" applyBorder="1" applyAlignment="1">
      <alignment horizontal="center" vertical="center" wrapText="1"/>
    </xf>
    <xf numFmtId="0" fontId="0" fillId="82" borderId="86" xfId="0" applyFill="1" applyBorder="1">
      <alignment vertical="center"/>
    </xf>
    <xf numFmtId="0" fontId="0" fillId="29" borderId="79" xfId="0" applyFont="1" applyFill="1" applyBorder="1" applyAlignment="1">
      <alignment horizontal="right" vertical="center" wrapText="1"/>
    </xf>
    <xf numFmtId="2" fontId="0" fillId="4" borderId="0" xfId="19" applyNumberFormat="1" applyFont="1">
      <alignment vertical="center"/>
    </xf>
    <xf numFmtId="308" fontId="0" fillId="4" borderId="0" xfId="19" applyNumberFormat="1" applyFont="1">
      <alignment vertical="center"/>
    </xf>
    <xf numFmtId="0" fontId="15" fillId="82" borderId="81" xfId="17" applyFill="1" applyBorder="1" applyAlignment="1">
      <alignment horizontal="center" vertical="center"/>
      <protection locked="0"/>
    </xf>
    <xf numFmtId="0" fontId="18" fillId="29" borderId="90" xfId="0" applyFont="1" applyFill="1" applyBorder="1" applyAlignment="1">
      <alignment horizontal="right" vertical="center"/>
    </xf>
    <xf numFmtId="0" fontId="0" fillId="29" borderId="91" xfId="0" applyFont="1" applyFill="1" applyBorder="1" applyAlignment="1">
      <alignment horizontal="right" vertical="center"/>
    </xf>
    <xf numFmtId="0" fontId="0" fillId="29" borderId="90" xfId="0" applyFont="1" applyFill="1" applyBorder="1" applyAlignment="1">
      <alignment horizontal="right" vertical="center" wrapText="1"/>
    </xf>
    <xf numFmtId="4" fontId="0" fillId="29" borderId="90" xfId="0" applyNumberFormat="1" applyFill="1" applyBorder="1" applyAlignment="1">
      <alignment horizontal="center" vertical="center"/>
    </xf>
    <xf numFmtId="0" fontId="203" fillId="0" borderId="0" xfId="0" applyFont="1">
      <alignment vertical="center"/>
    </xf>
    <xf numFmtId="0" fontId="18" fillId="0" borderId="0" xfId="0" applyFont="1" applyFill="1" applyBorder="1" applyAlignment="1">
      <alignment horizontal="center" vertical="center"/>
    </xf>
    <xf numFmtId="308" fontId="203" fillId="0" borderId="0" xfId="19" applyNumberFormat="1" applyFont="1" applyFill="1" applyBorder="1" applyAlignment="1">
      <alignment horizontal="center" vertical="center"/>
    </xf>
    <xf numFmtId="10" fontId="15" fillId="4" borderId="67" xfId="19" applyNumberFormat="1" applyBorder="1" applyAlignment="1" applyProtection="1">
      <alignment horizontal="center" vertical="center"/>
      <protection locked="0"/>
    </xf>
    <xf numFmtId="0" fontId="15" fillId="4" borderId="67" xfId="19" applyBorder="1" applyAlignment="1" applyProtection="1">
      <alignment horizontal="center" vertical="center"/>
      <protection locked="0"/>
    </xf>
    <xf numFmtId="0" fontId="203" fillId="0" borderId="0" xfId="0" applyFont="1" applyAlignment="1">
      <alignment vertical="center"/>
    </xf>
    <xf numFmtId="0" fontId="0" fillId="0" borderId="0" xfId="0" applyBorder="1" applyAlignment="1">
      <alignment horizontal="center" vertical="center" wrapText="1"/>
    </xf>
    <xf numFmtId="0" fontId="0" fillId="0" borderId="93" xfId="0" applyBorder="1" applyAlignment="1">
      <alignment horizontal="center" vertical="center" wrapText="1"/>
    </xf>
    <xf numFmtId="0" fontId="0" fillId="0" borderId="95" xfId="0" applyBorder="1">
      <alignment vertical="center"/>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9" xfId="0" applyBorder="1" applyAlignment="1">
      <alignment horizontal="right" vertical="center"/>
    </xf>
    <xf numFmtId="3" fontId="0" fillId="0" borderId="79" xfId="0" applyNumberFormat="1" applyBorder="1">
      <alignment vertical="center"/>
    </xf>
    <xf numFmtId="308" fontId="0" fillId="0" borderId="79" xfId="0" applyNumberFormat="1" applyBorder="1">
      <alignment vertical="center"/>
    </xf>
    <xf numFmtId="3" fontId="0" fillId="0" borderId="79" xfId="0" applyNumberFormat="1" applyFill="1" applyBorder="1">
      <alignment vertical="center"/>
    </xf>
    <xf numFmtId="3" fontId="0" fillId="0" borderId="0" xfId="0" applyNumberFormat="1" applyFill="1" applyBorder="1">
      <alignment vertical="center"/>
    </xf>
    <xf numFmtId="0" fontId="0" fillId="0" borderId="94" xfId="0" applyBorder="1" applyAlignment="1">
      <alignment horizontal="center" vertical="center" wrapText="1"/>
    </xf>
    <xf numFmtId="0" fontId="209" fillId="0" borderId="0" xfId="0" applyFont="1" applyAlignment="1">
      <alignment horizontal="right" vertical="center"/>
    </xf>
    <xf numFmtId="0" fontId="15" fillId="0" borderId="1" xfId="17" applyAlignment="1">
      <alignment vertical="center"/>
      <protection locked="0"/>
    </xf>
    <xf numFmtId="0" fontId="210" fillId="0" borderId="0" xfId="0" applyFont="1" applyAlignment="1">
      <alignment horizontal="right" vertical="center"/>
    </xf>
    <xf numFmtId="0" fontId="210" fillId="0" borderId="0" xfId="0" applyFont="1" applyAlignment="1">
      <alignment horizontal="center" vertical="center"/>
    </xf>
    <xf numFmtId="0" fontId="15" fillId="32" borderId="1" xfId="17" applyFill="1">
      <alignment vertical="center"/>
      <protection locked="0"/>
    </xf>
    <xf numFmtId="168" fontId="15" fillId="0" borderId="81" xfId="19" applyNumberFormat="1" applyFont="1" applyFill="1" applyBorder="1">
      <alignment vertical="center"/>
    </xf>
    <xf numFmtId="168" fontId="15" fillId="0" borderId="81" xfId="0" applyNumberFormat="1" applyFont="1" applyBorder="1">
      <alignment vertical="center"/>
    </xf>
    <xf numFmtId="1" fontId="15" fillId="0" borderId="81" xfId="0" applyNumberFormat="1" applyFont="1" applyBorder="1">
      <alignment vertical="center"/>
    </xf>
    <xf numFmtId="308" fontId="15" fillId="4" borderId="81" xfId="19" applyNumberFormat="1" applyFont="1" applyBorder="1">
      <alignment vertical="center"/>
    </xf>
    <xf numFmtId="169" fontId="15" fillId="0" borderId="81" xfId="19" applyNumberFormat="1" applyFont="1" applyFill="1" applyBorder="1">
      <alignment vertical="center"/>
    </xf>
    <xf numFmtId="169" fontId="15" fillId="0" borderId="81" xfId="0" applyNumberFormat="1" applyFont="1" applyBorder="1">
      <alignment vertical="center"/>
    </xf>
    <xf numFmtId="0" fontId="14" fillId="2" borderId="0" xfId="7" applyFont="1" applyAlignment="1">
      <alignment horizontal="center" vertical="center"/>
    </xf>
    <xf numFmtId="0" fontId="15" fillId="0" borderId="1" xfId="17" applyAlignment="1">
      <alignment horizontal="center" vertical="center"/>
      <protection locked="0"/>
    </xf>
    <xf numFmtId="0" fontId="23" fillId="0" borderId="0" xfId="18" applyAlignment="1">
      <alignment vertical="center"/>
    </xf>
    <xf numFmtId="0" fontId="23" fillId="30" borderId="0" xfId="18" applyFill="1" applyAlignment="1">
      <alignment vertical="center"/>
    </xf>
    <xf numFmtId="0" fontId="18" fillId="0" borderId="93" xfId="0" applyFont="1" applyBorder="1" applyAlignment="1">
      <alignment horizontal="center" vertical="center"/>
    </xf>
    <xf numFmtId="0" fontId="18" fillId="0" borderId="80" xfId="0" applyFont="1" applyBorder="1" applyAlignment="1">
      <alignment horizontal="center" vertical="center"/>
    </xf>
    <xf numFmtId="0" fontId="0" fillId="0" borderId="97" xfId="0" applyBorder="1" applyAlignment="1">
      <alignment horizontal="right" vertical="center"/>
    </xf>
    <xf numFmtId="3" fontId="0" fillId="0" borderId="101" xfId="0" applyNumberFormat="1" applyBorder="1">
      <alignment vertical="center"/>
    </xf>
    <xf numFmtId="3" fontId="0" fillId="32" borderId="96" xfId="0" applyNumberFormat="1" applyFill="1" applyBorder="1">
      <alignment vertical="center"/>
    </xf>
    <xf numFmtId="308" fontId="0" fillId="0" borderId="102" xfId="0" applyNumberFormat="1" applyBorder="1">
      <alignment vertical="center"/>
    </xf>
    <xf numFmtId="3" fontId="0" fillId="32" borderId="99" xfId="0" applyNumberFormat="1" applyFill="1" applyBorder="1">
      <alignment vertical="center"/>
    </xf>
    <xf numFmtId="0" fontId="0" fillId="0" borderId="104" xfId="0" applyBorder="1" applyAlignment="1">
      <alignment horizontal="right" vertical="center"/>
    </xf>
    <xf numFmtId="3" fontId="0" fillId="0" borderId="105" xfId="0" applyNumberFormat="1" applyBorder="1">
      <alignment vertical="center"/>
    </xf>
    <xf numFmtId="3" fontId="0" fillId="32" borderId="106" xfId="0" applyNumberFormat="1" applyFill="1" applyBorder="1">
      <alignment vertical="center"/>
    </xf>
    <xf numFmtId="308" fontId="0" fillId="0" borderId="107" xfId="0" applyNumberFormat="1" applyBorder="1">
      <alignment vertical="center"/>
    </xf>
    <xf numFmtId="0" fontId="0" fillId="0" borderId="98" xfId="0" applyBorder="1" applyAlignment="1">
      <alignment horizontal="right" vertical="center"/>
    </xf>
    <xf numFmtId="3" fontId="0" fillId="0" borderId="108" xfId="0" applyNumberFormat="1" applyBorder="1">
      <alignment vertical="center"/>
    </xf>
    <xf numFmtId="3" fontId="0" fillId="32" borderId="92" xfId="0" applyNumberFormat="1" applyFill="1" applyBorder="1">
      <alignment vertical="center"/>
    </xf>
    <xf numFmtId="308" fontId="0" fillId="0" borderId="109" xfId="0" applyNumberFormat="1" applyBorder="1">
      <alignment vertical="center"/>
    </xf>
    <xf numFmtId="308" fontId="0" fillId="0" borderId="110" xfId="0" applyNumberFormat="1" applyBorder="1">
      <alignment vertical="center"/>
    </xf>
    <xf numFmtId="0" fontId="18" fillId="0" borderId="94" xfId="0" applyFont="1" applyBorder="1" applyAlignment="1">
      <alignment horizontal="center" vertical="center" wrapText="1"/>
    </xf>
    <xf numFmtId="0" fontId="0" fillId="0" borderId="94" xfId="0" applyBorder="1" applyAlignment="1">
      <alignment horizontal="right" vertical="center"/>
    </xf>
    <xf numFmtId="3" fontId="0" fillId="0" borderId="94" xfId="0" applyNumberFormat="1" applyBorder="1">
      <alignment vertical="center"/>
    </xf>
    <xf numFmtId="3" fontId="0" fillId="30" borderId="94" xfId="0" applyNumberFormat="1" applyFill="1" applyBorder="1">
      <alignment vertical="center"/>
    </xf>
    <xf numFmtId="308" fontId="0" fillId="0" borderId="94" xfId="0" applyNumberFormat="1" applyBorder="1">
      <alignment vertical="center"/>
    </xf>
    <xf numFmtId="0" fontId="211" fillId="84" borderId="0" xfId="0" applyFont="1" applyFill="1" applyAlignment="1">
      <alignment horizontal="center" vertical="center"/>
    </xf>
    <xf numFmtId="0" fontId="0" fillId="30" borderId="1" xfId="19" applyFont="1" applyFill="1" applyBorder="1" applyAlignment="1" applyProtection="1">
      <alignment horizontal="center" vertical="center"/>
      <protection locked="0"/>
    </xf>
    <xf numFmtId="308" fontId="15" fillId="4" borderId="1" xfId="19" applyNumberFormat="1" applyBorder="1" applyAlignment="1" applyProtection="1">
      <alignment horizontal="center" vertical="center"/>
      <protection locked="0"/>
    </xf>
    <xf numFmtId="308" fontId="204" fillId="30" borderId="0" xfId="0" applyNumberFormat="1" applyFont="1" applyFill="1" applyAlignment="1">
      <alignment horizontal="right" vertical="center"/>
    </xf>
    <xf numFmtId="0" fontId="18" fillId="0" borderId="0" xfId="0" applyFont="1" applyFill="1" applyBorder="1" applyAlignment="1">
      <alignment horizontal="right" vertical="center" wrapText="1"/>
    </xf>
    <xf numFmtId="0" fontId="0" fillId="82" borderId="76" xfId="0" applyFill="1" applyBorder="1" applyAlignment="1">
      <alignment horizontal="center" vertical="center"/>
    </xf>
    <xf numFmtId="0" fontId="0" fillId="0" borderId="0" xfId="0" applyFill="1" applyBorder="1" applyAlignment="1">
      <alignment horizontal="center" vertical="center"/>
    </xf>
    <xf numFmtId="0" fontId="23" fillId="0" borderId="1" xfId="18" applyBorder="1" applyAlignment="1" applyProtection="1">
      <alignment vertical="center" wrapText="1"/>
      <protection locked="0"/>
    </xf>
    <xf numFmtId="0" fontId="202" fillId="0" borderId="0" xfId="0" applyFont="1" applyAlignment="1">
      <alignment vertical="center"/>
    </xf>
    <xf numFmtId="0" fontId="202" fillId="0" borderId="0" xfId="0" applyFont="1">
      <alignment vertical="center"/>
    </xf>
    <xf numFmtId="308" fontId="149" fillId="0" borderId="0" xfId="0" applyNumberFormat="1" applyFont="1">
      <alignment vertical="center"/>
    </xf>
    <xf numFmtId="0" fontId="0" fillId="0" borderId="111" xfId="0" applyBorder="1" applyAlignment="1">
      <alignment horizontal="right" vertical="center"/>
    </xf>
    <xf numFmtId="3" fontId="0" fillId="0" borderId="112" xfId="0" applyNumberFormat="1" applyBorder="1">
      <alignment vertical="center"/>
    </xf>
    <xf numFmtId="3" fontId="0" fillId="32" borderId="113" xfId="0" applyNumberFormat="1" applyFill="1" applyBorder="1">
      <alignment vertical="center"/>
    </xf>
    <xf numFmtId="308" fontId="0" fillId="0" borderId="114" xfId="0" applyNumberFormat="1" applyBorder="1">
      <alignment vertical="center"/>
    </xf>
    <xf numFmtId="3" fontId="0" fillId="0" borderId="115" xfId="0" applyNumberFormat="1" applyBorder="1">
      <alignment vertical="center"/>
    </xf>
    <xf numFmtId="3" fontId="0" fillId="32" borderId="116" xfId="0" applyNumberFormat="1" applyFill="1" applyBorder="1">
      <alignment vertical="center"/>
    </xf>
    <xf numFmtId="308" fontId="0" fillId="0" borderId="117" xfId="0" applyNumberFormat="1" applyBorder="1">
      <alignment vertical="center"/>
    </xf>
    <xf numFmtId="3" fontId="0" fillId="0" borderId="118" xfId="0" applyNumberFormat="1" applyBorder="1">
      <alignment vertical="center"/>
    </xf>
    <xf numFmtId="3" fontId="0" fillId="32" borderId="119" xfId="0" applyNumberFormat="1" applyFill="1" applyBorder="1">
      <alignment vertical="center"/>
    </xf>
    <xf numFmtId="0" fontId="0" fillId="0" borderId="120" xfId="0" applyBorder="1" applyAlignment="1">
      <alignment horizontal="right" vertical="center"/>
    </xf>
    <xf numFmtId="3" fontId="0" fillId="0" borderId="121" xfId="0" applyNumberFormat="1" applyBorder="1">
      <alignment vertical="center"/>
    </xf>
    <xf numFmtId="3" fontId="0" fillId="32" borderId="122" xfId="0" applyNumberFormat="1" applyFill="1" applyBorder="1">
      <alignment vertical="center"/>
    </xf>
    <xf numFmtId="308" fontId="0" fillId="0" borderId="123" xfId="0" applyNumberFormat="1" applyBorder="1">
      <alignment vertical="center"/>
    </xf>
    <xf numFmtId="308" fontId="0" fillId="0" borderId="102" xfId="0" applyNumberFormat="1" applyBorder="1" applyAlignment="1">
      <alignment vertical="center"/>
    </xf>
    <xf numFmtId="0" fontId="0" fillId="0" borderId="111" xfId="0" applyBorder="1" applyAlignment="1">
      <alignment horizontal="right" vertical="center" wrapText="1"/>
    </xf>
    <xf numFmtId="0" fontId="0" fillId="0" borderId="124" xfId="0" applyBorder="1" applyAlignment="1">
      <alignment horizontal="right" vertical="center"/>
    </xf>
    <xf numFmtId="3" fontId="0" fillId="0" borderId="125" xfId="0" applyNumberFormat="1" applyBorder="1">
      <alignment vertical="center"/>
    </xf>
    <xf numFmtId="308" fontId="0" fillId="0" borderId="126" xfId="0" applyNumberFormat="1" applyBorder="1">
      <alignment vertical="center"/>
    </xf>
    <xf numFmtId="0" fontId="17" fillId="0" borderId="0" xfId="0" applyFont="1" applyAlignment="1">
      <alignment horizontal="left" vertical="center"/>
    </xf>
    <xf numFmtId="0" fontId="18" fillId="0" borderId="78" xfId="0" applyFont="1" applyBorder="1" applyAlignment="1">
      <alignment horizontal="center" vertical="center" wrapText="1"/>
    </xf>
    <xf numFmtId="308" fontId="0" fillId="0" borderId="96" xfId="0" applyNumberFormat="1" applyBorder="1">
      <alignment vertical="center"/>
    </xf>
    <xf numFmtId="308" fontId="0" fillId="0" borderId="106" xfId="0" applyNumberFormat="1" applyBorder="1">
      <alignment vertical="center"/>
    </xf>
    <xf numFmtId="308" fontId="0" fillId="0" borderId="92" xfId="0" applyNumberFormat="1" applyBorder="1">
      <alignment vertical="center"/>
    </xf>
    <xf numFmtId="308" fontId="0" fillId="0" borderId="113" xfId="0" applyNumberFormat="1" applyBorder="1">
      <alignment vertical="center"/>
    </xf>
    <xf numFmtId="308" fontId="0" fillId="0" borderId="99" xfId="0" applyNumberFormat="1" applyBorder="1" applyAlignment="1">
      <alignment horizontal="right" vertical="center"/>
    </xf>
    <xf numFmtId="308" fontId="0" fillId="0" borderId="116" xfId="0" applyNumberFormat="1" applyBorder="1">
      <alignment vertical="center"/>
    </xf>
    <xf numFmtId="308" fontId="0" fillId="0" borderId="119" xfId="0" applyNumberFormat="1" applyBorder="1">
      <alignment vertical="center"/>
    </xf>
    <xf numFmtId="308" fontId="0" fillId="0" borderId="128" xfId="0" applyNumberFormat="1" applyBorder="1">
      <alignment vertical="center"/>
    </xf>
    <xf numFmtId="308" fontId="0" fillId="0" borderId="78" xfId="0" applyNumberFormat="1" applyBorder="1">
      <alignment vertical="center"/>
    </xf>
    <xf numFmtId="0" fontId="18" fillId="32" borderId="87" xfId="0" applyFont="1" applyFill="1" applyBorder="1" applyAlignment="1">
      <alignment horizontal="center" vertical="center" wrapText="1"/>
    </xf>
    <xf numFmtId="308" fontId="0" fillId="32" borderId="88" xfId="0" applyNumberFormat="1" applyFill="1" applyBorder="1">
      <alignment vertical="center"/>
    </xf>
    <xf numFmtId="308" fontId="0" fillId="32" borderId="88" xfId="0" applyNumberFormat="1" applyFill="1" applyBorder="1" applyAlignment="1">
      <alignment horizontal="right" vertical="center"/>
    </xf>
    <xf numFmtId="0" fontId="0" fillId="0" borderId="90" xfId="0" applyBorder="1">
      <alignment vertical="center"/>
    </xf>
    <xf numFmtId="308" fontId="205" fillId="0" borderId="0" xfId="0" applyNumberFormat="1" applyFont="1">
      <alignment vertical="center"/>
    </xf>
    <xf numFmtId="0" fontId="17" fillId="0" borderId="0" xfId="0" applyFont="1" applyFill="1">
      <alignment vertical="center"/>
    </xf>
    <xf numFmtId="0" fontId="17" fillId="0" borderId="0" xfId="0" applyFont="1" applyAlignment="1">
      <alignment vertical="center"/>
    </xf>
    <xf numFmtId="0" fontId="17" fillId="0" borderId="0" xfId="0" applyFont="1">
      <alignment vertical="center"/>
    </xf>
    <xf numFmtId="0" fontId="17" fillId="0" borderId="0" xfId="0" applyFont="1" applyAlignment="1">
      <alignment horizontal="left" vertical="center"/>
    </xf>
    <xf numFmtId="0" fontId="15" fillId="0" borderId="1" xfId="17" applyAlignment="1">
      <alignment horizontal="center" vertical="center"/>
      <protection locked="0"/>
    </xf>
    <xf numFmtId="0" fontId="18" fillId="0" borderId="0" xfId="0" applyFont="1" applyBorder="1" applyAlignment="1">
      <alignment horizontal="center" vertical="center" wrapText="1"/>
    </xf>
    <xf numFmtId="0" fontId="18" fillId="4" borderId="129" xfId="19" applyFont="1" applyBorder="1" applyAlignment="1">
      <alignment horizontal="center" vertical="center"/>
    </xf>
    <xf numFmtId="308" fontId="204" fillId="0" borderId="0" xfId="0" applyNumberFormat="1" applyFont="1" applyFill="1" applyAlignment="1">
      <alignment horizontal="right" vertical="center"/>
    </xf>
    <xf numFmtId="0" fontId="0" fillId="2" borderId="79" xfId="7" applyFont="1" applyBorder="1" applyAlignment="1">
      <alignment horizontal="center" vertical="center"/>
    </xf>
    <xf numFmtId="0" fontId="18" fillId="0" borderId="0" xfId="0" applyFont="1" applyBorder="1" applyAlignment="1">
      <alignment horizontal="center" vertical="center"/>
    </xf>
    <xf numFmtId="169" fontId="0" fillId="0" borderId="0" xfId="0" applyNumberFormat="1" applyBorder="1">
      <alignment vertical="center"/>
    </xf>
    <xf numFmtId="0" fontId="0" fillId="0" borderId="1" xfId="0" applyFont="1" applyBorder="1" applyAlignment="1">
      <alignment horizontal="right" vertical="center"/>
    </xf>
    <xf numFmtId="0" fontId="0" fillId="0" borderId="1" xfId="0" applyBorder="1" applyAlignment="1">
      <alignment horizontal="center" vertical="center"/>
    </xf>
    <xf numFmtId="169" fontId="18" fillId="4" borderId="0" xfId="19" applyNumberFormat="1" applyFont="1" applyAlignment="1">
      <alignment horizontal="center" vertical="center"/>
    </xf>
    <xf numFmtId="0" fontId="0" fillId="0" borderId="95" xfId="0" applyBorder="1" applyAlignment="1">
      <alignment horizontal="right" vertical="center"/>
    </xf>
    <xf numFmtId="0" fontId="18" fillId="0" borderId="0" xfId="0" applyFont="1" applyAlignment="1">
      <alignment horizontal="right" vertical="center" wrapText="1"/>
    </xf>
    <xf numFmtId="3" fontId="0" fillId="0" borderId="0" xfId="0" applyNumberFormat="1">
      <alignment vertical="center"/>
    </xf>
    <xf numFmtId="0" fontId="18" fillId="0" borderId="0" xfId="0" applyFont="1" applyBorder="1" applyAlignment="1">
      <alignment horizontal="right" vertical="center" wrapText="1"/>
    </xf>
    <xf numFmtId="3" fontId="0" fillId="4" borderId="131" xfId="19" applyNumberFormat="1" applyFont="1" applyBorder="1">
      <alignment vertical="center"/>
    </xf>
    <xf numFmtId="0" fontId="212" fillId="0" borderId="0" xfId="0" applyFont="1" applyAlignment="1">
      <alignment horizontal="right" vertical="center"/>
    </xf>
    <xf numFmtId="3" fontId="0" fillId="4" borderId="132" xfId="19" applyNumberFormat="1" applyFont="1" applyBorder="1">
      <alignment vertical="center"/>
    </xf>
    <xf numFmtId="3" fontId="0" fillId="4" borderId="133" xfId="19" applyNumberFormat="1" applyFont="1" applyBorder="1">
      <alignment vertical="center"/>
    </xf>
    <xf numFmtId="9" fontId="0" fillId="0" borderId="1" xfId="17" applyNumberFormat="1" applyFont="1" applyAlignment="1">
      <alignment horizontal="center" vertical="center"/>
      <protection locked="0"/>
    </xf>
    <xf numFmtId="9" fontId="15" fillId="0" borderId="1" xfId="17" applyNumberFormat="1" applyFont="1" applyAlignment="1">
      <alignment horizontal="center" vertical="center" wrapText="1" shrinkToFit="1"/>
      <protection locked="0"/>
    </xf>
    <xf numFmtId="308" fontId="0" fillId="4" borderId="134" xfId="19" applyNumberFormat="1" applyFont="1" applyBorder="1">
      <alignment vertical="center"/>
    </xf>
    <xf numFmtId="308" fontId="0" fillId="4" borderId="2" xfId="19" applyNumberFormat="1" applyFont="1" applyBorder="1">
      <alignment vertical="center"/>
    </xf>
    <xf numFmtId="3" fontId="15" fillId="0" borderId="1" xfId="17" applyNumberFormat="1">
      <alignment vertical="center"/>
      <protection locked="0"/>
    </xf>
    <xf numFmtId="9" fontId="0" fillId="0" borderId="0" xfId="0" applyNumberFormat="1">
      <alignment vertical="center"/>
    </xf>
    <xf numFmtId="3" fontId="0" fillId="0" borderId="130" xfId="0" applyNumberFormat="1" applyBorder="1">
      <alignment vertical="center"/>
    </xf>
    <xf numFmtId="3" fontId="0" fillId="0" borderId="132" xfId="0" applyNumberFormat="1" applyBorder="1">
      <alignment vertical="center"/>
    </xf>
    <xf numFmtId="308" fontId="18" fillId="4" borderId="0" xfId="19" applyNumberFormat="1" applyFont="1">
      <alignment vertical="center"/>
    </xf>
    <xf numFmtId="0" fontId="18" fillId="4" borderId="0" xfId="19" applyFont="1">
      <alignment vertical="center"/>
    </xf>
    <xf numFmtId="308" fontId="213" fillId="4" borderId="0" xfId="19" applyNumberFormat="1" applyFont="1">
      <alignment vertical="center"/>
    </xf>
    <xf numFmtId="308" fontId="18" fillId="0" borderId="0" xfId="0" applyNumberFormat="1" applyFont="1">
      <alignment vertical="center"/>
    </xf>
    <xf numFmtId="0" fontId="18" fillId="2" borderId="0" xfId="7" applyFont="1" applyAlignment="1">
      <alignment horizontal="center" vertical="center"/>
    </xf>
    <xf numFmtId="308" fontId="0" fillId="0" borderId="135" xfId="0" applyNumberFormat="1" applyBorder="1" applyAlignment="1">
      <alignment vertical="center"/>
    </xf>
    <xf numFmtId="308" fontId="0" fillId="0" borderId="103" xfId="0" applyNumberFormat="1" applyBorder="1" applyAlignment="1">
      <alignment vertical="center"/>
    </xf>
    <xf numFmtId="308" fontId="0" fillId="0" borderId="136" xfId="0" applyNumberFormat="1" applyBorder="1" applyAlignment="1">
      <alignment vertical="center"/>
    </xf>
    <xf numFmtId="308" fontId="0" fillId="0" borderId="137" xfId="0" applyNumberFormat="1" applyBorder="1" applyAlignment="1">
      <alignment vertical="center"/>
    </xf>
    <xf numFmtId="308" fontId="0" fillId="0" borderId="138" xfId="0" applyNumberFormat="1" applyBorder="1" applyAlignment="1">
      <alignment vertical="center"/>
    </xf>
    <xf numFmtId="308" fontId="0" fillId="0" borderId="139" xfId="0" applyNumberFormat="1" applyBorder="1">
      <alignment vertical="center"/>
    </xf>
    <xf numFmtId="308" fontId="0" fillId="0" borderId="117" xfId="0" applyNumberFormat="1" applyBorder="1" applyAlignment="1">
      <alignment vertical="center"/>
    </xf>
    <xf numFmtId="308" fontId="0" fillId="0" borderId="140" xfId="0" applyNumberFormat="1" applyBorder="1" applyAlignment="1">
      <alignment vertical="center"/>
    </xf>
    <xf numFmtId="3" fontId="0" fillId="0" borderId="141" xfId="0" applyNumberFormat="1" applyBorder="1">
      <alignment vertical="center"/>
    </xf>
    <xf numFmtId="3" fontId="0" fillId="32" borderId="127" xfId="0" applyNumberFormat="1" applyFill="1" applyBorder="1">
      <alignment vertical="center"/>
    </xf>
    <xf numFmtId="0" fontId="0" fillId="0" borderId="142" xfId="0" applyBorder="1" applyAlignment="1">
      <alignment horizontal="right" vertical="center"/>
    </xf>
    <xf numFmtId="308" fontId="0" fillId="0" borderId="107" xfId="0" applyNumberFormat="1" applyFill="1" applyBorder="1">
      <alignment vertical="center"/>
    </xf>
    <xf numFmtId="308" fontId="0" fillId="0" borderId="117" xfId="0" applyNumberFormat="1" applyFill="1" applyBorder="1">
      <alignment vertical="center"/>
    </xf>
    <xf numFmtId="308" fontId="0" fillId="0" borderId="102" xfId="0" applyNumberFormat="1" applyFill="1" applyBorder="1" applyAlignment="1">
      <alignment vertical="center"/>
    </xf>
    <xf numFmtId="308" fontId="0" fillId="0" borderId="117" xfId="0" applyNumberFormat="1" applyFill="1" applyBorder="1" applyAlignment="1">
      <alignment vertical="center"/>
    </xf>
    <xf numFmtId="308" fontId="0" fillId="0" borderId="103" xfId="0" applyNumberFormat="1" applyFill="1" applyBorder="1" applyAlignment="1">
      <alignment vertical="center"/>
    </xf>
    <xf numFmtId="308" fontId="0" fillId="0" borderId="106" xfId="0" applyNumberFormat="1" applyFill="1" applyBorder="1">
      <alignment vertical="center"/>
    </xf>
    <xf numFmtId="308" fontId="0" fillId="0" borderId="99" xfId="0" applyNumberFormat="1" applyFill="1" applyBorder="1" applyAlignment="1">
      <alignment horizontal="right" vertical="center"/>
    </xf>
    <xf numFmtId="308" fontId="0" fillId="0" borderId="135" xfId="0" applyNumberFormat="1" applyFill="1" applyBorder="1" applyAlignment="1">
      <alignment vertical="center"/>
    </xf>
    <xf numFmtId="308" fontId="0" fillId="0" borderId="139" xfId="0" applyNumberFormat="1" applyFill="1" applyBorder="1">
      <alignment vertical="center"/>
    </xf>
    <xf numFmtId="308" fontId="0" fillId="0" borderId="140" xfId="0" applyNumberFormat="1" applyFill="1" applyBorder="1" applyAlignment="1">
      <alignment vertical="center"/>
    </xf>
    <xf numFmtId="308" fontId="0" fillId="0" borderId="136" xfId="0" applyNumberFormat="1" applyFill="1" applyBorder="1" applyAlignment="1">
      <alignment vertical="center"/>
    </xf>
    <xf numFmtId="308" fontId="0" fillId="0" borderId="137" xfId="0" applyNumberFormat="1" applyFill="1" applyBorder="1" applyAlignment="1">
      <alignment vertical="center"/>
    </xf>
    <xf numFmtId="308" fontId="0" fillId="0" borderId="138" xfId="0" applyNumberFormat="1" applyFill="1" applyBorder="1" applyAlignment="1">
      <alignment vertical="center"/>
    </xf>
    <xf numFmtId="3" fontId="0" fillId="0" borderId="143" xfId="0" applyNumberFormat="1" applyBorder="1">
      <alignment vertical="center"/>
    </xf>
    <xf numFmtId="0" fontId="15" fillId="0" borderId="1" xfId="17" applyAlignment="1">
      <alignment horizontal="center" vertical="center"/>
      <protection locked="0"/>
    </xf>
    <xf numFmtId="308" fontId="15" fillId="0" borderId="0" xfId="19" applyNumberFormat="1" applyFill="1" applyBorder="1" applyAlignment="1" applyProtection="1">
      <alignment horizontal="center" vertical="center"/>
      <protection locked="0"/>
    </xf>
    <xf numFmtId="0" fontId="18" fillId="30" borderId="79" xfId="19" applyFont="1" applyFill="1" applyBorder="1" applyAlignment="1" applyProtection="1">
      <alignment horizontal="center" vertical="center"/>
      <protection locked="0"/>
    </xf>
    <xf numFmtId="0" fontId="0" fillId="30" borderId="79" xfId="19" applyFont="1" applyFill="1" applyBorder="1" applyAlignment="1" applyProtection="1">
      <alignment horizontal="center" vertical="center"/>
      <protection locked="0"/>
    </xf>
    <xf numFmtId="0" fontId="15" fillId="30" borderId="79" xfId="17" applyFill="1" applyBorder="1" applyAlignment="1">
      <alignment vertical="center"/>
      <protection locked="0"/>
    </xf>
    <xf numFmtId="0" fontId="15" fillId="30" borderId="79" xfId="17" applyFill="1" applyBorder="1">
      <alignment vertical="center"/>
      <protection locked="0"/>
    </xf>
    <xf numFmtId="308" fontId="15" fillId="30" borderId="79" xfId="19" applyNumberFormat="1" applyFill="1" applyBorder="1" applyAlignment="1" applyProtection="1">
      <alignment horizontal="center" vertical="center"/>
      <protection locked="0"/>
    </xf>
    <xf numFmtId="0" fontId="15" fillId="0" borderId="1" xfId="17" applyBorder="1" applyAlignment="1">
      <alignment vertical="center"/>
      <protection locked="0"/>
    </xf>
    <xf numFmtId="0" fontId="15" fillId="32" borderId="1" xfId="17" applyFill="1" applyBorder="1">
      <alignment vertical="center"/>
      <protection locked="0"/>
    </xf>
    <xf numFmtId="308" fontId="18" fillId="4" borderId="1" xfId="19" applyNumberFormat="1" applyFont="1" applyBorder="1" applyAlignment="1" applyProtection="1">
      <alignment horizontal="center" vertical="center"/>
      <protection locked="0"/>
    </xf>
    <xf numFmtId="0" fontId="214" fillId="0" borderId="0" xfId="18" applyFont="1" applyBorder="1" applyAlignment="1">
      <alignment horizontal="center" vertical="center"/>
    </xf>
    <xf numFmtId="0" fontId="15" fillId="0" borderId="1" xfId="17" applyAlignment="1">
      <alignment horizontal="center" vertical="center"/>
      <protection locked="0"/>
    </xf>
    <xf numFmtId="169" fontId="0" fillId="0" borderId="0" xfId="0" applyNumberFormat="1">
      <alignment vertical="center"/>
    </xf>
    <xf numFmtId="169" fontId="0" fillId="0" borderId="1" xfId="0" applyNumberFormat="1" applyBorder="1" applyAlignment="1">
      <alignment horizontal="center" vertical="center"/>
    </xf>
    <xf numFmtId="0" fontId="18" fillId="0" borderId="145" xfId="0" applyFont="1" applyBorder="1" applyAlignment="1">
      <alignment horizontal="center" vertical="center"/>
    </xf>
    <xf numFmtId="169" fontId="0" fillId="0" borderId="145" xfId="0" applyNumberFormat="1" applyBorder="1">
      <alignment vertical="center"/>
    </xf>
    <xf numFmtId="169" fontId="18" fillId="0" borderId="145" xfId="0" applyNumberFormat="1" applyFont="1" applyBorder="1">
      <alignment vertical="center"/>
    </xf>
    <xf numFmtId="0" fontId="18" fillId="0" borderId="146" xfId="0" applyFont="1" applyBorder="1" applyAlignment="1">
      <alignment horizontal="right" vertical="center"/>
    </xf>
    <xf numFmtId="0" fontId="18" fillId="0" borderId="146" xfId="0" applyFont="1" applyBorder="1" applyAlignment="1">
      <alignment horizontal="center" vertical="center"/>
    </xf>
    <xf numFmtId="0" fontId="0" fillId="0" borderId="0" xfId="0" applyFont="1" applyFill="1" applyBorder="1" applyAlignment="1">
      <alignment horizontal="center" vertical="center"/>
    </xf>
    <xf numFmtId="169" fontId="15" fillId="0" borderId="1" xfId="17" applyNumberFormat="1" applyAlignment="1">
      <alignment horizontal="center" vertical="center"/>
      <protection locked="0"/>
    </xf>
    <xf numFmtId="0" fontId="23" fillId="0" borderId="0" xfId="18" applyAlignment="1">
      <alignment horizontal="left" vertical="center"/>
    </xf>
    <xf numFmtId="0" fontId="18" fillId="30" borderId="0" xfId="19" applyFont="1" applyFill="1" applyBorder="1" applyAlignment="1" applyProtection="1">
      <alignment horizontal="center" vertical="center" wrapText="1"/>
      <protection locked="0"/>
    </xf>
    <xf numFmtId="0" fontId="18" fillId="30" borderId="92" xfId="19" applyFont="1" applyFill="1" applyBorder="1" applyAlignment="1" applyProtection="1">
      <alignment horizontal="center" vertical="center"/>
      <protection locked="0"/>
    </xf>
    <xf numFmtId="0" fontId="18" fillId="30" borderId="0" xfId="19" applyFont="1" applyFill="1" applyBorder="1" applyAlignment="1" applyProtection="1">
      <alignment horizontal="center" vertical="center"/>
      <protection locked="0"/>
    </xf>
    <xf numFmtId="0" fontId="15" fillId="0" borderId="79" xfId="17" applyBorder="1" applyAlignment="1">
      <alignment vertical="center"/>
      <protection locked="0"/>
    </xf>
    <xf numFmtId="0" fontId="0" fillId="0" borderId="79" xfId="19" applyFont="1" applyFill="1" applyBorder="1" applyAlignment="1" applyProtection="1">
      <alignment horizontal="center" vertical="center"/>
      <protection locked="0"/>
    </xf>
    <xf numFmtId="0" fontId="15" fillId="0" borderId="79" xfId="17" applyFill="1" applyBorder="1" applyAlignment="1">
      <alignment vertical="center"/>
      <protection locked="0"/>
    </xf>
    <xf numFmtId="0" fontId="15" fillId="0" borderId="79" xfId="17" applyFill="1" applyBorder="1">
      <alignment vertical="center"/>
      <protection locked="0"/>
    </xf>
    <xf numFmtId="308" fontId="18" fillId="0" borderId="79" xfId="19" applyNumberFormat="1" applyFont="1" applyFill="1" applyBorder="1" applyAlignment="1" applyProtection="1">
      <alignment horizontal="center" vertical="center"/>
      <protection locked="0"/>
    </xf>
    <xf numFmtId="0" fontId="18" fillId="0" borderId="79" xfId="19" applyFont="1" applyFill="1" applyBorder="1" applyAlignment="1" applyProtection="1">
      <alignment horizontal="center" vertical="center"/>
      <protection locked="0"/>
    </xf>
    <xf numFmtId="0" fontId="18" fillId="0" borderId="79" xfId="19" applyFont="1" applyFill="1" applyBorder="1" applyAlignment="1" applyProtection="1">
      <alignment horizontal="center" vertical="center" wrapText="1"/>
      <protection locked="0"/>
    </xf>
    <xf numFmtId="0" fontId="23" fillId="0" borderId="0" xfId="18" applyAlignment="1">
      <alignment horizontal="left" vertical="center"/>
    </xf>
    <xf numFmtId="0" fontId="17" fillId="0" borderId="0" xfId="0" applyFont="1" applyAlignment="1">
      <alignment horizontal="left" vertical="center"/>
    </xf>
    <xf numFmtId="0" fontId="18" fillId="30" borderId="96" xfId="19" applyFont="1" applyFill="1" applyBorder="1" applyAlignment="1" applyProtection="1">
      <alignment horizontal="center" vertical="center" wrapText="1"/>
      <protection locked="0"/>
    </xf>
    <xf numFmtId="0" fontId="18" fillId="30" borderId="97" xfId="19" applyFont="1" applyFill="1" applyBorder="1" applyAlignment="1" applyProtection="1">
      <alignment horizontal="center" vertical="center" wrapText="1"/>
      <protection locked="0"/>
    </xf>
    <xf numFmtId="0" fontId="18" fillId="30" borderId="92" xfId="19" applyFont="1" applyFill="1" applyBorder="1" applyAlignment="1" applyProtection="1">
      <alignment horizontal="center" vertical="center" wrapText="1"/>
      <protection locked="0"/>
    </xf>
    <xf numFmtId="0" fontId="18" fillId="30" borderId="98" xfId="19" applyFont="1" applyFill="1" applyBorder="1" applyAlignment="1" applyProtection="1">
      <alignment horizontal="center" vertical="center" wrapText="1"/>
      <protection locked="0"/>
    </xf>
    <xf numFmtId="0" fontId="18" fillId="30" borderId="99" xfId="19" applyFont="1" applyFill="1" applyBorder="1" applyAlignment="1" applyProtection="1">
      <alignment horizontal="center" vertical="center" wrapText="1"/>
      <protection locked="0"/>
    </xf>
    <xf numFmtId="0" fontId="18" fillId="30" borderId="100" xfId="19" applyFont="1" applyFill="1" applyBorder="1" applyAlignment="1" applyProtection="1">
      <alignment horizontal="center" vertical="center" wrapText="1"/>
      <protection locked="0"/>
    </xf>
    <xf numFmtId="0" fontId="18" fillId="30" borderId="144" xfId="19" applyFont="1" applyFill="1" applyBorder="1" applyAlignment="1" applyProtection="1">
      <alignment horizontal="center" vertical="center" wrapText="1"/>
      <protection locked="0"/>
    </xf>
    <xf numFmtId="0" fontId="18" fillId="30" borderId="0" xfId="19" applyFont="1" applyFill="1" applyBorder="1" applyAlignment="1" applyProtection="1">
      <alignment horizontal="center" vertical="center" wrapText="1"/>
      <protection locked="0"/>
    </xf>
    <xf numFmtId="0" fontId="18" fillId="30" borderId="129" xfId="19" applyFont="1" applyFill="1" applyBorder="1" applyAlignment="1" applyProtection="1">
      <alignment horizontal="center" vertical="center" wrapText="1"/>
      <protection locked="0"/>
    </xf>
    <xf numFmtId="0" fontId="18" fillId="0" borderId="87" xfId="0" applyFont="1" applyBorder="1" applyAlignment="1">
      <alignment horizontal="center" vertical="center" wrapText="1"/>
    </xf>
    <xf numFmtId="0" fontId="18" fillId="0" borderId="88" xfId="0" applyFont="1"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18" fillId="0" borderId="89" xfId="0" applyFont="1" applyBorder="1" applyAlignment="1">
      <alignment horizontal="center" vertical="center" wrapText="1"/>
    </xf>
    <xf numFmtId="0" fontId="18" fillId="30" borderId="96" xfId="19" applyFont="1" applyFill="1" applyBorder="1" applyAlignment="1" applyProtection="1">
      <alignment horizontal="center" vertical="center"/>
      <protection locked="0"/>
    </xf>
    <xf numFmtId="0" fontId="18" fillId="30" borderId="97" xfId="19" applyFont="1" applyFill="1" applyBorder="1" applyAlignment="1" applyProtection="1">
      <alignment horizontal="center" vertical="center"/>
      <protection locked="0"/>
    </xf>
    <xf numFmtId="0" fontId="18" fillId="30" borderId="92" xfId="19" applyFont="1" applyFill="1" applyBorder="1" applyAlignment="1" applyProtection="1">
      <alignment horizontal="center" vertical="center"/>
      <protection locked="0"/>
    </xf>
    <xf numFmtId="0" fontId="18" fillId="30" borderId="98" xfId="19" applyFont="1" applyFill="1" applyBorder="1" applyAlignment="1" applyProtection="1">
      <alignment horizontal="center" vertical="center"/>
      <protection locked="0"/>
    </xf>
    <xf numFmtId="0" fontId="18" fillId="30" borderId="99" xfId="19" applyFont="1" applyFill="1" applyBorder="1" applyAlignment="1" applyProtection="1">
      <alignment horizontal="center" vertical="center"/>
      <protection locked="0"/>
    </xf>
    <xf numFmtId="0" fontId="18" fillId="30" borderId="100" xfId="19" applyFont="1" applyFill="1" applyBorder="1" applyAlignment="1" applyProtection="1">
      <alignment horizontal="center" vertical="center"/>
      <protection locked="0"/>
    </xf>
    <xf numFmtId="0" fontId="18" fillId="0" borderId="0" xfId="0" applyFont="1" applyAlignment="1">
      <alignment horizontal="center" vertical="center"/>
    </xf>
    <xf numFmtId="0" fontId="23" fillId="0" borderId="0" xfId="18" applyAlignment="1">
      <alignment horizontal="left" vertical="center" wrapText="1"/>
    </xf>
    <xf numFmtId="0" fontId="15" fillId="0" borderId="1" xfId="17" applyAlignment="1">
      <alignment horizontal="right" vertical="center"/>
      <protection locked="0"/>
    </xf>
    <xf numFmtId="0" fontId="15" fillId="0" borderId="1" xfId="17" applyAlignment="1">
      <alignment horizontal="center" vertical="center"/>
      <protection locked="0"/>
    </xf>
    <xf numFmtId="0" fontId="14" fillId="0" borderId="0" xfId="0" applyFont="1" applyBorder="1" applyAlignment="1">
      <alignment horizontal="center" vertical="center" wrapText="1"/>
    </xf>
  </cellXfs>
  <cellStyles count="2553">
    <cellStyle name=" _x0007_LÓ_x0018_Ä" xfId="86"/>
    <cellStyle name=" _x0007_LÓ_x0018_ÄþÍ" xfId="87"/>
    <cellStyle name=" _x0007_LÓ_x0018_ÄþÍN^NuNVþˆHÁ_x0001__x0018_(n" xfId="88"/>
    <cellStyle name=" _x0007_LÓ_x0018_ÄþÍN^NuNVþˆHÁ_x0001__x0018_(n 2" xfId="89"/>
    <cellStyle name=" _x0007_LÓ_x0018_ÄþÍN^NuNVþˆHÁ_x0001__x0018_(n 3" xfId="90"/>
    <cellStyle name=" _x0007_LÓ_x0018_ÄþÍN^NuNVþˆHÁ_x0001__x0018_(n 4" xfId="91"/>
    <cellStyle name=" _x0007_LÓ_x0018_ÄþÍN^NuNVþˆHÁ_x0001__x0018_(n_0910 outlook PL bottom up 190209 - MTP v4 - Top Down View" xfId="92"/>
    <cellStyle name="_x000d__x000a_JournalTemplate=C:\COMFO\CTALK\JOURSTD.TPL_x000d__x000a_LbStateAddress=3 3 0 251 1 89 2 311_x000d__x000a_LbStateJou" xfId="93"/>
    <cellStyle name="%" xfId="94"/>
    <cellStyle name="% 2" xfId="95"/>
    <cellStyle name="% 2 2" xfId="2465"/>
    <cellStyle name="% 3" xfId="2466"/>
    <cellStyle name="%_Enterprise 5Y Plan tab" xfId="96"/>
    <cellStyle name="%_Enterprises 5Y Plan v10 - Draft" xfId="97"/>
    <cellStyle name="%_Enterprises 5Y Plan v11" xfId="98"/>
    <cellStyle name="%_Finance QRF3 Consolidated Forecast V2a" xfId="99"/>
    <cellStyle name="%_NGA Capex QRF2 V1" xfId="100"/>
    <cellStyle name="%_Resource Schedule" xfId="101"/>
    <cellStyle name="%_Total P&amp;L" xfId="102"/>
    <cellStyle name="%_Total P&amp;L_1" xfId="103"/>
    <cellStyle name="%_Total P&amp;L_Total P&amp;L" xfId="104"/>
    <cellStyle name="******************************************" xfId="105"/>
    <cellStyle name="*TD" xfId="106"/>
    <cellStyle name="]_x000d__x000a_Zoomed=1_x000d__x000a_Row=0_x000d__x000a_Column=0_x000d__x000a_Height=0_x000d__x000a_Width=0_x000d__x000a_FontName=FoxFont_x000d__x000a_FontStyle=0_x000d__x000a_FontSize=9_x000d__x000a_PrtFontName=FoxPrin" xfId="107"/>
    <cellStyle name="_%(SignOnly)" xfId="108"/>
    <cellStyle name="_%(SignSpaceOnly)" xfId="109"/>
    <cellStyle name="_04 12 10 0506 Budget Plan Pack - Director Sign off Version1" xfId="110"/>
    <cellStyle name="_04 12 10 0506 Budget Plan Pack - Director Sign off Version1_Book2" xfId="111"/>
    <cellStyle name="_04 12 10 0506 Budget Plan Pack - Director Sign off Version1_Book5" xfId="112"/>
    <cellStyle name="_04 12 10 0506 Budget Plan Pack - Director Sign off Version1_BTU CAPEX QRF2 submissionv2 " xfId="113"/>
    <cellStyle name="_04 12 10 0506 Budget Plan Pack - Director Sign off Version1_BTU CAPEX QRF2 submissionv2 _NGA Capex QRF2 V1" xfId="114"/>
    <cellStyle name="_04 12 10 0506 Budget Plan Pack - Director Sign off Version1_BTU CAPEX QRF2 submissionv2 _Total P&amp;L" xfId="115"/>
    <cellStyle name="_04 12 10 0506 Budget Plan Pack - Director Sign off Version1_NGA Capex QRF2 V1" xfId="116"/>
    <cellStyle name="_04 12 10 0506 Budget Plan Pack - Director Sign off Version1_P&amp;L" xfId="117"/>
    <cellStyle name="_04 12 10 0506 Budget Plan Pack - Director Sign off Version1_P&amp;L_NGA Capex QRF2 V1" xfId="118"/>
    <cellStyle name="_04 12 10 0506 Budget Plan Pack - Director Sign off Version1_P&amp;L_Total P&amp;L" xfId="119"/>
    <cellStyle name="_04 12 10 0506 Budget Plan Pack - Director Sign off Version1_P4 Result-040808" xfId="120"/>
    <cellStyle name="_04 12 10 0506 Budget Plan Pack - Director Sign off Version1_QRF 2 Capex CIO Final 11 Sept 08" xfId="121"/>
    <cellStyle name="_04 12 10 0506 Budget Plan Pack - Director Sign off Version1_QRF2 Capex Template V1a - CIO - RC 0708" xfId="122"/>
    <cellStyle name="_04 12 10 0506 Budget Plan Pack - Director Sign off Version1_QRF2 Capex Template V1a - CIO - RC 0708_NGA Capex QRF2 V1" xfId="123"/>
    <cellStyle name="_04 12 10 0506 Budget Plan Pack - Director Sign off Version1_QRF2 Capex Template V1a - CIO - RC 0708_Total P&amp;L" xfId="124"/>
    <cellStyle name="_04 12 10 0506 Budget Plan Pack - Director Sign off Version1_QRF4 V1a 15 Jan 09- CIO" xfId="125"/>
    <cellStyle name="_04 12 10 0506 Budget Plan Pack - Director Sign off Version1_QRF4 V1a Template - BTU with NGA updated" xfId="126"/>
    <cellStyle name="_04 12 10 0506 Budget Plan Pack - Director Sign off Version1_QRF4 V1a Template - GC" xfId="127"/>
    <cellStyle name="_04 12 10 0506 Budget Plan Pack - Director Sign off Version1_Total P&amp;L" xfId="128"/>
    <cellStyle name="_04 12 15 - 0506 Budget Plan Pack - Director Sign off Version 5.01" xfId="129"/>
    <cellStyle name="_04 12 15 - 0506 Budget Plan Pack - Director Sign off Version 5.01_Book2" xfId="130"/>
    <cellStyle name="_04 12 15 - 0506 Budget Plan Pack - Director Sign off Version 5.01_Book5" xfId="131"/>
    <cellStyle name="_04 12 15 - 0506 Budget Plan Pack - Director Sign off Version 5.01_BTU CAPEX QRF2 submissionv2 " xfId="132"/>
    <cellStyle name="_04 12 15 - 0506 Budget Plan Pack - Director Sign off Version 5.01_BTU CAPEX QRF2 submissionv2 _NGA Capex QRF2 V1" xfId="133"/>
    <cellStyle name="_04 12 15 - 0506 Budget Plan Pack - Director Sign off Version 5.01_BTU CAPEX QRF2 submissionv2 _Total P&amp;L" xfId="134"/>
    <cellStyle name="_04 12 15 - 0506 Budget Plan Pack - Director Sign off Version 5.01_NGA Capex QRF2 V1" xfId="135"/>
    <cellStyle name="_04 12 15 - 0506 Budget Plan Pack - Director Sign off Version 5.01_P&amp;L" xfId="136"/>
    <cellStyle name="_04 12 15 - 0506 Budget Plan Pack - Director Sign off Version 5.01_P&amp;L_NGA Capex QRF2 V1" xfId="137"/>
    <cellStyle name="_04 12 15 - 0506 Budget Plan Pack - Director Sign off Version 5.01_P&amp;L_Total P&amp;L" xfId="138"/>
    <cellStyle name="_04 12 15 - 0506 Budget Plan Pack - Director Sign off Version 5.01_P4 Result-040808" xfId="139"/>
    <cellStyle name="_04 12 15 - 0506 Budget Plan Pack - Director Sign off Version 5.01_QRF 2 Capex CIO Final 11 Sept 08" xfId="140"/>
    <cellStyle name="_04 12 15 - 0506 Budget Plan Pack - Director Sign off Version 5.01_QRF2 Capex Template V1a - CIO - RC 0708" xfId="141"/>
    <cellStyle name="_04 12 15 - 0506 Budget Plan Pack - Director Sign off Version 5.01_QRF2 Capex Template V1a - CIO - RC 0708_NGA Capex QRF2 V1" xfId="142"/>
    <cellStyle name="_04 12 15 - 0506 Budget Plan Pack - Director Sign off Version 5.01_QRF2 Capex Template V1a - CIO - RC 0708_Total P&amp;L" xfId="143"/>
    <cellStyle name="_04 12 15 - 0506 Budget Plan Pack - Director Sign off Version 5.01_QRF4 V1a 15 Jan 09- CIO" xfId="144"/>
    <cellStyle name="_04 12 15 - 0506 Budget Plan Pack - Director Sign off Version 5.01_QRF4 V1a Template - BTU with NGA updated" xfId="145"/>
    <cellStyle name="_04 12 15 - 0506 Budget Plan Pack - Director Sign off Version 5.01_QRF4 V1a Template - GC" xfId="146"/>
    <cellStyle name="_04 12 15 - 0506 Budget Plan Pack - Director Sign off Version 5.01_Total P&amp;L" xfId="147"/>
    <cellStyle name="_05 02 08 - 0506 Budget Plan v14.3" xfId="148"/>
    <cellStyle name="_05 02 08 - 0506 Budget Plan v14.3_Book2" xfId="149"/>
    <cellStyle name="_05 02 08 - 0506 Budget Plan v14.3_Book5" xfId="150"/>
    <cellStyle name="_05 02 08 - 0506 Budget Plan v14.3_BTU CAPEX QRF2 submissionv2 " xfId="151"/>
    <cellStyle name="_05 02 08 - 0506 Budget Plan v14.3_BTU CAPEX QRF2 submissionv2 _NGA Capex QRF2 V1" xfId="152"/>
    <cellStyle name="_05 02 08 - 0506 Budget Plan v14.3_BTU CAPEX QRF2 submissionv2 _Total P&amp;L" xfId="153"/>
    <cellStyle name="_05 02 08 - 0506 Budget Plan v14.3_NGA Capex QRF2 V1" xfId="154"/>
    <cellStyle name="_05 02 08 - 0506 Budget Plan v14.3_P&amp;L" xfId="155"/>
    <cellStyle name="_05 02 08 - 0506 Budget Plan v14.3_P&amp;L_NGA Capex QRF2 V1" xfId="156"/>
    <cellStyle name="_05 02 08 - 0506 Budget Plan v14.3_P&amp;L_Total P&amp;L" xfId="157"/>
    <cellStyle name="_05 02 08 - 0506 Budget Plan v14.3_P4 Result-040808" xfId="158"/>
    <cellStyle name="_05 02 08 - 0506 Budget Plan v14.3_QRF 2 Capex CIO Final 11 Sept 08" xfId="159"/>
    <cellStyle name="_05 02 08 - 0506 Budget Plan v14.3_QRF2 Capex Template V1a - CIO - RC 0708" xfId="160"/>
    <cellStyle name="_05 02 08 - 0506 Budget Plan v14.3_QRF2 Capex Template V1a - CIO - RC 0708_NGA Capex QRF2 V1" xfId="161"/>
    <cellStyle name="_05 02 08 - 0506 Budget Plan v14.3_QRF2 Capex Template V1a - CIO - RC 0708_Total P&amp;L" xfId="162"/>
    <cellStyle name="_05 02 08 - 0506 Budget Plan v14.3_QRF4 V1a 15 Jan 09- CIO" xfId="163"/>
    <cellStyle name="_05 02 08 - 0506 Budget Plan v14.3_QRF4 V1a Template - BTU with NGA updated" xfId="164"/>
    <cellStyle name="_05 02 08 - 0506 Budget Plan v14.3_QRF4 V1a Template - GC" xfId="165"/>
    <cellStyle name="_05 02 08 - 0506 Budget Plan v14.3_Total P&amp;L" xfId="166"/>
    <cellStyle name="_0708 QPB Marketing" xfId="167"/>
    <cellStyle name="_0809QRF4AnnexDIssue1 0" xfId="168"/>
    <cellStyle name="_10 year view - 06.12.041" xfId="169"/>
    <cellStyle name="_10 year view - 07.12.04" xfId="170"/>
    <cellStyle name="_10 year view market" xfId="171"/>
    <cellStyle name="_11.Property cost reporting schedules Q3 (BT Property Submission)" xfId="172"/>
    <cellStyle name="_115065" xfId="173"/>
    <cellStyle name="_2004-5 Q3 Campaign Weekly Report.xls Chart 1" xfId="174"/>
    <cellStyle name="_2004-5 Q3 Campaign Weekly Report.xls Chart 2" xfId="175"/>
    <cellStyle name="_2004-5 Q3 Campaign Weekly Report.xls Chart 3" xfId="176"/>
    <cellStyle name="_2004-5 Q3 Campaign Weekly Report.xls Chart 4" xfId="177"/>
    <cellStyle name="_2005-6 Q3 Campaign Weekly Report" xfId="178"/>
    <cellStyle name="_2005-6 Q3 Campaign Weekly Report8" xfId="179"/>
    <cellStyle name="_2006 Headcount New Org New Structure 17-02-06" xfId="180"/>
    <cellStyle name="_2006 Headcount New Org New Structure 17-02-06_BT Retail 5 Year Plan Master v5" xfId="181"/>
    <cellStyle name="_2007 Budget TV Backup" xfId="182"/>
    <cellStyle name="_2007 Budget TV Backup_BT Retail 5 Year Plan Master v5" xfId="183"/>
    <cellStyle name="_2008&amp;9 QRF2 Forecast Summary (P4 v5)" xfId="184"/>
    <cellStyle name="_2008&amp;9 QRF3 Forecast Summary (P6 v5)" xfId="185"/>
    <cellStyle name="_2008&amp;9 QRF4 Forecast Summary (P10 v4)" xfId="186"/>
    <cellStyle name="_21C_BUDGET_POSITION_05063" xfId="187"/>
    <cellStyle name="_3_9 Content Acq_ Basic ratecards_Fixed fees_ Shopping template" xfId="188"/>
    <cellStyle name="_3_9 Content Acq_ Basic ratecards_Fixed fees_ Shopping template_BT Retail 5 Year Plan Master v5" xfId="189"/>
    <cellStyle name="_3_9 Fixed fees_Shopping_SVOD sent" xfId="190"/>
    <cellStyle name="_3_9 Fixed fees_Shopping_SVOD sent_BT Retail 5 Year Plan Master v5" xfId="191"/>
    <cellStyle name="_3_9 rate cards sent" xfId="192"/>
    <cellStyle name="_3_9 rate cards sent 28 Mar 07 phasing UKTV FTV" xfId="193"/>
    <cellStyle name="_3_9 rate cards sent 28 Mar 07 phasing UKTV FTV_BT Retail 5 Year Plan Master v5" xfId="194"/>
    <cellStyle name="_3_9 rate cards sent_BT Retail 5 Year Plan Master v5" xfId="195"/>
    <cellStyle name="_3rd Party Contract Rationalisation 13 July" xfId="196"/>
    <cellStyle name="_56820-66820 March 2006" xfId="197"/>
    <cellStyle name="_9 Property Cost Reporting Schedules QRF3" xfId="198"/>
    <cellStyle name="_Abandonment Rates" xfId="199"/>
    <cellStyle name="_Absolute latest PL 05_06 with actual 04_05 outurn" xfId="200"/>
    <cellStyle name="_Absolute latest PL 05_06 with actual 04_05 outurn_Book2" xfId="201"/>
    <cellStyle name="_Absolute latest PL 05_06 with actual 04_05 outurn_Book5" xfId="202"/>
    <cellStyle name="_Absolute latest PL 05_06 with actual 04_05 outurn_BTU CAPEX QRF2 submissionv2 " xfId="203"/>
    <cellStyle name="_Absolute latest PL 05_06 with actual 04_05 outurn_BTU CAPEX QRF2 submissionv2 _NGA Capex QRF2 V1" xfId="204"/>
    <cellStyle name="_Absolute latest PL 05_06 with actual 04_05 outurn_BTU CAPEX QRF2 submissionv2 _Total P&amp;L" xfId="205"/>
    <cellStyle name="_Absolute latest PL 05_06 with actual 04_05 outurn_NGA Capex QRF2 V1" xfId="206"/>
    <cellStyle name="_Absolute latest PL 05_06 with actual 04_05 outurn_P&amp;L" xfId="207"/>
    <cellStyle name="_Absolute latest PL 05_06 with actual 04_05 outurn_P&amp;L_NGA Capex QRF2 V1" xfId="208"/>
    <cellStyle name="_Absolute latest PL 05_06 with actual 04_05 outurn_P&amp;L_Total P&amp;L" xfId="209"/>
    <cellStyle name="_Absolute latest PL 05_06 with actual 04_05 outurn_P4 Result-040808" xfId="210"/>
    <cellStyle name="_Absolute latest PL 05_06 with actual 04_05 outurn_QRF 2 Capex CIO Final 11 Sept 08" xfId="211"/>
    <cellStyle name="_Absolute latest PL 05_06 with actual 04_05 outurn_QRF2 Capex Template V1a - CIO - RC 0708" xfId="212"/>
    <cellStyle name="_Absolute latest PL 05_06 with actual 04_05 outurn_QRF2 Capex Template V1a - CIO - RC 0708_NGA Capex QRF2 V1" xfId="213"/>
    <cellStyle name="_Absolute latest PL 05_06 with actual 04_05 outurn_QRF2 Capex Template V1a - CIO - RC 0708_Total P&amp;L" xfId="214"/>
    <cellStyle name="_Absolute latest PL 05_06 with actual 04_05 outurn_QRF4 V1a 15 Jan 09- CIO" xfId="215"/>
    <cellStyle name="_Absolute latest PL 05_06 with actual 04_05 outurn_QRF4 V1a Template - BTU with NGA updated" xfId="216"/>
    <cellStyle name="_Absolute latest PL 05_06 with actual 04_05 outurn_QRF4 V1a Template - GC" xfId="217"/>
    <cellStyle name="_Absolute latest PL 05_06 with actual 04_05 outurn_Total P&amp;L" xfId="218"/>
    <cellStyle name="_AFI22 PPC 0708 NCC to GL 011008" xfId="219"/>
    <cellStyle name="_AMI_new universe data requirement BT 21July05 copy" xfId="220"/>
    <cellStyle name="_AMI_technology penetration" xfId="221"/>
    <cellStyle name="_AMI_universe definition" xfId="222"/>
    <cellStyle name="_assumptions" xfId="223"/>
    <cellStyle name="_ATV ratecards resent 24 Mar 07" xfId="224"/>
    <cellStyle name="_ATV ratecards resent 24 Mar 07_BT Retail 5 Year Plan Master v5" xfId="225"/>
    <cellStyle name="_BB EBITDA Master Pre XFERS" xfId="226"/>
    <cellStyle name="_BB EBITDA Master Pre XFERS V2" xfId="227"/>
    <cellStyle name="_BB EBITDA Master Pre XFERS V2_Book2" xfId="228"/>
    <cellStyle name="_BB EBITDA Master Pre XFERS V2_Book5" xfId="229"/>
    <cellStyle name="_BB EBITDA Master Pre XFERS V2_BTU CAPEX QRF2 submissionv2 " xfId="230"/>
    <cellStyle name="_BB EBITDA Master Pre XFERS V2_BTU CAPEX QRF2 submissionv2 _NGA Capex QRF2 V1" xfId="231"/>
    <cellStyle name="_BB EBITDA Master Pre XFERS V2_BTU CAPEX QRF2 submissionv2 _Total P&amp;L" xfId="232"/>
    <cellStyle name="_BB EBITDA Master Pre XFERS V2_NGA Capex QRF2 V1" xfId="233"/>
    <cellStyle name="_BB EBITDA Master Pre XFERS V2_P&amp;L" xfId="234"/>
    <cellStyle name="_BB EBITDA Master Pre XFERS V2_P&amp;L_NGA Capex QRF2 V1" xfId="235"/>
    <cellStyle name="_BB EBITDA Master Pre XFERS V2_P&amp;L_Total P&amp;L" xfId="236"/>
    <cellStyle name="_BB EBITDA Master Pre XFERS V2_P4 Result-040808" xfId="237"/>
    <cellStyle name="_BB EBITDA Master Pre XFERS V2_QRF 2 Capex CIO Final 11 Sept 08" xfId="238"/>
    <cellStyle name="_BB EBITDA Master Pre XFERS V2_QRF2 Capex Template V1a - CIO - RC 0708" xfId="239"/>
    <cellStyle name="_BB EBITDA Master Pre XFERS V2_QRF2 Capex Template V1a - CIO - RC 0708_NGA Capex QRF2 V1" xfId="240"/>
    <cellStyle name="_BB EBITDA Master Pre XFERS V2_QRF2 Capex Template V1a - CIO - RC 0708_Total P&amp;L" xfId="241"/>
    <cellStyle name="_BB EBITDA Master Pre XFERS V2_QRF4 V1a 15 Jan 09- CIO" xfId="242"/>
    <cellStyle name="_BB EBITDA Master Pre XFERS V2_QRF4 V1a Template - BTU with NGA updated" xfId="243"/>
    <cellStyle name="_BB EBITDA Master Pre XFERS V2_QRF4 V1a Template - GC" xfId="244"/>
    <cellStyle name="_BB EBITDA Master Pre XFERS V2_Total P&amp;L" xfId="245"/>
    <cellStyle name="_BB EBITDA Master Pre XFERS_Book2" xfId="246"/>
    <cellStyle name="_BB EBITDA Master Pre XFERS_Book5" xfId="247"/>
    <cellStyle name="_BB EBITDA Master Pre XFERS_BTU CAPEX QRF2 submissionv2 " xfId="248"/>
    <cellStyle name="_BB EBITDA Master Pre XFERS_BTU CAPEX QRF2 submissionv2 _NGA Capex QRF2 V1" xfId="249"/>
    <cellStyle name="_BB EBITDA Master Pre XFERS_BTU CAPEX QRF2 submissionv2 _Total P&amp;L" xfId="250"/>
    <cellStyle name="_BB EBITDA Master Pre XFERS_NGA Capex QRF2 V1" xfId="251"/>
    <cellStyle name="_BB EBITDA Master Pre XFERS_P&amp;L" xfId="252"/>
    <cellStyle name="_BB EBITDA Master Pre XFERS_P&amp;L_NGA Capex QRF2 V1" xfId="253"/>
    <cellStyle name="_BB EBITDA Master Pre XFERS_P&amp;L_Total P&amp;L" xfId="254"/>
    <cellStyle name="_BB EBITDA Master Pre XFERS_P4 Result-040808" xfId="255"/>
    <cellStyle name="_BB EBITDA Master Pre XFERS_QRF 2 Capex CIO Final 11 Sept 08" xfId="256"/>
    <cellStyle name="_BB EBITDA Master Pre XFERS_QRF2 Capex Template V1a - CIO - RC 0708" xfId="257"/>
    <cellStyle name="_BB EBITDA Master Pre XFERS_QRF2 Capex Template V1a - CIO - RC 0708_NGA Capex QRF2 V1" xfId="258"/>
    <cellStyle name="_BB EBITDA Master Pre XFERS_QRF2 Capex Template V1a - CIO - RC 0708_Total P&amp;L" xfId="259"/>
    <cellStyle name="_BB EBITDA Master Pre XFERS_QRF4 V1a 15 Jan 09- CIO" xfId="260"/>
    <cellStyle name="_BB EBITDA Master Pre XFERS_QRF4 V1a Template - BTU with NGA updated" xfId="261"/>
    <cellStyle name="_BB EBITDA Master Pre XFERS_QRF4 V1a Template - GC" xfId="262"/>
    <cellStyle name="_BB EBITDA Master Pre XFERS_Total P&amp;L" xfId="263"/>
    <cellStyle name="_BB price adj 07Mar fin version1" xfId="264"/>
    <cellStyle name="_BB Talk data 06-07" xfId="265"/>
    <cellStyle name="_BBE Master 22 Mar" xfId="266"/>
    <cellStyle name="_BC EBITDA Master Pre Xfers" xfId="267"/>
    <cellStyle name="_BC EBITDA Master Pre Xfers_Book2" xfId="268"/>
    <cellStyle name="_BC EBITDA Master Pre Xfers_Book5" xfId="269"/>
    <cellStyle name="_BC EBITDA Master Pre Xfers_BTU CAPEX QRF2 submissionv2 " xfId="270"/>
    <cellStyle name="_BC EBITDA Master Pre Xfers_BTU CAPEX QRF2 submissionv2 _NGA Capex QRF2 V1" xfId="271"/>
    <cellStyle name="_BC EBITDA Master Pre Xfers_BTU CAPEX QRF2 submissionv2 _Total P&amp;L" xfId="272"/>
    <cellStyle name="_BC EBITDA Master Pre Xfers_NGA Capex QRF2 V1" xfId="273"/>
    <cellStyle name="_BC EBITDA Master Pre Xfers_P&amp;L" xfId="274"/>
    <cellStyle name="_BC EBITDA Master Pre Xfers_P&amp;L_NGA Capex QRF2 V1" xfId="275"/>
    <cellStyle name="_BC EBITDA Master Pre Xfers_P&amp;L_Total P&amp;L" xfId="276"/>
    <cellStyle name="_BC EBITDA Master Pre Xfers_P4 Result-040808" xfId="277"/>
    <cellStyle name="_BC EBITDA Master Pre Xfers_QRF 2 Capex CIO Final 11 Sept 08" xfId="278"/>
    <cellStyle name="_BC EBITDA Master Pre Xfers_QRF2 Capex Template V1a - CIO - RC 0708" xfId="279"/>
    <cellStyle name="_BC EBITDA Master Pre Xfers_QRF2 Capex Template V1a - CIO - RC 0708_NGA Capex QRF2 V1" xfId="280"/>
    <cellStyle name="_BC EBITDA Master Pre Xfers_QRF2 Capex Template V1a - CIO - RC 0708_Total P&amp;L" xfId="281"/>
    <cellStyle name="_BC EBITDA Master Pre Xfers_QRF4 V1a 15 Jan 09- CIO" xfId="282"/>
    <cellStyle name="_BC EBITDA Master Pre Xfers_QRF4 V1a Template - BTU with NGA updated" xfId="283"/>
    <cellStyle name="_BC EBITDA Master Pre Xfers_QRF4 V1a Template - GC" xfId="284"/>
    <cellStyle name="_BC EBITDA Master Pre Xfers_Total P&amp;L" xfId="285"/>
    <cellStyle name="_BD Det Rep wd2 am-Julie Hyperion 020708" xfId="286"/>
    <cellStyle name="_BD Det Rep wd2 am-Julie Hyperion 020708_NGA Capex QRF2 V1" xfId="287"/>
    <cellStyle name="_BD Det Rep wd2 am-Julie Hyperion 020708_Total P&amp;L" xfId="288"/>
    <cellStyle name="_BD Detailed Rep wd4 pm" xfId="289"/>
    <cellStyle name="_BD Detailed Rep wd4 pm_NGA Capex QRF2 V1" xfId="290"/>
    <cellStyle name="_BD Detailed Rep wd4 pm_Total P&amp;L" xfId="291"/>
    <cellStyle name="_BD Detailed Report p4 wd3 pm-JL 050808" xfId="292"/>
    <cellStyle name="_BD Detailed Report p4 wd3 pm-JL 050808_NGA Capex QRF2 V1" xfId="293"/>
    <cellStyle name="_BD Detailed Report p4 wd3 pm-JL 050808_Total P&amp;L" xfId="294"/>
    <cellStyle name="_Board data may" xfId="295"/>
    <cellStyle name="_Board data may_NGA Capex QRF2 V1" xfId="296"/>
    <cellStyle name="_Board data may_Total P&amp;L" xfId="297"/>
    <cellStyle name="_Book1" xfId="298"/>
    <cellStyle name="_Book1 (2)" xfId="299"/>
    <cellStyle name="_Book1_TC STRAT PLAN PRESENTATION MASTER -  BUSINESS REVIEW UPDATE - 19 FEB" xfId="300"/>
    <cellStyle name="_Book2 Chart 1" xfId="301"/>
    <cellStyle name="_Book3" xfId="302"/>
    <cellStyle name="_Book4" xfId="303"/>
    <cellStyle name="_Book4_NGA Capex QRF2 V1" xfId="304"/>
    <cellStyle name="_Book4_NGA Capex QRF2 V1_Total P&amp;L" xfId="305"/>
    <cellStyle name="_Book4_Service Delivery Capex Template QRF2 V1" xfId="306"/>
    <cellStyle name="_Book4_Service Design Network Capex Template QRF2 V11" xfId="307"/>
    <cellStyle name="_Book4_Service Design System Development Capex Template QRF2 V22" xfId="308"/>
    <cellStyle name="_Book4_Service Design System Development Capex Template QRF2 V22_Total P&amp;L" xfId="309"/>
    <cellStyle name="_Book5" xfId="310"/>
    <cellStyle name="_Broadnet Integration 13 July" xfId="311"/>
    <cellStyle name="_BT Bus Strat Plan 210705c" xfId="312"/>
    <cellStyle name="_BTB Draft Calendarization Nov 05 (2)" xfId="313"/>
    <cellStyle name="_BTB Strat Plan Summary 300806a" xfId="314"/>
    <cellStyle name="_BTB submission schedules 29 November 10am" xfId="315"/>
    <cellStyle name="_btb summary 120906" xfId="316"/>
    <cellStyle name="_btb summary 120906 v2" xfId="317"/>
    <cellStyle name="_btb summary 120906 v2 (2)" xfId="318"/>
    <cellStyle name="_BTB VOIP strat plan" xfId="319"/>
    <cellStyle name="_BTB VOIP strat plan v2 (2)" xfId="320"/>
    <cellStyle name="_btb vols and PV analysis 051006 (2)" xfId="321"/>
    <cellStyle name="_BTB volumes by product 060906" xfId="322"/>
    <cellStyle name="_BTU CAPEX QRF2 submissionv2 " xfId="323"/>
    <cellStyle name="_BTU CAPEX QRF2 submissionv2 _NGA Capex QRF2 V1" xfId="324"/>
    <cellStyle name="_BTU CAPEX QRF2 submissionv2 _Total P&amp;L" xfId="325"/>
    <cellStyle name="_BTW Q2 cost template Split" xfId="326"/>
    <cellStyle name="_BU analysis of cost savings v5 (2) (4)" xfId="327"/>
    <cellStyle name="_BU analysis of cost savings v5 (3)" xfId="328"/>
    <cellStyle name="_Budget Challenge Allocation" xfId="329"/>
    <cellStyle name="_Budget Challenge Allocation North Targets" xfId="330"/>
    <cellStyle name="_Budget Challenge Allocation North Targets_Book2" xfId="331"/>
    <cellStyle name="_Budget Challenge Allocation North Targets_Book5" xfId="332"/>
    <cellStyle name="_Budget Challenge Allocation North Targets_BTU CAPEX QRF2 submissionv2 " xfId="333"/>
    <cellStyle name="_Budget Challenge Allocation North Targets_BTU CAPEX QRF2 submissionv2 _NGA Capex QRF2 V1" xfId="334"/>
    <cellStyle name="_Budget Challenge Allocation North Targets_BTU CAPEX QRF2 submissionv2 _Total P&amp;L" xfId="335"/>
    <cellStyle name="_Budget Challenge Allocation North Targets_NGA Capex QRF2 V1" xfId="336"/>
    <cellStyle name="_Budget Challenge Allocation North Targets_P&amp;L" xfId="337"/>
    <cellStyle name="_Budget Challenge Allocation North Targets_P&amp;L_NGA Capex QRF2 V1" xfId="338"/>
    <cellStyle name="_Budget Challenge Allocation North Targets_P&amp;L_Total P&amp;L" xfId="339"/>
    <cellStyle name="_Budget Challenge Allocation North Targets_P4 Result-040808" xfId="340"/>
    <cellStyle name="_Budget Challenge Allocation North Targets_QRF 2 Capex CIO Final 11 Sept 08" xfId="341"/>
    <cellStyle name="_Budget Challenge Allocation North Targets_QRF2 Capex Template V1a - CIO - RC 0708" xfId="342"/>
    <cellStyle name="_Budget Challenge Allocation North Targets_QRF2 Capex Template V1a - CIO - RC 0708_NGA Capex QRF2 V1" xfId="343"/>
    <cellStyle name="_Budget Challenge Allocation North Targets_QRF2 Capex Template V1a - CIO - RC 0708_Total P&amp;L" xfId="344"/>
    <cellStyle name="_Budget Challenge Allocation North Targets_QRF4 V1a 15 Jan 09- CIO" xfId="345"/>
    <cellStyle name="_Budget Challenge Allocation North Targets_QRF4 V1a Template - BTU with NGA updated" xfId="346"/>
    <cellStyle name="_Budget Challenge Allocation North Targets_QRF4 V1a Template - GC" xfId="347"/>
    <cellStyle name="_Budget Challenge Allocation North Targets_Total P&amp;L" xfId="348"/>
    <cellStyle name="_Budget Challenge Allocation_Book2" xfId="349"/>
    <cellStyle name="_Budget Challenge Allocation_Book5" xfId="350"/>
    <cellStyle name="_Budget Challenge Allocation_BTU CAPEX QRF2 submissionv2 " xfId="351"/>
    <cellStyle name="_Budget Challenge Allocation_BTU CAPEX QRF2 submissionv2 _NGA Capex QRF2 V1" xfId="352"/>
    <cellStyle name="_Budget Challenge Allocation_BTU CAPEX QRF2 submissionv2 _Total P&amp;L" xfId="353"/>
    <cellStyle name="_Budget Challenge Allocation_NGA Capex QRF2 V1" xfId="354"/>
    <cellStyle name="_Budget Challenge Allocation_P&amp;L" xfId="355"/>
    <cellStyle name="_Budget Challenge Allocation_P&amp;L_NGA Capex QRF2 V1" xfId="356"/>
    <cellStyle name="_Budget Challenge Allocation_P&amp;L_Total P&amp;L" xfId="357"/>
    <cellStyle name="_Budget Challenge Allocation_P4 Result-040808" xfId="358"/>
    <cellStyle name="_Budget Challenge Allocation_QRF 2 Capex CIO Final 11 Sept 08" xfId="359"/>
    <cellStyle name="_Budget Challenge Allocation_QRF2 Capex Template V1a - CIO - RC 0708" xfId="360"/>
    <cellStyle name="_Budget Challenge Allocation_QRF2 Capex Template V1a - CIO - RC 0708_NGA Capex QRF2 V1" xfId="361"/>
    <cellStyle name="_Budget Challenge Allocation_QRF2 Capex Template V1a - CIO - RC 0708_Total P&amp;L" xfId="362"/>
    <cellStyle name="_Budget Challenge Allocation_QRF4 V1a 15 Jan 09- CIO" xfId="363"/>
    <cellStyle name="_Budget Challenge Allocation_QRF4 V1a Template - BTU with NGA updated" xfId="364"/>
    <cellStyle name="_Budget Challenge Allocation_QRF4 V1a Template - GC" xfId="365"/>
    <cellStyle name="_Budget Challenge Allocation_Total P&amp;L" xfId="366"/>
    <cellStyle name="_Budget PVE Data" xfId="367"/>
    <cellStyle name="_Budget PVE Data_Book2" xfId="368"/>
    <cellStyle name="_Budget PVE Data_Book5" xfId="369"/>
    <cellStyle name="_Budget PVE Data_BTU CAPEX QRF2 submissionv2 " xfId="370"/>
    <cellStyle name="_Budget PVE Data_BTU CAPEX QRF2 submissionv2 _NGA Capex QRF2 V1" xfId="371"/>
    <cellStyle name="_Budget PVE Data_BTU CAPEX QRF2 submissionv2 _Total P&amp;L" xfId="372"/>
    <cellStyle name="_Budget PVE Data_NGA Capex QRF2 V1" xfId="373"/>
    <cellStyle name="_Budget PVE Data_P&amp;L" xfId="374"/>
    <cellStyle name="_Budget PVE Data_P&amp;L_NGA Capex QRF2 V1" xfId="375"/>
    <cellStyle name="_Budget PVE Data_P&amp;L_Total P&amp;L" xfId="376"/>
    <cellStyle name="_Budget PVE Data_P4 Result-040808" xfId="377"/>
    <cellStyle name="_Budget PVE Data_QRF 2 Capex CIO Final 11 Sept 08" xfId="378"/>
    <cellStyle name="_Budget PVE Data_QRF2 Capex Template V1a - CIO - RC 0708" xfId="379"/>
    <cellStyle name="_Budget PVE Data_QRF2 Capex Template V1a - CIO - RC 0708_NGA Capex QRF2 V1" xfId="380"/>
    <cellStyle name="_Budget PVE Data_QRF2 Capex Template V1a - CIO - RC 0708_Total P&amp;L" xfId="381"/>
    <cellStyle name="_Budget PVE Data_QRF4 V1a 15 Jan 09- CIO" xfId="382"/>
    <cellStyle name="_Budget PVE Data_QRF4 V1a Template - BTU with NGA updated" xfId="383"/>
    <cellStyle name="_Budget PVE Data_QRF4 V1a Template - GC" xfId="384"/>
    <cellStyle name="_Budget PVE Data_Total P&amp;L" xfId="385"/>
    <cellStyle name="_BUDGET SPLIT @ GM - BBE v5" xfId="386"/>
    <cellStyle name="_Budget TLC Pre Xfers" xfId="387"/>
    <cellStyle name="_Budget TLC Pre Xfers_Book2" xfId="388"/>
    <cellStyle name="_Budget TLC Pre Xfers_Book5" xfId="389"/>
    <cellStyle name="_Budget TLC Pre Xfers_BTU CAPEX QRF2 submissionv2 " xfId="390"/>
    <cellStyle name="_Budget TLC Pre Xfers_BTU CAPEX QRF2 submissionv2 _NGA Capex QRF2 V1" xfId="391"/>
    <cellStyle name="_Budget TLC Pre Xfers_BTU CAPEX QRF2 submissionv2 _Total P&amp;L" xfId="392"/>
    <cellStyle name="_Budget TLC Pre Xfers_NGA Capex QRF2 V1" xfId="393"/>
    <cellStyle name="_Budget TLC Pre Xfers_P&amp;L" xfId="394"/>
    <cellStyle name="_Budget TLC Pre Xfers_P&amp;L_NGA Capex QRF2 V1" xfId="395"/>
    <cellStyle name="_Budget TLC Pre Xfers_P&amp;L_Total P&amp;L" xfId="396"/>
    <cellStyle name="_Budget TLC Pre Xfers_P4 Result-040808" xfId="397"/>
    <cellStyle name="_Budget TLC Pre Xfers_QRF 2 Capex CIO Final 11 Sept 08" xfId="398"/>
    <cellStyle name="_Budget TLC Pre Xfers_QRF2 Capex Template V1a - CIO - RC 0708" xfId="399"/>
    <cellStyle name="_Budget TLC Pre Xfers_QRF2 Capex Template V1a - CIO - RC 0708_NGA Capex QRF2 V1" xfId="400"/>
    <cellStyle name="_Budget TLC Pre Xfers_QRF2 Capex Template V1a - CIO - RC 0708_Total P&amp;L" xfId="401"/>
    <cellStyle name="_Budget TLC Pre Xfers_QRF4 V1a 15 Jan 09- CIO" xfId="402"/>
    <cellStyle name="_Budget TLC Pre Xfers_QRF4 V1a Template - BTU with NGA updated" xfId="403"/>
    <cellStyle name="_Budget TLC Pre Xfers_QRF4 V1a Template - GC" xfId="404"/>
    <cellStyle name="_Budget TLC Pre Xfers_Total P&amp;L" xfId="405"/>
    <cellStyle name="_Budget to MW 6th Feb (3)" xfId="406"/>
    <cellStyle name="_Business Demogs" xfId="407"/>
    <cellStyle name="_Capex1" xfId="408"/>
    <cellStyle name="_CFO Financials 2007" xfId="409"/>
    <cellStyle name="_CFO Financials 2007_BT Retail 5 Year Plan Master v5" xfId="410"/>
    <cellStyle name="_Channel Base Case Vols" xfId="411"/>
    <cellStyle name="_CIO Capex (updated with P6) (QRF 2 Capex CIO Final 19 Sept 08)" xfId="412"/>
    <cellStyle name="_CIO Capex Schedule_working" xfId="413"/>
    <cellStyle name="_CIO Capex Schedule_working_Book2" xfId="414"/>
    <cellStyle name="_CIO Capex Schedule_working_Book2_NGA Capex QRF2 V1" xfId="415"/>
    <cellStyle name="_CIO Capex Schedule_working_Book2_NGA Capex QRF2 V1_Total P&amp;L" xfId="416"/>
    <cellStyle name="_CIO Capex Schedule_working_Book2_Service Delivery Capex Template QRF2 V1" xfId="417"/>
    <cellStyle name="_CIO Capex Schedule_working_Book2_Service Delivery Capex Template QRF2 V1_Total P&amp;L" xfId="418"/>
    <cellStyle name="_CIO Capex Schedule_working_Book2_Service Design Network Capex Template QRF2 V11" xfId="419"/>
    <cellStyle name="_CIO Capex Schedule_working_Book2_Service Design Network Capex Template QRF2 V11_Total P&amp;L" xfId="420"/>
    <cellStyle name="_CIO Capex Schedule_working_Book2_Service Design System Development Capex Template QRF2 V22" xfId="421"/>
    <cellStyle name="_CIO Capex Schedule_working_Book2_Service Design System Development Capex Template QRF2 V22_Total P&amp;L" xfId="422"/>
    <cellStyle name="_CIO Capex Schedule_working_Book2_Total P&amp;L" xfId="423"/>
    <cellStyle name="_CIO Capex Schedule_working_Book5" xfId="424"/>
    <cellStyle name="_CIO Capex Schedule_working_Book5_NGA Capex QRF2 V1" xfId="425"/>
    <cellStyle name="_CIO Capex Schedule_working_Book5_NGA Capex QRF2 V1_Total P&amp;L" xfId="426"/>
    <cellStyle name="_CIO Capex Schedule_working_Book5_Service Delivery Capex Template QRF2 V1" xfId="427"/>
    <cellStyle name="_CIO Capex Schedule_working_Book5_Service Delivery Capex Template QRF2 V1_Total P&amp;L" xfId="428"/>
    <cellStyle name="_CIO Capex Schedule_working_Book5_Service Design Network Capex Template QRF2 V11" xfId="429"/>
    <cellStyle name="_CIO Capex Schedule_working_Book5_Service Design Network Capex Template QRF2 V11_Total P&amp;L" xfId="430"/>
    <cellStyle name="_CIO Capex Schedule_working_Book5_Service Design System Development Capex Template QRF2 V22" xfId="431"/>
    <cellStyle name="_CIO Capex Schedule_working_Book5_Service Design System Development Capex Template QRF2 V22_Total P&amp;L" xfId="432"/>
    <cellStyle name="_CIO Capex Schedule_working_Book5_Total P&amp;L" xfId="433"/>
    <cellStyle name="_CIO Capex Schedule_working_NGA Capex QRF2 V1" xfId="434"/>
    <cellStyle name="_CIO Capex Schedule_working_NGA Capex QRF2 V1_Total P&amp;L" xfId="435"/>
    <cellStyle name="_CIO Capex Schedule_working_P4 Result-040808" xfId="436"/>
    <cellStyle name="_CIO Capex Schedule_working_P4 Result-040808_NGA Capex QRF2 V1" xfId="437"/>
    <cellStyle name="_CIO Capex Schedule_working_P4 Result-040808_NGA Capex QRF2 V1_Total P&amp;L" xfId="438"/>
    <cellStyle name="_CIO Capex Schedule_working_P4 Result-040808_Service Delivery Capex Template QRF2 V1" xfId="439"/>
    <cellStyle name="_CIO Capex Schedule_working_P4 Result-040808_Service Delivery Capex Template QRF2 V1_Total P&amp;L" xfId="440"/>
    <cellStyle name="_CIO Capex Schedule_working_P4 Result-040808_Service Design Network Capex Template QRF2 V11" xfId="441"/>
    <cellStyle name="_CIO Capex Schedule_working_P4 Result-040808_Service Design Network Capex Template QRF2 V11_Total P&amp;L" xfId="442"/>
    <cellStyle name="_CIO Capex Schedule_working_P4 Result-040808_Service Design System Development Capex Template QRF2 V22" xfId="443"/>
    <cellStyle name="_CIO Capex Schedule_working_P4 Result-040808_Service Design System Development Capex Template QRF2 V22_Total P&amp;L" xfId="444"/>
    <cellStyle name="_CIO Capex Schedule_working_P4 Result-040808_Total P&amp;L" xfId="445"/>
    <cellStyle name="_CIO Capex Schedule_working_QRF 2 Capex CIO Final 11 Sept 08" xfId="446"/>
    <cellStyle name="_CIO Capex Schedule_working_QRF 2 Capex CIO Final 11 Sept 08_NGA Capex QRF2 V1" xfId="447"/>
    <cellStyle name="_CIO Capex Schedule_working_QRF 2 Capex CIO Final 11 Sept 08_NGA Capex QRF2 V1_Total P&amp;L" xfId="448"/>
    <cellStyle name="_CIO Capex Schedule_working_QRF 2 Capex CIO Final 11 Sept 08_Service Delivery Capex Template QRF2 V1" xfId="449"/>
    <cellStyle name="_CIO Capex Schedule_working_QRF 2 Capex CIO Final 11 Sept 08_Service Delivery Capex Template QRF2 V1_Total P&amp;L" xfId="450"/>
    <cellStyle name="_CIO Capex Schedule_working_QRF 2 Capex CIO Final 11 Sept 08_Service Design Network Capex Template QRF2 V11" xfId="451"/>
    <cellStyle name="_CIO Capex Schedule_working_QRF 2 Capex CIO Final 11 Sept 08_Service Design Network Capex Template QRF2 V11_Total P&amp;L" xfId="452"/>
    <cellStyle name="_CIO Capex Schedule_working_QRF 2 Capex CIO Final 11 Sept 08_Service Design System Development Capex Template QRF2 V22" xfId="453"/>
    <cellStyle name="_CIO Capex Schedule_working_QRF 2 Capex CIO Final 11 Sept 08_Service Design System Development Capex Template QRF2 V22_Total P&amp;L" xfId="454"/>
    <cellStyle name="_CIO Capex Schedule_working_QRF 2 Capex CIO Final 11 Sept 08_Total P&amp;L" xfId="455"/>
    <cellStyle name="_CIO Capex Schedule_working_QRF2 Capex Template V1a - CIO - RC 0708" xfId="456"/>
    <cellStyle name="_CIO Capex Schedule_working_QRF2 Capex Template V1a - CIO - RC 0708_NGA Capex QRF2 V1" xfId="457"/>
    <cellStyle name="_CIO Capex Schedule_working_QRF2 Capex Template V1a - CIO - RC 0708_NGA Capex QRF2 V1_Total P&amp;L" xfId="458"/>
    <cellStyle name="_CIO Capex Schedule_working_QRF2 Capex Template V1a - CIO - RC 0708_Service Delivery Capex Template QRF2 V1" xfId="459"/>
    <cellStyle name="_CIO Capex Schedule_working_QRF2 Capex Template V1a - CIO - RC 0708_Service Design Network Capex Template QRF2 V11" xfId="460"/>
    <cellStyle name="_CIO Capex Schedule_working_QRF2 Capex Template V1a - CIO - RC 0708_Service Design System Development Capex Template QRF2 V22" xfId="461"/>
    <cellStyle name="_CIO Capex Schedule_working_QRF2 Capex Template V1a - CIO - RC 0708_Service Design System Development Capex Template QRF2 V22_Total P&amp;L" xfId="462"/>
    <cellStyle name="_CIO Capex Schedule_working_QRF4 V1a 15 Jan 09- CIO" xfId="463"/>
    <cellStyle name="_CIO Capex Schedule_working_QRF4 V1a 15 Jan 09- CIO_NGA Capex QRF2 V1" xfId="464"/>
    <cellStyle name="_CIO Capex Schedule_working_QRF4 V1a 15 Jan 09- CIO_NGA Capex QRF2 V1_Total P&amp;L" xfId="465"/>
    <cellStyle name="_CIO Capex Schedule_working_QRF4 V1a 15 Jan 09- CIO_Service Delivery Capex Template QRF2 V1" xfId="466"/>
    <cellStyle name="_CIO Capex Schedule_working_QRF4 V1a 15 Jan 09- CIO_Service Delivery Capex Template QRF2 V1_Total P&amp;L" xfId="467"/>
    <cellStyle name="_CIO Capex Schedule_working_QRF4 V1a 15 Jan 09- CIO_Service Design Network Capex Template QRF2 V11" xfId="468"/>
    <cellStyle name="_CIO Capex Schedule_working_QRF4 V1a 15 Jan 09- CIO_Service Design Network Capex Template QRF2 V11_Total P&amp;L" xfId="469"/>
    <cellStyle name="_CIO Capex Schedule_working_QRF4 V1a 15 Jan 09- CIO_Service Design System Development Capex Template QRF2 V22" xfId="470"/>
    <cellStyle name="_CIO Capex Schedule_working_QRF4 V1a 15 Jan 09- CIO_Service Design System Development Capex Template QRF2 V22_Total P&amp;L" xfId="471"/>
    <cellStyle name="_CIO Capex Schedule_working_QRF4 V1a 15 Jan 09- CIO_Total P&amp;L" xfId="472"/>
    <cellStyle name="_CIO Capex Schedule_working_QRF4 V1a Template - BTU with NGA updated" xfId="473"/>
    <cellStyle name="_CIO Capex Schedule_working_QRF4 V1a Template - BTU with NGA updated_NGA Capex QRF2 V1" xfId="474"/>
    <cellStyle name="_CIO Capex Schedule_working_QRF4 V1a Template - BTU with NGA updated_NGA Capex QRF2 V1_Total P&amp;L" xfId="475"/>
    <cellStyle name="_CIO Capex Schedule_working_QRF4 V1a Template - BTU with NGA updated_Service Delivery Capex Template QRF2 V1" xfId="476"/>
    <cellStyle name="_CIO Capex Schedule_working_QRF4 V1a Template - BTU with NGA updated_Service Delivery Capex Template QRF2 V1_Total P&amp;L" xfId="477"/>
    <cellStyle name="_CIO Capex Schedule_working_QRF4 V1a Template - BTU with NGA updated_Service Design Network Capex Template QRF2 V11" xfId="478"/>
    <cellStyle name="_CIO Capex Schedule_working_QRF4 V1a Template - BTU with NGA updated_Service Design Network Capex Template QRF2 V11_Total P&amp;L" xfId="479"/>
    <cellStyle name="_CIO Capex Schedule_working_QRF4 V1a Template - BTU with NGA updated_Service Design System Development Capex Template QRF2 V22" xfId="480"/>
    <cellStyle name="_CIO Capex Schedule_working_QRF4 V1a Template - BTU with NGA updated_Service Design System Development Capex Template QRF2 V22_Total P&amp;L" xfId="481"/>
    <cellStyle name="_CIO Capex Schedule_working_QRF4 V1a Template - BTU with NGA updated_Total P&amp;L" xfId="482"/>
    <cellStyle name="_CIO Capex Schedule_working_QRF4 V1a Template - GC" xfId="483"/>
    <cellStyle name="_CIO Capex Schedule_working_QRF4 V1a Template - GC_NGA Capex QRF2 V1" xfId="484"/>
    <cellStyle name="_CIO Capex Schedule_working_QRF4 V1a Template - GC_NGA Capex QRF2 V1_Total P&amp;L" xfId="485"/>
    <cellStyle name="_CIO Capex Schedule_working_QRF4 V1a Template - GC_Service Delivery Capex Template QRF2 V1" xfId="486"/>
    <cellStyle name="_CIO Capex Schedule_working_QRF4 V1a Template - GC_Service Delivery Capex Template QRF2 V1_Total P&amp;L" xfId="487"/>
    <cellStyle name="_CIO Capex Schedule_working_QRF4 V1a Template - GC_Service Design Network Capex Template QRF2 V11" xfId="488"/>
    <cellStyle name="_CIO Capex Schedule_working_QRF4 V1a Template - GC_Service Design Network Capex Template QRF2 V11_Total P&amp;L" xfId="489"/>
    <cellStyle name="_CIO Capex Schedule_working_QRF4 V1a Template - GC_Service Design System Development Capex Template QRF2 V22" xfId="490"/>
    <cellStyle name="_CIO Capex Schedule_working_QRF4 V1a Template - GC_Service Design System Development Capex Template QRF2 V22_Total P&amp;L" xfId="491"/>
    <cellStyle name="_CIO Capex Schedule_working_QRF4 V1a Template - GC_Total P&amp;L" xfId="492"/>
    <cellStyle name="_CIO Capex Schedule_working_Service Delivery Capex Template QRF2 V1" xfId="493"/>
    <cellStyle name="_CIO Capex Schedule_working_Service Design Network Capex Template QRF2 V11" xfId="494"/>
    <cellStyle name="_CIO Capex Schedule_working_Service Design System Development Capex Template QRF2 V22" xfId="495"/>
    <cellStyle name="_CIO Capex Schedule_working_Service Design System Development Capex Template QRF2 V22_Total P&amp;L" xfId="496"/>
    <cellStyle name="_CIO Flash wd-1 Rep" xfId="497"/>
    <cellStyle name="_CIO Flash wd-1 Rep_NGA Capex QRF2 V1" xfId="498"/>
    <cellStyle name="_CIO Flash wd-1 Rep_Total P&amp;L" xfId="499"/>
    <cellStyle name="_CIO Result-P3 040708-Anthony-Peter" xfId="500"/>
    <cellStyle name="_CIO Result-P3 040708-Anthony-Peter_NGA Capex QRF2 V1" xfId="501"/>
    <cellStyle name="_CIO Result-P3 040708-Anthony-Peter_Total P&amp;L" xfId="502"/>
    <cellStyle name="_Combined Bank Financial Model - DB Final plus Summary" xfId="503"/>
    <cellStyle name="_Combined Bank Financial Model - DB Final plus Summary_BT Retail 5 Year Plan Master v5" xfId="504"/>
    <cellStyle name="_Comma" xfId="505"/>
    <cellStyle name="_Comma_2007 Budget TV Backup" xfId="506"/>
    <cellStyle name="_Comma_3_9 Content Acq_ Basic ratecards_Fixed fees_ Shopping template" xfId="507"/>
    <cellStyle name="_Comma_3_9 Fixed fees_Shopping_SVOD sent" xfId="508"/>
    <cellStyle name="_Comma_3_9 rate cards sent" xfId="509"/>
    <cellStyle name="_Comma_3_9 rate cards sent 28 Mar 07 phasing UKTV FTV" xfId="510"/>
    <cellStyle name="_Comma_ATV ratecards resent 24 Mar 07" xfId="511"/>
    <cellStyle name="_comparison of SGA submissions against ESSBASE 130906" xfId="512"/>
    <cellStyle name="_Consolidated Opex savings and reinvestments v2 (3)" xfId="513"/>
    <cellStyle name="_Consolidated Opex savings and reinvestmentsv1" xfId="514"/>
    <cellStyle name="_Consumer OR Propositions - draft v4.11" xfId="515"/>
    <cellStyle name="_Consumer Strat Plan Centre" xfId="516"/>
    <cellStyle name="_Consumer Volumes" xfId="517"/>
    <cellStyle name="_Content Budget - latest Forecast (3)" xfId="518"/>
    <cellStyle name="_Content Budget - latest Forecast (3)_BT Retail 5 Year Plan Master v5" xfId="519"/>
    <cellStyle name="_Copy of BTB Strat Plan 050906 submission" xfId="520"/>
    <cellStyle name="_Copy of BTB Strat Plan 050906a submission" xfId="521"/>
    <cellStyle name="_Copy of BTB Strat Plan 050906b submission" xfId="522"/>
    <cellStyle name="_Copy of PPC_Workings0708 P12 200608" xfId="523"/>
    <cellStyle name="_Core conv high level replan Nov05 v6 0" xfId="524"/>
    <cellStyle name="_Corporate QPB Assumptions - RAG status (Channel Copy) v 3" xfId="525"/>
    <cellStyle name="_Corporate QPB Assumptions - RAG status (Channel Copy) v 4" xfId="526"/>
    <cellStyle name="_Cost Reporting template" xfId="527"/>
    <cellStyle name="_Cost Reporting template v1" xfId="528"/>
    <cellStyle name="_Cost Savings and Reinvestments" xfId="529"/>
    <cellStyle name="_COT Targeting document v3 PW update" xfId="530"/>
    <cellStyle name="_Currency" xfId="531"/>
    <cellStyle name="_Currency_2007 Budget TV Backup" xfId="532"/>
    <cellStyle name="_Currency_3_9 Content Acq_ Basic ratecards_Fixed fees_ Shopping template" xfId="533"/>
    <cellStyle name="_Currency_3_9 Fixed fees_Shopping_SVOD sent" xfId="534"/>
    <cellStyle name="_Currency_3_9 rate cards sent" xfId="535"/>
    <cellStyle name="_Currency_3_9 rate cards sent 28 Mar 07 phasing UKTV FTV" xfId="536"/>
    <cellStyle name="_Currency_ATV ratecards resent 24 Mar 07" xfId="537"/>
    <cellStyle name="_Currency_FinancialModel - NTL &amp; Virgin Mobile" xfId="538"/>
    <cellStyle name="_Currency_France BP - Nick" xfId="539"/>
    <cellStyle name="_Currency_GE Business Plan" xfId="540"/>
    <cellStyle name="_Currency_GE Business Plan 2" xfId="541"/>
    <cellStyle name="_Currency_HBO GE Channel - 12-03-01 - SPE Prices" xfId="542"/>
    <cellStyle name="_Currency_HBO GE Channel Model - 09-02-01" xfId="543"/>
    <cellStyle name="_Currency_Spain Business Plan" xfId="544"/>
    <cellStyle name="_Currency_Tiger benchmarking" xfId="545"/>
    <cellStyle name="_CurrencySpace" xfId="546"/>
    <cellStyle name="_CurrencySpace_2007 Budget TV Backup" xfId="547"/>
    <cellStyle name="_CurrencySpace_3_9 Content Acq_ Basic ratecards_Fixed fees_ Shopping template" xfId="548"/>
    <cellStyle name="_CurrencySpace_3_9 Fixed fees_Shopping_SVOD sent" xfId="549"/>
    <cellStyle name="_CurrencySpace_3_9 rate cards sent" xfId="550"/>
    <cellStyle name="_CurrencySpace_3_9 rate cards sent 28 Mar 07 phasing UKTV FTV" xfId="551"/>
    <cellStyle name="_CurrencySpace_ATV ratecards resent 24 Mar 07" xfId="552"/>
    <cellStyle name="_Daily Family Report1" xfId="553"/>
    <cellStyle name="_Defence Master Gov Feb06  Amended for PV V2" xfId="554"/>
    <cellStyle name="_Design DC project template" xfId="555"/>
    <cellStyle name="_Design DC project template_NGA Capex QRF2 V1" xfId="556"/>
    <cellStyle name="_Design DC project template_NGA Capex QRF2 V1_Total P&amp;L" xfId="557"/>
    <cellStyle name="_Design DC project template_Service Delivery Capex Template QRF2 V1" xfId="558"/>
    <cellStyle name="_Design DC project template_Service Design Network Capex Template QRF2 V11" xfId="559"/>
    <cellStyle name="_Design DC project template_Service Design System Development Capex Template QRF2 V22" xfId="560"/>
    <cellStyle name="_Design DC project template_Service Design System Development Capex Template QRF2 V22_Total P&amp;L" xfId="561"/>
    <cellStyle name="_development prioritisation v2.11" xfId="562"/>
    <cellStyle name="_development prioritisation v2.11_Book2" xfId="563"/>
    <cellStyle name="_development prioritisation v2.11_Book5" xfId="564"/>
    <cellStyle name="_development prioritisation v2.11_BTU CAPEX QRF2 submissionv2 " xfId="565"/>
    <cellStyle name="_development prioritisation v2.11_BTU CAPEX QRF2 submissionv2 _NGA Capex QRF2 V1" xfId="566"/>
    <cellStyle name="_development prioritisation v2.11_BTU CAPEX QRF2 submissionv2 _Total P&amp;L" xfId="567"/>
    <cellStyle name="_development prioritisation v2.11_NGA Capex QRF2 V1" xfId="568"/>
    <cellStyle name="_development prioritisation v2.11_P&amp;L" xfId="569"/>
    <cellStyle name="_development prioritisation v2.11_P&amp;L_NGA Capex QRF2 V1" xfId="570"/>
    <cellStyle name="_development prioritisation v2.11_P&amp;L_Total P&amp;L" xfId="571"/>
    <cellStyle name="_development prioritisation v2.11_P4 Result-040808" xfId="572"/>
    <cellStyle name="_development prioritisation v2.11_QRF 2 Capex CIO Final 11 Sept 08" xfId="573"/>
    <cellStyle name="_development prioritisation v2.11_QRF2 Capex Template V1a - CIO - RC 0708" xfId="574"/>
    <cellStyle name="_development prioritisation v2.11_QRF2 Capex Template V1a - CIO - RC 0708_NGA Capex QRF2 V1" xfId="575"/>
    <cellStyle name="_development prioritisation v2.11_QRF2 Capex Template V1a - CIO - RC 0708_Total P&amp;L" xfId="576"/>
    <cellStyle name="_development prioritisation v2.11_QRF4 V1a 15 Jan 09- CIO" xfId="577"/>
    <cellStyle name="_development prioritisation v2.11_QRF4 V1a Template - BTU with NGA updated" xfId="578"/>
    <cellStyle name="_development prioritisation v2.11_QRF4 V1a Template - GC" xfId="579"/>
    <cellStyle name="_development prioritisation v2.11_Total P&amp;L" xfId="580"/>
    <cellStyle name="_Differences table template" xfId="581"/>
    <cellStyle name="_eBilling 010407a" xfId="582"/>
    <cellStyle name="_Efficiency summary table - 090710" xfId="583"/>
    <cellStyle name="_Enterprises - Conferencing v12a" xfId="584"/>
    <cellStyle name="_Enterprises - Conferencing v12b SR for Alex" xfId="585"/>
    <cellStyle name="_Enterprises - Conferencing v13a" xfId="586"/>
    <cellStyle name="_Euro" xfId="587"/>
    <cellStyle name="_Ext PPC - Runs to GL (2)" xfId="588"/>
    <cellStyle name="_Flextech Ad Revenue Model" xfId="589"/>
    <cellStyle name="_Flextech Ad Revenue Model_BT Retail 5 Year Plan Master v5" xfId="590"/>
    <cellStyle name="_Front Row detail" xfId="591"/>
    <cellStyle name="_Front Row detail_BT Retail 5 Year Plan Master v5" xfId="592"/>
    <cellStyle name="_GFR Headcount" xfId="593"/>
    <cellStyle name="_Glasgow seats requirement July19th version 2" xfId="594"/>
    <cellStyle name="_Group budget (period 5 view)" xfId="595"/>
    <cellStyle name="_Group budget (period 5 view)_NGA Capex QRF2 V1" xfId="596"/>
    <cellStyle name="_Group budget (period 5 view)_NGA Capex QRF2 V1_Total P&amp;L" xfId="597"/>
    <cellStyle name="_Group budget (period 5 view)_Service Delivery Capex Template QRF2 V1" xfId="598"/>
    <cellStyle name="_Group budget (period 5 view)_Service Design Network Capex Template QRF2 V11" xfId="599"/>
    <cellStyle name="_Group budget (period 5 view)_Service Design System Development Capex Template QRF2 V22" xfId="600"/>
    <cellStyle name="_Group budget (period 5 view)_Service Design System Development Capex Template QRF2 V22_Total P&amp;L" xfId="601"/>
    <cellStyle name="_Group Cost Transformation template Q2" xfId="602"/>
    <cellStyle name="_Group Links v1" xfId="603"/>
    <cellStyle name="_Group Links v1_BT Retail 5 Year Plan Master v5" xfId="604"/>
    <cellStyle name="_Group QRF3 089 Templates (Nov 08) v5 (2)" xfId="605"/>
    <cellStyle name="_Heading" xfId="606"/>
    <cellStyle name="_Heading_BT Retail 5 Year Plan Master v5" xfId="607"/>
    <cellStyle name="_HFM Template" xfId="608"/>
    <cellStyle name="_Highlight" xfId="609"/>
    <cellStyle name="_IA - REPORT PERIOD 11" xfId="610"/>
    <cellStyle name="_ICT Strat Plan 220906V2" xfId="611"/>
    <cellStyle name="_investment analysis v7" xfId="612"/>
    <cellStyle name="_investment analysis v7 (2)" xfId="613"/>
    <cellStyle name="_johnson installs" xfId="614"/>
    <cellStyle name="_Karate Hydraulics 6 October 06 (wk27) - v1" xfId="615"/>
    <cellStyle name="_key metrics (5)" xfId="616"/>
    <cellStyle name="_LEM QPB Assumptions - RAG status (Channel copy) v 3" xfId="617"/>
    <cellStyle name="_LEM QPB Assumptions - RAG status (Channel copy) v 5 (2)" xfId="618"/>
    <cellStyle name="_LOB Q1 cost template v1" xfId="619"/>
    <cellStyle name="_MBC 2006_7 VCS Input - Dec 2005" xfId="620"/>
    <cellStyle name="_MBC FC" xfId="621"/>
    <cellStyle name="_Multiple" xfId="622"/>
    <cellStyle name="_Multiple_2007 Budget TV Backup" xfId="623"/>
    <cellStyle name="_Multiple_3_9 Content Acq_ Basic ratecards_Fixed fees_ Shopping template" xfId="624"/>
    <cellStyle name="_Multiple_3_9 Fixed fees_Shopping_SVOD sent" xfId="625"/>
    <cellStyle name="_Multiple_3_9 rate cards sent" xfId="626"/>
    <cellStyle name="_Multiple_3_9 rate cards sent 28 Mar 07 phasing UKTV FTV" xfId="627"/>
    <cellStyle name="_Multiple_ATV ratecards resent 24 Mar 07" xfId="628"/>
    <cellStyle name="_Multiple_France BP - Nick" xfId="629"/>
    <cellStyle name="_Multiple_GE Business Plan" xfId="630"/>
    <cellStyle name="_Multiple_GE Business Plan 2" xfId="631"/>
    <cellStyle name="_Multiple_HBO GE Channel - 12-03-01 - SPE Prices" xfId="632"/>
    <cellStyle name="_Multiple_HBO GE Channel Model - 09-02-01" xfId="633"/>
    <cellStyle name="_Multiple_Spain Business Plan" xfId="634"/>
    <cellStyle name="_MultipleSpace" xfId="635"/>
    <cellStyle name="_MultipleSpace_2007 Budget TV Backup" xfId="636"/>
    <cellStyle name="_MultipleSpace_3_9 Content Acq_ Basic ratecards_Fixed fees_ Shopping template" xfId="637"/>
    <cellStyle name="_MultipleSpace_3_9 Fixed fees_Shopping_SVOD sent" xfId="638"/>
    <cellStyle name="_MultipleSpace_3_9 rate cards sent" xfId="639"/>
    <cellStyle name="_MultipleSpace_3_9 rate cards sent 28 Mar 07 phasing UKTV FTV" xfId="640"/>
    <cellStyle name="_MultipleSpace_ATV ratecards resent 24 Mar 07" xfId="641"/>
    <cellStyle name="_MultipleSpace_France BP - Nick" xfId="642"/>
    <cellStyle name="_MultipleSpace_GE Business Plan" xfId="643"/>
    <cellStyle name="_MultipleSpace_GE Business Plan 2" xfId="644"/>
    <cellStyle name="_MultipleSpace_GE Business Plan 2_HBO GE Channel - 12-03-01 - SPE Prices" xfId="645"/>
    <cellStyle name="_MultipleSpace_GE Business Plan 2_HBO GE Channel Model - 09-02-01" xfId="646"/>
    <cellStyle name="_MultipleSpace_HBO GE Channel - 12-03-01 - SPE Prices" xfId="647"/>
    <cellStyle name="_MultipleSpace_HBO GE Channel Model - 09-02-01" xfId="648"/>
    <cellStyle name="_MultipleSpace_Spain Business Plan" xfId="649"/>
    <cellStyle name="_NCCImpactAnalysis7fxhv010908" xfId="650"/>
    <cellStyle name="_Network and TV Ops 13 July" xfId="651"/>
    <cellStyle name="_Noida Total PIP per Interval" xfId="652"/>
    <cellStyle name="_Non-Pay Consolidation" xfId="653"/>
    <cellStyle name="_Non-Pay Consolidation_Book2" xfId="654"/>
    <cellStyle name="_Non-Pay Consolidation_Book5" xfId="655"/>
    <cellStyle name="_Non-Pay Consolidation_BTU CAPEX QRF2 submissionv2 " xfId="656"/>
    <cellStyle name="_Non-Pay Consolidation_Operation Q1 Plan V2 - Volume Movements Q-Q Y-Y enhanced frames -  18th April 2006" xfId="657"/>
    <cellStyle name="_Non-Pay Consolidation_P&amp;L" xfId="658"/>
    <cellStyle name="_Non-Pay Consolidation_P4 Result-040808" xfId="659"/>
    <cellStyle name="_Non-Pay Consolidation_QRF 2 Capex CIO Final 11 Sept 08" xfId="660"/>
    <cellStyle name="_Non-Pay Consolidation_QRF2 Capex Template V1a - CIO - RC 0708" xfId="661"/>
    <cellStyle name="_Non-Pay Consolidation_QRF4 V1a 15 Jan 09- CIO" xfId="662"/>
    <cellStyle name="_Non-Pay Consolidation_QRF4 V1a Template - BTU with NGA updated" xfId="663"/>
    <cellStyle name="_Non-Pay Consolidation_QRF4 V1a Template - GC" xfId="664"/>
    <cellStyle name="_North Non-Pay SG 24 Mar-06" xfId="665"/>
    <cellStyle name="_North Non-Pay SG 24 Mar-06_Book2" xfId="666"/>
    <cellStyle name="_North Non-Pay SG 24 Mar-06_Book5" xfId="667"/>
    <cellStyle name="_North Non-Pay SG 24 Mar-06_BTU CAPEX QRF2 submissionv2 " xfId="668"/>
    <cellStyle name="_North Non-Pay SG 24 Mar-06_BTU CAPEX QRF2 submissionv2 _NGA Capex QRF2 V1" xfId="669"/>
    <cellStyle name="_North Non-Pay SG 24 Mar-06_BTU CAPEX QRF2 submissionv2 _Total P&amp;L" xfId="670"/>
    <cellStyle name="_North Non-Pay SG 24 Mar-06_NGA Capex QRF2 V1" xfId="671"/>
    <cellStyle name="_North Non-Pay SG 24 Mar-06_P&amp;L" xfId="672"/>
    <cellStyle name="_North Non-Pay SG 24 Mar-06_P&amp;L_NGA Capex QRF2 V1" xfId="673"/>
    <cellStyle name="_North Non-Pay SG 24 Mar-06_P&amp;L_Total P&amp;L" xfId="674"/>
    <cellStyle name="_North Non-Pay SG 24 Mar-06_P4 Result-040808" xfId="675"/>
    <cellStyle name="_North Non-Pay SG 24 Mar-06_QRF 2 Capex CIO Final 11 Sept 08" xfId="676"/>
    <cellStyle name="_North Non-Pay SG 24 Mar-06_QRF2 Capex Template V1a - CIO - RC 0708" xfId="677"/>
    <cellStyle name="_North Non-Pay SG 24 Mar-06_QRF2 Capex Template V1a - CIO - RC 0708_NGA Capex QRF2 V1" xfId="678"/>
    <cellStyle name="_North Non-Pay SG 24 Mar-06_QRF2 Capex Template V1a - CIO - RC 0708_Total P&amp;L" xfId="679"/>
    <cellStyle name="_North Non-Pay SG 24 Mar-06_QRF4 V1a 15 Jan 09- CIO" xfId="680"/>
    <cellStyle name="_North Non-Pay SG 24 Mar-06_QRF4 V1a Template - BTU with NGA updated" xfId="681"/>
    <cellStyle name="_North Non-Pay SG 24 Mar-06_QRF4 V1a Template - GC" xfId="682"/>
    <cellStyle name="_North Non-Pay SG 24 Mar-06_Total P&amp;L" xfId="683"/>
    <cellStyle name="_OC- Business_P1ver1" xfId="684"/>
    <cellStyle name="_October-06 bonus accruals NAM" xfId="685"/>
    <cellStyle name="_One Plan Daily Report 30th March Final 2006-2007 ver1 (2) (2)" xfId="686"/>
    <cellStyle name="_OneIT Inv Reg" xfId="687"/>
    <cellStyle name="_Operation Q1 Plan V2 - Volume Movements Q-Q Y-Y enhanced frames -  18th April 2006" xfId="688"/>
    <cellStyle name="_Operation Q1 Plan V2 - Volume Movements Q-Q Y-Y enhanced frames -  18th April 2006_Book2" xfId="689"/>
    <cellStyle name="_Operation Q1 Plan V2 - Volume Movements Q-Q Y-Y enhanced frames -  18th April 2006_Book5" xfId="690"/>
    <cellStyle name="_Operation Q1 Plan V2 - Volume Movements Q-Q Y-Y enhanced frames -  18th April 2006_BTU CAPEX QRF2 submissionv2 " xfId="691"/>
    <cellStyle name="_Operation Q1 Plan V2 - Volume Movements Q-Q Y-Y enhanced frames -  18th April 2006_BTU CAPEX QRF2 submissionv2 _NGA Capex QRF2 V1" xfId="692"/>
    <cellStyle name="_Operation Q1 Plan V2 - Volume Movements Q-Q Y-Y enhanced frames -  18th April 2006_BTU CAPEX QRF2 submissionv2 _Total P&amp;L" xfId="693"/>
    <cellStyle name="_Operation Q1 Plan V2 - Volume Movements Q-Q Y-Y enhanced frames -  18th April 2006_NGA Capex QRF2 V1" xfId="694"/>
    <cellStyle name="_Operation Q1 Plan V2 - Volume Movements Q-Q Y-Y enhanced frames -  18th April 2006_P&amp;L" xfId="695"/>
    <cellStyle name="_Operation Q1 Plan V2 - Volume Movements Q-Q Y-Y enhanced frames -  18th April 2006_P&amp;L_NGA Capex QRF2 V1" xfId="696"/>
    <cellStyle name="_Operation Q1 Plan V2 - Volume Movements Q-Q Y-Y enhanced frames -  18th April 2006_P&amp;L_Total P&amp;L" xfId="697"/>
    <cellStyle name="_Operation Q1 Plan V2 - Volume Movements Q-Q Y-Y enhanced frames -  18th April 2006_P4 Result-040808" xfId="698"/>
    <cellStyle name="_Operation Q1 Plan V2 - Volume Movements Q-Q Y-Y enhanced frames -  18th April 2006_QRF 2 Capex CIO Final 11 Sept 08" xfId="699"/>
    <cellStyle name="_Operation Q1 Plan V2 - Volume Movements Q-Q Y-Y enhanced frames -  18th April 2006_QRF2 Capex Template V1a - CIO - RC 0708" xfId="700"/>
    <cellStyle name="_Operation Q1 Plan V2 - Volume Movements Q-Q Y-Y enhanced frames -  18th April 2006_QRF2 Capex Template V1a - CIO - RC 0708_NGA Capex QRF2 V1" xfId="701"/>
    <cellStyle name="_Operation Q1 Plan V2 - Volume Movements Q-Q Y-Y enhanced frames -  18th April 2006_QRF2 Capex Template V1a - CIO - RC 0708_Total P&amp;L" xfId="702"/>
    <cellStyle name="_Operation Q1 Plan V2 - Volume Movements Q-Q Y-Y enhanced frames -  18th April 2006_QRF4 V1a 15 Jan 09- CIO" xfId="703"/>
    <cellStyle name="_Operation Q1 Plan V2 - Volume Movements Q-Q Y-Y enhanced frames -  18th April 2006_QRF4 V1a Template - BTU with NGA updated" xfId="704"/>
    <cellStyle name="_Operation Q1 Plan V2 - Volume Movements Q-Q Y-Y enhanced frames -  18th April 2006_QRF4 V1a Template - GC" xfId="705"/>
    <cellStyle name="_Operation Q1 Plan V2 - Volume Movements Q-Q Y-Y enhanced frames -  18th April 2006_Total P&amp;L" xfId="706"/>
    <cellStyle name="_Operation Q1 Plan V2 - Volume Movements Q-Q Y-Y enhanced frames -  7th April 20062" xfId="707"/>
    <cellStyle name="_Operation Q1 Plan V2 - Volume Movements Q-Q Y-Y enhanced frames -  7th April 20062_Book2" xfId="708"/>
    <cellStyle name="_Operation Q1 Plan V2 - Volume Movements Q-Q Y-Y enhanced frames -  7th April 20062_Book5" xfId="709"/>
    <cellStyle name="_Operation Q1 Plan V2 - Volume Movements Q-Q Y-Y enhanced frames -  7th April 20062_BTU CAPEX QRF2 submissionv2 " xfId="710"/>
    <cellStyle name="_Operation Q1 Plan V2 - Volume Movements Q-Q Y-Y enhanced frames -  7th April 20062_BTU CAPEX QRF2 submissionv2 _NGA Capex QRF2 V1" xfId="711"/>
    <cellStyle name="_Operation Q1 Plan V2 - Volume Movements Q-Q Y-Y enhanced frames -  7th April 20062_BTU CAPEX QRF2 submissionv2 _Total P&amp;L" xfId="712"/>
    <cellStyle name="_Operation Q1 Plan V2 - Volume Movements Q-Q Y-Y enhanced frames -  7th April 20062_NGA Capex QRF2 V1" xfId="713"/>
    <cellStyle name="_Operation Q1 Plan V2 - Volume Movements Q-Q Y-Y enhanced frames -  7th April 20062_P&amp;L" xfId="714"/>
    <cellStyle name="_Operation Q1 Plan V2 - Volume Movements Q-Q Y-Y enhanced frames -  7th April 20062_P&amp;L_NGA Capex QRF2 V1" xfId="715"/>
    <cellStyle name="_Operation Q1 Plan V2 - Volume Movements Q-Q Y-Y enhanced frames -  7th April 20062_P&amp;L_Total P&amp;L" xfId="716"/>
    <cellStyle name="_Operation Q1 Plan V2 - Volume Movements Q-Q Y-Y enhanced frames -  7th April 20062_P4 Result-040808" xfId="717"/>
    <cellStyle name="_Operation Q1 Plan V2 - Volume Movements Q-Q Y-Y enhanced frames -  7th April 20062_QRF 2 Capex CIO Final 11 Sept 08" xfId="718"/>
    <cellStyle name="_Operation Q1 Plan V2 - Volume Movements Q-Q Y-Y enhanced frames -  7th April 20062_QRF2 Capex Template V1a - CIO - RC 0708" xfId="719"/>
    <cellStyle name="_Operation Q1 Plan V2 - Volume Movements Q-Q Y-Y enhanced frames -  7th April 20062_QRF2 Capex Template V1a - CIO - RC 0708_NGA Capex QRF2 V1" xfId="720"/>
    <cellStyle name="_Operation Q1 Plan V2 - Volume Movements Q-Q Y-Y enhanced frames -  7th April 20062_QRF2 Capex Template V1a - CIO - RC 0708_Total P&amp;L" xfId="721"/>
    <cellStyle name="_Operation Q1 Plan V2 - Volume Movements Q-Q Y-Y enhanced frames -  7th April 20062_QRF4 V1a 15 Jan 09- CIO" xfId="722"/>
    <cellStyle name="_Operation Q1 Plan V2 - Volume Movements Q-Q Y-Y enhanced frames -  7th April 20062_QRF4 V1a Template - BTU with NGA updated" xfId="723"/>
    <cellStyle name="_Operation Q1 Plan V2 - Volume Movements Q-Q Y-Y enhanced frames -  7th April 20062_QRF4 V1a Template - GC" xfId="724"/>
    <cellStyle name="_Operation Q1 Plan V2 - Volume Movements Q-Q Y-Y enhanced frames -  7th April 20062_Total P&amp;L" xfId="725"/>
    <cellStyle name="_OpexSavings" xfId="726"/>
    <cellStyle name="_Ops FY 06 v fy07  mvmnt schedule 13 Aprilv22" xfId="727"/>
    <cellStyle name="_Ops FY 06 v fy07  mvmnt schedule 13 Aprilv22_Book2" xfId="728"/>
    <cellStyle name="_Ops FY 06 v fy07  mvmnt schedule 13 Aprilv22_Book5" xfId="729"/>
    <cellStyle name="_Ops FY 06 v fy07  mvmnt schedule 13 Aprilv22_BTU CAPEX QRF2 submissionv2 " xfId="730"/>
    <cellStyle name="_Ops FY 06 v fy07  mvmnt schedule 13 Aprilv22_BTU CAPEX QRF2 submissionv2 _NGA Capex QRF2 V1" xfId="731"/>
    <cellStyle name="_Ops FY 06 v fy07  mvmnt schedule 13 Aprilv22_BTU CAPEX QRF2 submissionv2 _Total P&amp;L" xfId="732"/>
    <cellStyle name="_Ops FY 06 v fy07  mvmnt schedule 13 Aprilv22_NGA Capex QRF2 V1" xfId="733"/>
    <cellStyle name="_Ops FY 06 v fy07  mvmnt schedule 13 Aprilv22_P&amp;L" xfId="734"/>
    <cellStyle name="_Ops FY 06 v fy07  mvmnt schedule 13 Aprilv22_P&amp;L_NGA Capex QRF2 V1" xfId="735"/>
    <cellStyle name="_Ops FY 06 v fy07  mvmnt schedule 13 Aprilv22_P&amp;L_Total P&amp;L" xfId="736"/>
    <cellStyle name="_Ops FY 06 v fy07  mvmnt schedule 13 Aprilv22_P4 Result-040808" xfId="737"/>
    <cellStyle name="_Ops FY 06 v fy07  mvmnt schedule 13 Aprilv22_QRF 2 Capex CIO Final 11 Sept 08" xfId="738"/>
    <cellStyle name="_Ops FY 06 v fy07  mvmnt schedule 13 Aprilv22_QRF2 Capex Template V1a - CIO - RC 0708" xfId="739"/>
    <cellStyle name="_Ops FY 06 v fy07  mvmnt schedule 13 Aprilv22_QRF2 Capex Template V1a - CIO - RC 0708_NGA Capex QRF2 V1" xfId="740"/>
    <cellStyle name="_Ops FY 06 v fy07  mvmnt schedule 13 Aprilv22_QRF2 Capex Template V1a - CIO - RC 0708_Total P&amp;L" xfId="741"/>
    <cellStyle name="_Ops FY 06 v fy07  mvmnt schedule 13 Aprilv22_QRF4 V1a 15 Jan 09- CIO" xfId="742"/>
    <cellStyle name="_Ops FY 06 v fy07  mvmnt schedule 13 Aprilv22_QRF4 V1a Template - BTU with NGA updated" xfId="743"/>
    <cellStyle name="_Ops FY 06 v fy07  mvmnt schedule 13 Aprilv22_QRF4 V1a Template - GC" xfId="744"/>
    <cellStyle name="_Ops FY 06 v fy07  mvmnt schedule 13 Aprilv22_Total P&amp;L" xfId="745"/>
    <cellStyle name="_P05 0607 View" xfId="746"/>
    <cellStyle name="_P07 BTW Schedule from RTU_revised2" xfId="747"/>
    <cellStyle name="_p1 mapping" xfId="748"/>
    <cellStyle name="_p12 Monthly commentary Input" xfId="749"/>
    <cellStyle name="_p12 Monthly commentary Input_Book2" xfId="750"/>
    <cellStyle name="_p12 Monthly commentary Input_Book5" xfId="751"/>
    <cellStyle name="_p12 Monthly commentary Input_BTU CAPEX QRF2 submissionv2 " xfId="752"/>
    <cellStyle name="_p12 Monthly commentary Input_BTU CAPEX QRF2 submissionv2 _NGA Capex QRF2 V1" xfId="753"/>
    <cellStyle name="_p12 Monthly commentary Input_BTU CAPEX QRF2 submissionv2 _Total P&amp;L" xfId="754"/>
    <cellStyle name="_p12 Monthly commentary Input_NGA Capex QRF2 V1" xfId="755"/>
    <cellStyle name="_p12 Monthly commentary Input_P&amp;L" xfId="756"/>
    <cellStyle name="_p12 Monthly commentary Input_P&amp;L_NGA Capex QRF2 V1" xfId="757"/>
    <cellStyle name="_p12 Monthly commentary Input_P&amp;L_Total P&amp;L" xfId="758"/>
    <cellStyle name="_p12 Monthly commentary Input_P4 Result-040808" xfId="759"/>
    <cellStyle name="_p12 Monthly commentary Input_QRF 2 Capex CIO Final 11 Sept 08" xfId="760"/>
    <cellStyle name="_p12 Monthly commentary Input_QRF2 Capex Template V1a - CIO - RC 0708" xfId="761"/>
    <cellStyle name="_p12 Monthly commentary Input_QRF2 Capex Template V1a - CIO - RC 0708_NGA Capex QRF2 V1" xfId="762"/>
    <cellStyle name="_p12 Monthly commentary Input_QRF2 Capex Template V1a - CIO - RC 0708_Total P&amp;L" xfId="763"/>
    <cellStyle name="_p12 Monthly commentary Input_QRF4 V1a 15 Jan 09- CIO" xfId="764"/>
    <cellStyle name="_p12 Monthly commentary Input_QRF4 V1a Template - BTU with NGA updated" xfId="765"/>
    <cellStyle name="_p12 Monthly commentary Input_QRF4 V1a Template - GC" xfId="766"/>
    <cellStyle name="_p12 Monthly commentary Input_Total P&amp;L" xfId="767"/>
    <cellStyle name="_P2 BBE Pay Analysis Summary1" xfId="768"/>
    <cellStyle name="_P2 BBE Pay Analysis Summary1_NGA Capex QRF2 V1" xfId="769"/>
    <cellStyle name="_P2 BBE Pay Analysis Summary1_Total P&amp;L" xfId="770"/>
    <cellStyle name="_P3_DESIGN_CAPEX REPORT_FINAL" xfId="771"/>
    <cellStyle name="_P3_DESIGN_CAPEX REPORT_FINAL_NGA Capex QRF2 V1" xfId="772"/>
    <cellStyle name="_P3_DESIGN_CAPEX REPORT_FINAL_Total P&amp;L" xfId="773"/>
    <cellStyle name="_P4 Result-040808" xfId="774"/>
    <cellStyle name="_P4 Result-040808_NGA Capex QRF2 V1" xfId="775"/>
    <cellStyle name="_P4 Result-040808_Total P&amp;L" xfId="776"/>
    <cellStyle name="_P4_OPENREACH_CAPEX REPORT_WD4_V2 (2)" xfId="777"/>
    <cellStyle name="_P4_OPENREACH_CAPEX REPORT_WD4_V2 (2)_NGA Capex QRF2 V1" xfId="778"/>
    <cellStyle name="_P4_OPENREACH_CAPEX REPORT_WD4_V2 (2)_Total P&amp;L" xfId="779"/>
    <cellStyle name="_P5 YTD inter analysisv2" xfId="780"/>
    <cellStyle name="_Percent" xfId="781"/>
    <cellStyle name="_Percent_France BP - Nick" xfId="782"/>
    <cellStyle name="_Percent_GE Business Plan" xfId="783"/>
    <cellStyle name="_Percent_GE Business Plan 2" xfId="784"/>
    <cellStyle name="_Percent_GE Business Plan 2_HBO GE Channel - 12-03-01 - SPE Prices" xfId="785"/>
    <cellStyle name="_Percent_GE Business Plan 2_HBO GE Channel Model - 09-02-01" xfId="786"/>
    <cellStyle name="_Percent_HBO GE Channel - 12-03-01 - SPE Prices" xfId="787"/>
    <cellStyle name="_Percent_HBO GE Channel Model - 09-02-01" xfId="788"/>
    <cellStyle name="_Percent_Spain Business Plan" xfId="789"/>
    <cellStyle name="_PercentSpace" xfId="790"/>
    <cellStyle name="_PercentSpace_France BP - Nick" xfId="791"/>
    <cellStyle name="_PercentSpace_GE Business Plan" xfId="792"/>
    <cellStyle name="_PercentSpace_GE Business Plan 2" xfId="793"/>
    <cellStyle name="_PercentSpace_GE Business Plan 2_HBO GE Channel - 12-03-01 - SPE Prices" xfId="794"/>
    <cellStyle name="_PercentSpace_GE Business Plan 2_HBO GE Channel Model - 09-02-01" xfId="795"/>
    <cellStyle name="_PercentSpace_HBO GE Channel - 12-03-01 - SPE Prices" xfId="796"/>
    <cellStyle name="_PercentSpace_HBO GE Channel Model - 09-02-01" xfId="797"/>
    <cellStyle name="_PercentSpace_Spain Business Plan" xfId="798"/>
    <cellStyle name="_PL Stratplan 0607 - BTB Mobility Submission (StratPlan)_V7" xfId="799"/>
    <cellStyle name="_PPC 0506 v1.10" xfId="800"/>
    <cellStyle name="_PPC Carrier Price List Summary07-08-110308v1" xfId="801"/>
    <cellStyle name="_PPC Carrier Price List Summary240108v1" xfId="802"/>
    <cellStyle name="_PPC External NCC vs GL Plus OSP detail020708" xfId="803"/>
    <cellStyle name="_PPC Price Database030108" xfId="804"/>
    <cellStyle name="_PPC_Workings Internals 0607 P12 070808" xfId="805"/>
    <cellStyle name="_PPC_Workings0708 P12 200608 - Protected path" xfId="806"/>
    <cellStyle name="_PPC200607Revenuereconciliation" xfId="807"/>
    <cellStyle name="_PPC200607Revenuereconciliation020708" xfId="808"/>
    <cellStyle name="_PPC200607Revenuereconciliation050308" xfId="809"/>
    <cellStyle name="_PPC200708Revenuereconciliation040708" xfId="810"/>
    <cellStyle name="_PPC200708Revenuereconciliation160508" xfId="811"/>
    <cellStyle name="_PPCRevenueYearOnYear180808" xfId="812"/>
    <cellStyle name="_Priority Matrix 090105vr v2" xfId="813"/>
    <cellStyle name="_Priority Matrix 090105vr v2_Book2" xfId="814"/>
    <cellStyle name="_Priority Matrix 090105vr v2_Book5" xfId="815"/>
    <cellStyle name="_Priority Matrix 090105vr v2_BTU CAPEX QRF2 submissionv2 " xfId="816"/>
    <cellStyle name="_Priority Matrix 090105vr v2_BTU CAPEX QRF2 submissionv2 _NGA Capex QRF2 V1" xfId="817"/>
    <cellStyle name="_Priority Matrix 090105vr v2_BTU CAPEX QRF2 submissionv2 _Total P&amp;L" xfId="818"/>
    <cellStyle name="_Priority Matrix 090105vr v2_NGA Capex QRF2 V1" xfId="819"/>
    <cellStyle name="_Priority Matrix 090105vr v2_P&amp;L" xfId="820"/>
    <cellStyle name="_Priority Matrix 090105vr v2_P&amp;L_NGA Capex QRF2 V1" xfId="821"/>
    <cellStyle name="_Priority Matrix 090105vr v2_P&amp;L_Total P&amp;L" xfId="822"/>
    <cellStyle name="_Priority Matrix 090105vr v2_P4 Result-040808" xfId="823"/>
    <cellStyle name="_Priority Matrix 090105vr v2_QRF 2 Capex CIO Final 11 Sept 08" xfId="824"/>
    <cellStyle name="_Priority Matrix 090105vr v2_QRF2 Capex Template V1a - CIO - RC 0708" xfId="825"/>
    <cellStyle name="_Priority Matrix 090105vr v2_QRF2 Capex Template V1a - CIO - RC 0708_NGA Capex QRF2 V1" xfId="826"/>
    <cellStyle name="_Priority Matrix 090105vr v2_QRF2 Capex Template V1a - CIO - RC 0708_Total P&amp;L" xfId="827"/>
    <cellStyle name="_Priority Matrix 090105vr v2_QRF4 V1a 15 Jan 09- CIO" xfId="828"/>
    <cellStyle name="_Priority Matrix 090105vr v2_QRF4 V1a Template - BTU with NGA updated" xfId="829"/>
    <cellStyle name="_Priority Matrix 090105vr v2_QRF4 V1a Template - GC" xfId="830"/>
    <cellStyle name="_Priority Matrix 090105vr v2_Total P&amp;L" xfId="831"/>
    <cellStyle name="_Prirotised capex v7 DB" xfId="832"/>
    <cellStyle name="_Prirotised capex v7 DB_Book2" xfId="833"/>
    <cellStyle name="_Prirotised capex v7 DB_Book5" xfId="834"/>
    <cellStyle name="_Prirotised capex v7 DB_BTU CAPEX QRF2 submissionv2 " xfId="835"/>
    <cellStyle name="_Prirotised capex v7 DB_BTU CAPEX QRF2 submissionv2 _NGA Capex QRF2 V1" xfId="836"/>
    <cellStyle name="_Prirotised capex v7 DB_BTU CAPEX QRF2 submissionv2 _Total P&amp;L" xfId="837"/>
    <cellStyle name="_Prirotised capex v7 DB_NGA Capex QRF2 V1" xfId="838"/>
    <cellStyle name="_Prirotised capex v7 DB_P&amp;L" xfId="839"/>
    <cellStyle name="_Prirotised capex v7 DB_P&amp;L_NGA Capex QRF2 V1" xfId="840"/>
    <cellStyle name="_Prirotised capex v7 DB_P&amp;L_Total P&amp;L" xfId="841"/>
    <cellStyle name="_Prirotised capex v7 DB_P4 Result-040808" xfId="842"/>
    <cellStyle name="_Prirotised capex v7 DB_QRF 2 Capex CIO Final 11 Sept 08" xfId="843"/>
    <cellStyle name="_Prirotised capex v7 DB_QRF2 Capex Template V1a - CIO - RC 0708" xfId="844"/>
    <cellStyle name="_Prirotised capex v7 DB_QRF2 Capex Template V1a - CIO - RC 0708_NGA Capex QRF2 V1" xfId="845"/>
    <cellStyle name="_Prirotised capex v7 DB_QRF2 Capex Template V1a - CIO - RC 0708_Total P&amp;L" xfId="846"/>
    <cellStyle name="_Prirotised capex v7 DB_QRF4 V1a 15 Jan 09- CIO" xfId="847"/>
    <cellStyle name="_Prirotised capex v7 DB_QRF4 V1a Template - BTU with NGA updated" xfId="848"/>
    <cellStyle name="_Prirotised capex v7 DB_QRF4 V1a Template - GC" xfId="849"/>
    <cellStyle name="_Prirotised capex v7 DB_Total P&amp;L" xfId="850"/>
    <cellStyle name="_PROGRAMMES for 0708" xfId="851"/>
    <cellStyle name="_Project United Reserves June2009" xfId="852"/>
    <cellStyle name="_Property cost reporting schedules (BT Property Submission)" xfId="853"/>
    <cellStyle name="_Property Q4 cost template" xfId="854"/>
    <cellStyle name="_PVE QPB 06-07 North-South combined" xfId="855"/>
    <cellStyle name="_PVE QPB 06-07 North-South combined V5 (2)" xfId="856"/>
    <cellStyle name="_PVE QPB 06-07 North-South combined V5 (2)_Book2" xfId="857"/>
    <cellStyle name="_PVE QPB 06-07 North-South combined V5 (2)_Book5" xfId="858"/>
    <cellStyle name="_PVE QPB 06-07 North-South combined V5 (2)_BTU CAPEX QRF2 submissionv2 " xfId="859"/>
    <cellStyle name="_PVE QPB 06-07 North-South combined V5 (2)_BTU CAPEX QRF2 submissionv2 _NGA Capex QRF2 V1" xfId="860"/>
    <cellStyle name="_PVE QPB 06-07 North-South combined V5 (2)_BTU CAPEX QRF2 submissionv2 _Total P&amp;L" xfId="861"/>
    <cellStyle name="_PVE QPB 06-07 North-South combined V5 (2)_NGA Capex QRF2 V1" xfId="862"/>
    <cellStyle name="_PVE QPB 06-07 North-South combined V5 (2)_P&amp;L" xfId="863"/>
    <cellStyle name="_PVE QPB 06-07 North-South combined V5 (2)_P&amp;L_NGA Capex QRF2 V1" xfId="864"/>
    <cellStyle name="_PVE QPB 06-07 North-South combined V5 (2)_P&amp;L_Total P&amp;L" xfId="865"/>
    <cellStyle name="_PVE QPB 06-07 North-South combined V5 (2)_P4 Result-040808" xfId="866"/>
    <cellStyle name="_PVE QPB 06-07 North-South combined V5 (2)_QRF 2 Capex CIO Final 11 Sept 08" xfId="867"/>
    <cellStyle name="_PVE QPB 06-07 North-South combined V5 (2)_QRF2 Capex Template V1a - CIO - RC 0708" xfId="868"/>
    <cellStyle name="_PVE QPB 06-07 North-South combined V5 (2)_QRF2 Capex Template V1a - CIO - RC 0708_NGA Capex QRF2 V1" xfId="869"/>
    <cellStyle name="_PVE QPB 06-07 North-South combined V5 (2)_QRF2 Capex Template V1a - CIO - RC 0708_Total P&amp;L" xfId="870"/>
    <cellStyle name="_PVE QPB 06-07 North-South combined V5 (2)_QRF4 V1a 15 Jan 09- CIO" xfId="871"/>
    <cellStyle name="_PVE QPB 06-07 North-South combined V5 (2)_QRF4 V1a Template - BTU with NGA updated" xfId="872"/>
    <cellStyle name="_PVE QPB 06-07 North-South combined V5 (2)_QRF4 V1a Template - GC" xfId="873"/>
    <cellStyle name="_PVE QPB 06-07 North-South combined V5 (2)_Total P&amp;L" xfId="874"/>
    <cellStyle name="_PVE QPB 06-07 North-South combined V9 July update" xfId="875"/>
    <cellStyle name="_PVE QPB 06-07 North-South combined V9 July update_Book2" xfId="876"/>
    <cellStyle name="_PVE QPB 06-07 North-South combined V9 July update_Book5" xfId="877"/>
    <cellStyle name="_PVE QPB 06-07 North-South combined V9 July update_BTU CAPEX QRF2 submissionv2 " xfId="878"/>
    <cellStyle name="_PVE QPB 06-07 North-South combined V9 July update_BTU CAPEX QRF2 submissionv2 _NGA Capex QRF2 V1" xfId="879"/>
    <cellStyle name="_PVE QPB 06-07 North-South combined V9 July update_BTU CAPEX QRF2 submissionv2 _Total P&amp;L" xfId="880"/>
    <cellStyle name="_PVE QPB 06-07 North-South combined V9 July update_NGA Capex QRF2 V1" xfId="881"/>
    <cellStyle name="_PVE QPB 06-07 North-South combined V9 July update_P&amp;L" xfId="882"/>
    <cellStyle name="_PVE QPB 06-07 North-South combined V9 July update_P&amp;L_NGA Capex QRF2 V1" xfId="883"/>
    <cellStyle name="_PVE QPB 06-07 North-South combined V9 July update_P&amp;L_Total P&amp;L" xfId="884"/>
    <cellStyle name="_PVE QPB 06-07 North-South combined V9 July update_P4 Result-040808" xfId="885"/>
    <cellStyle name="_PVE QPB 06-07 North-South combined V9 July update_QRF 2 Capex CIO Final 11 Sept 08" xfId="886"/>
    <cellStyle name="_PVE QPB 06-07 North-South combined V9 July update_QRF2 Capex Template V1a - CIO - RC 0708" xfId="887"/>
    <cellStyle name="_PVE QPB 06-07 North-South combined V9 July update_QRF2 Capex Template V1a - CIO - RC 0708_NGA Capex QRF2 V1" xfId="888"/>
    <cellStyle name="_PVE QPB 06-07 North-South combined V9 July update_QRF2 Capex Template V1a - CIO - RC 0708_Total P&amp;L" xfId="889"/>
    <cellStyle name="_PVE QPB 06-07 North-South combined V9 July update_QRF4 V1a 15 Jan 09- CIO" xfId="890"/>
    <cellStyle name="_PVE QPB 06-07 North-South combined V9 July update_QRF4 V1a Template - BTU with NGA updated" xfId="891"/>
    <cellStyle name="_PVE QPB 06-07 North-South combined V9 July update_QRF4 V1a Template - GC" xfId="892"/>
    <cellStyle name="_PVE QPB 06-07 North-South combined V9 July update_Total P&amp;L" xfId="893"/>
    <cellStyle name="_PVE QPB 06-07 North-South combined_Book2" xfId="894"/>
    <cellStyle name="_PVE QPB 06-07 North-South combined_Book5" xfId="895"/>
    <cellStyle name="_PVE QPB 06-07 North-South combined_BTU CAPEX QRF2 submissionv2 " xfId="896"/>
    <cellStyle name="_PVE QPB 06-07 North-South combined_BTU CAPEX QRF2 submissionv2 _NGA Capex QRF2 V1" xfId="897"/>
    <cellStyle name="_PVE QPB 06-07 North-South combined_BTU CAPEX QRF2 submissionv2 _Total P&amp;L" xfId="898"/>
    <cellStyle name="_PVE QPB 06-07 North-South combined_NGA Capex QRF2 V1" xfId="899"/>
    <cellStyle name="_PVE QPB 06-07 North-South combined_P&amp;L" xfId="900"/>
    <cellStyle name="_PVE QPB 06-07 North-South combined_P&amp;L_NGA Capex QRF2 V1" xfId="901"/>
    <cellStyle name="_PVE QPB 06-07 North-South combined_P&amp;L_Total P&amp;L" xfId="902"/>
    <cellStyle name="_PVE QPB 06-07 North-South combined_P4 Result-040808" xfId="903"/>
    <cellStyle name="_PVE QPB 06-07 North-South combined_QRF 2 Capex CIO Final 11 Sept 08" xfId="904"/>
    <cellStyle name="_PVE QPB 06-07 North-South combined_QRF2 Capex Template V1a - CIO - RC 0708" xfId="905"/>
    <cellStyle name="_PVE QPB 06-07 North-South combined_QRF2 Capex Template V1a - CIO - RC 0708_NGA Capex QRF2 V1" xfId="906"/>
    <cellStyle name="_PVE QPB 06-07 North-South combined_QRF2 Capex Template V1a - CIO - RC 0708_Total P&amp;L" xfId="907"/>
    <cellStyle name="_PVE QPB 06-07 North-South combined_QRF4 V1a 15 Jan 09- CIO" xfId="908"/>
    <cellStyle name="_PVE QPB 06-07 North-South combined_QRF4 V1a Template - BTU with NGA updated" xfId="909"/>
    <cellStyle name="_PVE QPB 06-07 North-South combined_QRF4 V1a Template - GC" xfId="910"/>
    <cellStyle name="_PVE QPB 06-07 North-South combined_Total P&amp;L" xfId="911"/>
    <cellStyle name="_Q1  Q2 plan v3 110505" xfId="912"/>
    <cellStyle name="_Q1 PVE on TCC 03_04_06 Ver1" xfId="913"/>
    <cellStyle name="_Q1 PVE on TCC 03_04_06 Ver1_Book2" xfId="914"/>
    <cellStyle name="_Q1 PVE on TCC 03_04_06 Ver1_Book5" xfId="915"/>
    <cellStyle name="_Q1 PVE on TCC 03_04_06 Ver1_BTU CAPEX QRF2 submissionv2 " xfId="916"/>
    <cellStyle name="_Q1 PVE on TCC 03_04_06 Ver1_BTU CAPEX QRF2 submissionv2 _NGA Capex QRF2 V1" xfId="917"/>
    <cellStyle name="_Q1 PVE on TCC 03_04_06 Ver1_BTU CAPEX QRF2 submissionv2 _Total P&amp;L" xfId="918"/>
    <cellStyle name="_Q1 PVE on TCC 03_04_06 Ver1_NGA Capex QRF2 V1" xfId="919"/>
    <cellStyle name="_Q1 PVE on TCC 03_04_06 Ver1_P&amp;L" xfId="920"/>
    <cellStyle name="_Q1 PVE on TCC 03_04_06 Ver1_P&amp;L_NGA Capex QRF2 V1" xfId="921"/>
    <cellStyle name="_Q1 PVE on TCC 03_04_06 Ver1_P&amp;L_Total P&amp;L" xfId="922"/>
    <cellStyle name="_Q1 PVE on TCC 03_04_06 Ver1_P4 Result-040808" xfId="923"/>
    <cellStyle name="_Q1 PVE on TCC 03_04_06 Ver1_QRF 2 Capex CIO Final 11 Sept 08" xfId="924"/>
    <cellStyle name="_Q1 PVE on TCC 03_04_06 Ver1_QRF2 Capex Template V1a - CIO - RC 0708" xfId="925"/>
    <cellStyle name="_Q1 PVE on TCC 03_04_06 Ver1_QRF2 Capex Template V1a - CIO - RC 0708_NGA Capex QRF2 V1" xfId="926"/>
    <cellStyle name="_Q1 PVE on TCC 03_04_06 Ver1_QRF2 Capex Template V1a - CIO - RC 0708_Total P&amp;L" xfId="927"/>
    <cellStyle name="_Q1 PVE on TCC 03_04_06 Ver1_QRF4 V1a 15 Jan 09- CIO" xfId="928"/>
    <cellStyle name="_Q1 PVE on TCC 03_04_06 Ver1_QRF4 V1a Template - BTU with NGA updated" xfId="929"/>
    <cellStyle name="_Q1 PVE on TCC 03_04_06 Ver1_QRF4 V1a Template - GC" xfId="930"/>
    <cellStyle name="_Q1 PVE on TCC 03_04_06 Ver1_Total P&amp;L" xfId="931"/>
    <cellStyle name="_Q2 TM Costs_v3" xfId="932"/>
    <cellStyle name="_Q2 value plan v2 040505" xfId="933"/>
    <cellStyle name="_Q4 vs Q1 PVE Ver2.xls" xfId="934"/>
    <cellStyle name="_Q4 vs Q1 PVE Ver2.xls_Book2" xfId="935"/>
    <cellStyle name="_Q4 vs Q1 PVE Ver2.xls_Book5" xfId="936"/>
    <cellStyle name="_Q4 vs Q1 PVE Ver2.xls_BTU CAPEX QRF2 submissionv2 " xfId="937"/>
    <cellStyle name="_Q4 vs Q1 PVE Ver2.xls_BTU CAPEX QRF2 submissionv2 _NGA Capex QRF2 V1" xfId="938"/>
    <cellStyle name="_Q4 vs Q1 PVE Ver2.xls_BTU CAPEX QRF2 submissionv2 _Total P&amp;L" xfId="939"/>
    <cellStyle name="_Q4 vs Q1 PVE Ver2.xls_NGA Capex QRF2 V1" xfId="940"/>
    <cellStyle name="_Q4 vs Q1 PVE Ver2.xls_P&amp;L" xfId="941"/>
    <cellStyle name="_Q4 vs Q1 PVE Ver2.xls_P&amp;L_NGA Capex QRF2 V1" xfId="942"/>
    <cellStyle name="_Q4 vs Q1 PVE Ver2.xls_P&amp;L_Total P&amp;L" xfId="943"/>
    <cellStyle name="_Q4 vs Q1 PVE Ver2.xls_P4 Result-040808" xfId="944"/>
    <cellStyle name="_Q4 vs Q1 PVE Ver2.xls_QRF 2 Capex CIO Final 11 Sept 08" xfId="945"/>
    <cellStyle name="_Q4 vs Q1 PVE Ver2.xls_QRF2 Capex Template V1a - CIO - RC 0708" xfId="946"/>
    <cellStyle name="_Q4 vs Q1 PVE Ver2.xls_QRF2 Capex Template V1a - CIO - RC 0708_NGA Capex QRF2 V1" xfId="947"/>
    <cellStyle name="_Q4 vs Q1 PVE Ver2.xls_QRF2 Capex Template V1a - CIO - RC 0708_Total P&amp;L" xfId="948"/>
    <cellStyle name="_Q4 vs Q1 PVE Ver2.xls_QRF4 V1a 15 Jan 09- CIO" xfId="949"/>
    <cellStyle name="_Q4 vs Q1 PVE Ver2.xls_QRF4 V1a Template - BTU with NGA updated" xfId="950"/>
    <cellStyle name="_Q4 vs Q1 PVE Ver2.xls_QRF4 V1a Template - GC" xfId="951"/>
    <cellStyle name="_Q4 vs Q1 PVE Ver2.xls_Total P&amp;L" xfId="952"/>
    <cellStyle name="_Q4_0506_Mobile_Connections_v2" xfId="953"/>
    <cellStyle name="_QPB EBITDA 06_07 - 08_09 master 9 January" xfId="954"/>
    <cellStyle name="_QPB EBITDA 06_07 - 08_09 v1" xfId="955"/>
    <cellStyle name="_QRF 2 Capex CIO Final 11 Sept 08" xfId="956"/>
    <cellStyle name="_QRF1 BU Template - CEO v5 20-7-08 (Final)" xfId="957"/>
    <cellStyle name="_QRF2 Capex Template V1a - CIO - RC 0708" xfId="958"/>
    <cellStyle name="_QRF2 Capex Template V1a - CIO - RC 0708_NGA Capex QRF2 V1" xfId="959"/>
    <cellStyle name="_QRF2 Capex Template V1a - CIO - RC 0708_Total P&amp;L" xfId="960"/>
    <cellStyle name="_QRF4 Cost Reporting - Prop" xfId="961"/>
    <cellStyle name="_Qtr on Qtr PVEO" xfId="962"/>
    <cellStyle name="_Qtr on Qtr PVEO_Book2" xfId="963"/>
    <cellStyle name="_Qtr on Qtr PVEO_Book5" xfId="964"/>
    <cellStyle name="_Qtr on Qtr PVEO_BTU CAPEX QRF2 submissionv2 " xfId="965"/>
    <cellStyle name="_Qtr on Qtr PVEO_BTU CAPEX QRF2 submissionv2 _NGA Capex QRF2 V1" xfId="966"/>
    <cellStyle name="_Qtr on Qtr PVEO_BTU CAPEX QRF2 submissionv2 _Total P&amp;L" xfId="967"/>
    <cellStyle name="_Qtr on Qtr PVEO_NGA Capex QRF2 V1" xfId="968"/>
    <cellStyle name="_Qtr on Qtr PVEO_P&amp;L" xfId="969"/>
    <cellStyle name="_Qtr on Qtr PVEO_P&amp;L_NGA Capex QRF2 V1" xfId="970"/>
    <cellStyle name="_Qtr on Qtr PVEO_P&amp;L_Total P&amp;L" xfId="971"/>
    <cellStyle name="_Qtr on Qtr PVEO_P4 Result-040808" xfId="972"/>
    <cellStyle name="_Qtr on Qtr PVEO_QRF 2 Capex CIO Final 11 Sept 08" xfId="973"/>
    <cellStyle name="_Qtr on Qtr PVEO_QRF2 Capex Template V1a - CIO - RC 0708" xfId="974"/>
    <cellStyle name="_Qtr on Qtr PVEO_QRF2 Capex Template V1a - CIO - RC 0708_NGA Capex QRF2 V1" xfId="975"/>
    <cellStyle name="_Qtr on Qtr PVEO_QRF2 Capex Template V1a - CIO - RC 0708_Total P&amp;L" xfId="976"/>
    <cellStyle name="_Qtr on Qtr PVEO_QRF4 V1a 15 Jan 09- CIO" xfId="977"/>
    <cellStyle name="_Qtr on Qtr PVEO_QRF4 V1a Template - BTU with NGA updated" xfId="978"/>
    <cellStyle name="_Qtr on Qtr PVEO_QRF4 V1a Template - GC" xfId="979"/>
    <cellStyle name="_Qtr on Qtr PVEO_Total P&amp;L" xfId="980"/>
    <cellStyle name="_quarterly active movement history v2 (2)" xfId="981"/>
    <cellStyle name="_Radianz COE" xfId="982"/>
    <cellStyle name="_Radianz COE (2)" xfId="983"/>
    <cellStyle name="_RBS200809RevenueReconciliation080708" xfId="984"/>
    <cellStyle name="_RD TinT summary April" xfId="985"/>
    <cellStyle name="_Regions Strat Plan 18-8-05 v2" xfId="986"/>
    <cellStyle name="_Reinvestments 2b" xfId="987"/>
    <cellStyle name="_Retail Consumer 5 yr plan master v9" xfId="988"/>
    <cellStyle name="_Retail Data Pack Q3 vs 050209" xfId="989"/>
    <cellStyle name="_Retail Q2 cost template Split 1010" xfId="990"/>
    <cellStyle name="_Retail Strategic Plan - Summary Reference File v2- 17 Nov 2006" xfId="991"/>
    <cellStyle name="_REVENUE AND GM MASTER - BOTTOM UP 4 NOV" xfId="992"/>
    <cellStyle name="_REVENUE AND GM MASTER - BOTTOM UP 4 NOVc" xfId="993"/>
    <cellStyle name="_Revenue and Volume template" xfId="994"/>
    <cellStyle name="_ROI MD Data Prioritisation 170205" xfId="995"/>
    <cellStyle name="_ROI MD Data Prioritisation 170205_Book2" xfId="996"/>
    <cellStyle name="_ROI MD Data Prioritisation 170205_Book5" xfId="997"/>
    <cellStyle name="_ROI MD Data Prioritisation 170205_BTU CAPEX QRF2 submissionv2 " xfId="998"/>
    <cellStyle name="_ROI MD Data Prioritisation 170205_BTU CAPEX QRF2 submissionv2 _NGA Capex QRF2 V1" xfId="999"/>
    <cellStyle name="_ROI MD Data Prioritisation 170205_BTU CAPEX QRF2 submissionv2 _Total P&amp;L" xfId="1000"/>
    <cellStyle name="_ROI MD Data Prioritisation 170205_NGA Capex QRF2 V1" xfId="1001"/>
    <cellStyle name="_ROI MD Data Prioritisation 170205_P&amp;L" xfId="1002"/>
    <cellStyle name="_ROI MD Data Prioritisation 170205_P&amp;L_NGA Capex QRF2 V1" xfId="1003"/>
    <cellStyle name="_ROI MD Data Prioritisation 170205_P&amp;L_Total P&amp;L" xfId="1004"/>
    <cellStyle name="_ROI MD Data Prioritisation 170205_P4 Result-040808" xfId="1005"/>
    <cellStyle name="_ROI MD Data Prioritisation 170205_QRF 2 Capex CIO Final 11 Sept 08" xfId="1006"/>
    <cellStyle name="_ROI MD Data Prioritisation 170205_QRF2 Capex Template V1a - CIO - RC 0708" xfId="1007"/>
    <cellStyle name="_ROI MD Data Prioritisation 170205_QRF2 Capex Template V1a - CIO - RC 0708_NGA Capex QRF2 V1" xfId="1008"/>
    <cellStyle name="_ROI MD Data Prioritisation 170205_QRF2 Capex Template V1a - CIO - RC 0708_Total P&amp;L" xfId="1009"/>
    <cellStyle name="_ROI MD Data Prioritisation 170205_QRF4 V1a 15 Jan 09- CIO" xfId="1010"/>
    <cellStyle name="_ROI MD Data Prioritisation 170205_QRF4 V1a Template - BTU with NGA updated" xfId="1011"/>
    <cellStyle name="_ROI MD Data Prioritisation 170205_QRF4 V1a Template - GC" xfId="1012"/>
    <cellStyle name="_ROI MD Data Prioritisation 170205_Total P&amp;L" xfId="1013"/>
    <cellStyle name="_Sarbox Control Sheet" xfId="1014"/>
    <cellStyle name="_Savings Plan 4 21st June" xfId="1015"/>
    <cellStyle name="_Seating Capacity - with attrition &amp; recruitment.xls Chart 1" xfId="1016"/>
    <cellStyle name="_Seating Capacity - with attrition &amp; recruitment.xls Chart 1-1" xfId="1017"/>
    <cellStyle name="_Seating Capacity Template" xfId="1018"/>
    <cellStyle name="_SHARE 0506" xfId="1019"/>
    <cellStyle name="_Simple Covenant Model v8 Virgin" xfId="1020"/>
    <cellStyle name="_Softswitch Deployment 13 July" xfId="1021"/>
    <cellStyle name="_STRAT PLAN _ KEY VOLUMES FOR ONE IT- 21 November 2006 (2)" xfId="1022"/>
    <cellStyle name="_Strat Plan _QPB (Nov 28th Submission) templates" xfId="1023"/>
    <cellStyle name="_Strat Plan 230806" xfId="1024"/>
    <cellStyle name="_Strat Plan BU Submissions 110906 v3" xfId="1025"/>
    <cellStyle name="_strat plan bu submissions 250906 v7e" xfId="1026"/>
    <cellStyle name="_Strat Plan Scenario 5b1" xfId="1027"/>
    <cellStyle name="_Strat Plan Scenario 5d BU base case template" xfId="1028"/>
    <cellStyle name="_Strat Plan Schedules - BT Business" xfId="1029"/>
    <cellStyle name="_SubHeading" xfId="1030"/>
    <cellStyle name="_SubHeading_BT Retail 5 Year Plan Master v5" xfId="1031"/>
    <cellStyle name="_Summary Info" xfId="1032"/>
    <cellStyle name="_Summary Info_Book2" xfId="1033"/>
    <cellStyle name="_Summary Info_Book5" xfId="1034"/>
    <cellStyle name="_Summary Info_BTU CAPEX QRF2 submissionv2 " xfId="1035"/>
    <cellStyle name="_Summary Info_P&amp;L" xfId="1036"/>
    <cellStyle name="_Summary Info_P4 Result-040808" xfId="1037"/>
    <cellStyle name="_Summary Info_QRF 2 Capex CIO Final 11 Sept 08" xfId="1038"/>
    <cellStyle name="_Summary Info_QRF2 Capex Template V1a - CIO - RC 0708" xfId="1039"/>
    <cellStyle name="_Summary Info_QRF4 V1a 15 Jan 09- CIO" xfId="1040"/>
    <cellStyle name="_Summary Info_QRF4 V1a Template - BTU with NGA updated" xfId="1041"/>
    <cellStyle name="_Summary Info_QRF4 V1a Template - GC" xfId="1042"/>
    <cellStyle name="_Summary of Group requirements" xfId="1043"/>
    <cellStyle name="_Summary of Group requirements1" xfId="1044"/>
    <cellStyle name="_summary PLs v4 - 7 November" xfId="1045"/>
    <cellStyle name="_Systems Mapping 13 July" xfId="1046"/>
    <cellStyle name="_Table" xfId="1047"/>
    <cellStyle name="_Table_BT Retail 5 Year Plan Master v5" xfId="1048"/>
    <cellStyle name="_TableHead" xfId="1049"/>
    <cellStyle name="_TableHead_BT Retail 5 Year Plan Master v5" xfId="1050"/>
    <cellStyle name="_TableRowHead" xfId="1051"/>
    <cellStyle name="_TableRowHead_BT Retail 5 Year Plan Master v5" xfId="1052"/>
    <cellStyle name="_TableSuperHead" xfId="1053"/>
    <cellStyle name="_TableSuperHead_BT Retail 5 Year Plan Master v5" xfId="1054"/>
    <cellStyle name="_TC STRAT PLAN PRESENTATION MASTER -  BUSINESS REVIEW UPDATE - 19 FEB" xfId="1055"/>
    <cellStyle name="_TCA map comparison" xfId="1056"/>
    <cellStyle name="_Temp PVE QPB 06-07 North-South" xfId="1057"/>
    <cellStyle name="_Temp PVE QPB 06-07 North-South_Book2" xfId="1058"/>
    <cellStyle name="_Temp PVE QPB 06-07 North-South_Book5" xfId="1059"/>
    <cellStyle name="_Temp PVE QPB 06-07 North-South_BTU CAPEX QRF2 submissionv2 " xfId="1060"/>
    <cellStyle name="_Temp PVE QPB 06-07 North-South_BTU CAPEX QRF2 submissionv2 _NGA Capex QRF2 V1" xfId="1061"/>
    <cellStyle name="_Temp PVE QPB 06-07 North-South_BTU CAPEX QRF2 submissionv2 _Total P&amp;L" xfId="1062"/>
    <cellStyle name="_Temp PVE QPB 06-07 North-South_NGA Capex QRF2 V1" xfId="1063"/>
    <cellStyle name="_Temp PVE QPB 06-07 North-South_P&amp;L" xfId="1064"/>
    <cellStyle name="_Temp PVE QPB 06-07 North-South_P&amp;L_NGA Capex QRF2 V1" xfId="1065"/>
    <cellStyle name="_Temp PVE QPB 06-07 North-South_P&amp;L_Total P&amp;L" xfId="1066"/>
    <cellStyle name="_Temp PVE QPB 06-07 North-South_P4 Result-040808" xfId="1067"/>
    <cellStyle name="_Temp PVE QPB 06-07 North-South_QRF 2 Capex CIO Final 11 Sept 08" xfId="1068"/>
    <cellStyle name="_Temp PVE QPB 06-07 North-South_QRF2 Capex Template V1a - CIO - RC 0708" xfId="1069"/>
    <cellStyle name="_Temp PVE QPB 06-07 North-South_QRF2 Capex Template V1a - CIO - RC 0708_NGA Capex QRF2 V1" xfId="1070"/>
    <cellStyle name="_Temp PVE QPB 06-07 North-South_QRF2 Capex Template V1a - CIO - RC 0708_Total P&amp;L" xfId="1071"/>
    <cellStyle name="_Temp PVE QPB 06-07 North-South_QRF4 V1a 15 Jan 09- CIO" xfId="1072"/>
    <cellStyle name="_Temp PVE QPB 06-07 North-South_QRF4 V1a Template - BTU with NGA updated" xfId="1073"/>
    <cellStyle name="_Temp PVE QPB 06-07 North-South_QRF4 V1a Template - GC" xfId="1074"/>
    <cellStyle name="_Temp PVE QPB 06-07 North-South_Total P&amp;L" xfId="1075"/>
    <cellStyle name="_TEMP4- EPS Model v0049 November 2008 MTP FINAL{GB_181108a}Penfida_v1" xfId="1076"/>
    <cellStyle name="_Template 2 August 2006 v15a - Consumer" xfId="1077"/>
    <cellStyle name="_Template_04005&amp;0506 Restatement 240908v2" xfId="1078"/>
    <cellStyle name="_Template_0607 PPC restatement 010708v3NL" xfId="1079"/>
    <cellStyle name="_Template_0607 Restatement 150808v9" xfId="1080"/>
    <cellStyle name="_test capex (5)" xfId="1081"/>
    <cellStyle name="_Total Annual plan incl AMC 020605" xfId="1082"/>
    <cellStyle name="_Total Annual plan incl AMC 030805 AMC plan only scenario 8a1" xfId="1083"/>
    <cellStyle name="_Total Annual plan incl AMC 2006051" xfId="1084"/>
    <cellStyle name="_Total Annual plan incl AMC 250705 AMC plan only scenario 41" xfId="1085"/>
    <cellStyle name="_Total Value  Broadband plan scenario 121005 v2 (2)" xfId="1086"/>
    <cellStyle name="_tracker to vs 6" xfId="1087"/>
    <cellStyle name="_value q2 plans post clarkson 2004" xfId="1088"/>
    <cellStyle name="_Virgin p&amp;l" xfId="1089"/>
    <cellStyle name="_Virgin p&amp;l_BT Consumer 5 Year Plan - Lucy 300609" xfId="1090"/>
    <cellStyle name="_Virgin p&amp;l_BT Retail 5 Year Model - HARD CODED - Sep16" xfId="1091"/>
    <cellStyle name="_Virgin p&amp;l_BT Retail 5 Year Plan Master v5" xfId="1092"/>
    <cellStyle name="_Voice 0506 plans DL inputs 180305" xfId="1093"/>
    <cellStyle name="_Voice 0506 plans V4" xfId="1094"/>
    <cellStyle name="_WEEKLY 0506" xfId="1095"/>
    <cellStyle name="_Wholesale Q1 cost template to Group v2" xfId="1096"/>
    <cellStyle name="_WHS P x V P07 v1" xfId="1097"/>
    <cellStyle name="_Worksheet in Consumer Q3 Campaign Case V0.4" xfId="1098"/>
    <cellStyle name="’Ê‰Ý_Region Orders (2)" xfId="1099"/>
    <cellStyle name="=C:\WINNT\SYSTEM32\COMMAND.COM" xfId="1100"/>
    <cellStyle name="=C:\WINNT35\SYSTEM32\COMMAND.COM" xfId="1101"/>
    <cellStyle name="•W€_Pacific Region P&amp;L" xfId="1102"/>
    <cellStyle name="0,0_x000a__x000a_NA_x000a__x000a_" xfId="1103"/>
    <cellStyle name="0,0_x000d__x000a_NA_x000d__x000a_" xfId="1104"/>
    <cellStyle name="0hidden" xfId="1105"/>
    <cellStyle name="0REPORT" xfId="1106"/>
    <cellStyle name="1" xfId="1107"/>
    <cellStyle name="1. Calculation" xfId="1108"/>
    <cellStyle name="1. Calculation 2" xfId="1109"/>
    <cellStyle name="1_BT Retail 5 Year Plan Master v5" xfId="1110"/>
    <cellStyle name="15.2" xfId="1111"/>
    <cellStyle name="1decimal" xfId="1112"/>
    <cellStyle name="2. Parameter" xfId="1113"/>
    <cellStyle name="20% - Accent1 2" xfId="30"/>
    <cellStyle name="20% - Accent1 2 2" xfId="64"/>
    <cellStyle name="20% - Accent1 3" xfId="1114"/>
    <cellStyle name="20% - Accent1 4" xfId="1115"/>
    <cellStyle name="20% - Accent1 5" xfId="1116"/>
    <cellStyle name="20% - Accent2 2" xfId="31"/>
    <cellStyle name="20% - Accent2 2 2" xfId="65"/>
    <cellStyle name="20% - Accent2 3" xfId="1117"/>
    <cellStyle name="20% - Accent2 4" xfId="1118"/>
    <cellStyle name="20% - Accent2 5" xfId="1119"/>
    <cellStyle name="20% - Accent3 2" xfId="32"/>
    <cellStyle name="20% - Accent3 2 2" xfId="66"/>
    <cellStyle name="20% - Accent3 3" xfId="1120"/>
    <cellStyle name="20% - Accent3 4" xfId="1121"/>
    <cellStyle name="20% - Accent3 5" xfId="1122"/>
    <cellStyle name="20% - Accent4 2" xfId="33"/>
    <cellStyle name="20% - Accent4 2 2" xfId="67"/>
    <cellStyle name="20% - Accent4 3" xfId="1123"/>
    <cellStyle name="20% - Accent4 4" xfId="1124"/>
    <cellStyle name="20% - Accent4 5" xfId="1125"/>
    <cellStyle name="20% - Accent5 2" xfId="34"/>
    <cellStyle name="20% - Accent5 2 2" xfId="68"/>
    <cellStyle name="20% - Accent5 3" xfId="1126"/>
    <cellStyle name="20% - Accent5 4" xfId="1127"/>
    <cellStyle name="20% - Accent5 5" xfId="1128"/>
    <cellStyle name="20% - Accent6 2" xfId="35"/>
    <cellStyle name="20% - Accent6 2 2" xfId="69"/>
    <cellStyle name="20% - Accent6 3" xfId="1129"/>
    <cellStyle name="20% - Accent6 4" xfId="1130"/>
    <cellStyle name="20% - Accent6 5" xfId="1131"/>
    <cellStyle name="2dp" xfId="1132"/>
    <cellStyle name="3. Input Data" xfId="1133"/>
    <cellStyle name="3. Input Data 2" xfId="1134"/>
    <cellStyle name="3a. Calculated Input" xfId="1135"/>
    <cellStyle name="4. Estimate" xfId="1136"/>
    <cellStyle name="4. Estimate 2" xfId="1137"/>
    <cellStyle name="40% - Accent1 2" xfId="36"/>
    <cellStyle name="40% - Accent1 2 2" xfId="70"/>
    <cellStyle name="40% - Accent1 3" xfId="1138"/>
    <cellStyle name="40% - Accent1 4" xfId="1139"/>
    <cellStyle name="40% - Accent1 5" xfId="1140"/>
    <cellStyle name="40% - Accent1 6" xfId="1141"/>
    <cellStyle name="40% - Accent2 2" xfId="37"/>
    <cellStyle name="40% - Accent2 2 2" xfId="71"/>
    <cellStyle name="40% - Accent2 3" xfId="1142"/>
    <cellStyle name="40% - Accent2 4" xfId="1143"/>
    <cellStyle name="40% - Accent2 5" xfId="1144"/>
    <cellStyle name="40% - Accent3 2" xfId="38"/>
    <cellStyle name="40% - Accent3 2 2" xfId="72"/>
    <cellStyle name="40% - Accent3 3" xfId="1145"/>
    <cellStyle name="40% - Accent3 4" xfId="1146"/>
    <cellStyle name="40% - Accent3 5" xfId="1147"/>
    <cellStyle name="40% - Accent4 2" xfId="39"/>
    <cellStyle name="40% - Accent4 2 2" xfId="73"/>
    <cellStyle name="40% - Accent4 3" xfId="1148"/>
    <cellStyle name="40% - Accent4 4" xfId="1149"/>
    <cellStyle name="40% - Accent4 5" xfId="1150"/>
    <cellStyle name="40% - Accent5 2" xfId="40"/>
    <cellStyle name="40% - Accent5 2 2" xfId="74"/>
    <cellStyle name="40% - Accent5 3" xfId="1151"/>
    <cellStyle name="40% - Accent5 4" xfId="1152"/>
    <cellStyle name="40% - Accent5 5" xfId="1153"/>
    <cellStyle name="40% - Accent6 2" xfId="41"/>
    <cellStyle name="40% - Accent6 2 2" xfId="75"/>
    <cellStyle name="40% - Accent6 3" xfId="1154"/>
    <cellStyle name="40% - Accent6 4" xfId="1155"/>
    <cellStyle name="40% - Accent6 5" xfId="1156"/>
    <cellStyle name="4dp" xfId="1157"/>
    <cellStyle name="5. Direct Link" xfId="1158"/>
    <cellStyle name="5. Linked Input" xfId="1159"/>
    <cellStyle name="5a. WB Input" xfId="1160"/>
    <cellStyle name="6. Output" xfId="1161"/>
    <cellStyle name="7. Note" xfId="1162"/>
    <cellStyle name="8. Logic" xfId="1163"/>
    <cellStyle name="9. Blank" xfId="1164"/>
    <cellStyle name="ÅëÈ­ [0]_laroux" xfId="1165"/>
    <cellStyle name="ÅëÈ­_laroux" xfId="1166"/>
    <cellStyle name="AFE" xfId="1167"/>
    <cellStyle name="args.style" xfId="1168"/>
    <cellStyle name="Assumption" xfId="1169"/>
    <cellStyle name="Assumption 2" xfId="1170"/>
    <cellStyle name="Assumption 3" xfId="1171"/>
    <cellStyle name="Assumption 4" xfId="1172"/>
    <cellStyle name="Assumption 5" xfId="1173"/>
    <cellStyle name="Assumption 6" xfId="1174"/>
    <cellStyle name="Assumption 7" xfId="1175"/>
    <cellStyle name="ÄÞ¸¶ [0]_laroux" xfId="1176"/>
    <cellStyle name="ÄÞ¸¶_laroux" xfId="1177"/>
    <cellStyle name="AxlColour" xfId="1178"/>
    <cellStyle name="Bad 2" xfId="56"/>
    <cellStyle name="BlankZero" xfId="1179"/>
    <cellStyle name="Blue" xfId="1180"/>
    <cellStyle name="Body" xfId="1181"/>
    <cellStyle name="bold blue" xfId="1182"/>
    <cellStyle name="BoldItalic" xfId="1183"/>
    <cellStyle name="Border Heavy" xfId="1184"/>
    <cellStyle name="Border Thin" xfId="1185"/>
    <cellStyle name="Bottom Border" xfId="1186"/>
    <cellStyle name="BritPound" xfId="1187"/>
    <cellStyle name="Ç¥ÁØ_ÀÎÀç°³¹ß¿ø" xfId="1188"/>
    <cellStyle name="C02_Text" xfId="1189"/>
    <cellStyle name="Calc" xfId="1190"/>
    <cellStyle name="Calc - Blue" xfId="1191"/>
    <cellStyle name="Calc - Feed" xfId="1192"/>
    <cellStyle name="Calc - Green" xfId="1193"/>
    <cellStyle name="Calc - Grey" xfId="1194"/>
    <cellStyle name="Calc - Light" xfId="1195"/>
    <cellStyle name="Calc - Light White" xfId="1196"/>
    <cellStyle name="Calc - White" xfId="1197"/>
    <cellStyle name="Calc - White Light" xfId="1198"/>
    <cellStyle name="Calc - White_AOP Budget Bible 211105 v1" xfId="1199"/>
    <cellStyle name="Calc Currency (0)" xfId="1200"/>
    <cellStyle name="Calc Currency (0) 2" xfId="2467"/>
    <cellStyle name="Calc Currency (2)" xfId="1201"/>
    <cellStyle name="Calc Percent (0)" xfId="1202"/>
    <cellStyle name="Calc Percent (1)" xfId="1203"/>
    <cellStyle name="Calc Percent (2)" xfId="1204"/>
    <cellStyle name="Calc Units (0)" xfId="1205"/>
    <cellStyle name="Calc Units (1)" xfId="1206"/>
    <cellStyle name="Calc Units (2)" xfId="1207"/>
    <cellStyle name="Calc White" xfId="1208"/>
    <cellStyle name="Calc_%" xfId="1209"/>
    <cellStyle name="Calc-Col total" xfId="1210"/>
    <cellStyle name="Calculated" xfId="1211"/>
    <cellStyle name="Calculation" xfId="1" builtinId="22" customBuiltin="1"/>
    <cellStyle name="Calculation - Info only" xfId="1212"/>
    <cellStyle name="Calculation - Row total" xfId="1213"/>
    <cellStyle name="Calculation - Row total 2" xfId="1214"/>
    <cellStyle name="Calculation 10" xfId="1215"/>
    <cellStyle name="Calculation 11" xfId="1216"/>
    <cellStyle name="Calculation 12" xfId="1217"/>
    <cellStyle name="Calculation 13" xfId="1218"/>
    <cellStyle name="Calculation 14" xfId="1219"/>
    <cellStyle name="Calculation 15" xfId="1220"/>
    <cellStyle name="Calculation 16" xfId="1221"/>
    <cellStyle name="Calculation 17" xfId="1222"/>
    <cellStyle name="Calculation 18" xfId="1223"/>
    <cellStyle name="Calculation 19" xfId="1224"/>
    <cellStyle name="Calculation 2" xfId="1225"/>
    <cellStyle name="Calculation 2 10" xfId="1226"/>
    <cellStyle name="Calculation 2 11" xfId="1227"/>
    <cellStyle name="Calculation 2 12" xfId="1228"/>
    <cellStyle name="Calculation 2 13" xfId="1229"/>
    <cellStyle name="Calculation 2 2" xfId="1230"/>
    <cellStyle name="Calculation 2 3" xfId="1231"/>
    <cellStyle name="Calculation 2 4" xfId="1232"/>
    <cellStyle name="Calculation 2 5" xfId="1233"/>
    <cellStyle name="Calculation 2 6" xfId="1234"/>
    <cellStyle name="Calculation 2 7" xfId="1235"/>
    <cellStyle name="Calculation 2 8" xfId="1236"/>
    <cellStyle name="Calculation 2 9" xfId="1237"/>
    <cellStyle name="Calculation 20" xfId="1238"/>
    <cellStyle name="Calculation 21" xfId="1239"/>
    <cellStyle name="Calculation 22" xfId="1240"/>
    <cellStyle name="Calculation 23" xfId="1241"/>
    <cellStyle name="Calculation 3" xfId="1242"/>
    <cellStyle name="Calculation 3 10" xfId="1243"/>
    <cellStyle name="Calculation 3 11" xfId="1244"/>
    <cellStyle name="Calculation 3 12" xfId="1245"/>
    <cellStyle name="Calculation 3 13" xfId="1246"/>
    <cellStyle name="Calculation 3 2" xfId="1247"/>
    <cellStyle name="Calculation 3 3" xfId="1248"/>
    <cellStyle name="Calculation 3 4" xfId="1249"/>
    <cellStyle name="Calculation 3 5" xfId="1250"/>
    <cellStyle name="Calculation 3 6" xfId="1251"/>
    <cellStyle name="Calculation 3 7" xfId="1252"/>
    <cellStyle name="Calculation 3 8" xfId="1253"/>
    <cellStyle name="Calculation 3 9" xfId="1254"/>
    <cellStyle name="Calculation 4" xfId="1255"/>
    <cellStyle name="Calculation 4 10" xfId="1256"/>
    <cellStyle name="Calculation 4 11" xfId="1257"/>
    <cellStyle name="Calculation 4 12" xfId="1258"/>
    <cellStyle name="Calculation 4 13" xfId="1259"/>
    <cellStyle name="Calculation 4 2" xfId="1260"/>
    <cellStyle name="Calculation 4 3" xfId="1261"/>
    <cellStyle name="Calculation 4 4" xfId="1262"/>
    <cellStyle name="Calculation 4 5" xfId="1263"/>
    <cellStyle name="Calculation 4 6" xfId="1264"/>
    <cellStyle name="Calculation 4 7" xfId="1265"/>
    <cellStyle name="Calculation 4 8" xfId="1266"/>
    <cellStyle name="Calculation 4 9" xfId="1267"/>
    <cellStyle name="Calculation 5" xfId="1268"/>
    <cellStyle name="Calculation 6" xfId="1269"/>
    <cellStyle name="Calculation 7" xfId="1270"/>
    <cellStyle name="Calculation 8" xfId="1271"/>
    <cellStyle name="Calculation 9" xfId="1272"/>
    <cellStyle name="Calculation1" xfId="1273"/>
    <cellStyle name="Check" xfId="1274"/>
    <cellStyle name="Checksum" xfId="2"/>
    <cellStyle name="Checksum 2" xfId="1275"/>
    <cellStyle name="Clear" xfId="1276"/>
    <cellStyle name="closed" xfId="2468"/>
    <cellStyle name="Column Heading" xfId="1277"/>
    <cellStyle name="Column Heading (No Wrap)" xfId="1278"/>
    <cellStyle name="Column Heading (No Wrap) 2" xfId="1279"/>
    <cellStyle name="Column Heading (No Wrap) 3" xfId="1280"/>
    <cellStyle name="Column Heading (No Wrap) 4" xfId="1281"/>
    <cellStyle name="Column Heading (No Wrap) 5" xfId="1282"/>
    <cellStyle name="Column Heading (No Wrap) 6" xfId="1283"/>
    <cellStyle name="Column Heading (No Wrap) 7" xfId="1284"/>
    <cellStyle name="Column Heading 2" xfId="1285"/>
    <cellStyle name="Column Heading 3" xfId="1286"/>
    <cellStyle name="Column Heading 4" xfId="1287"/>
    <cellStyle name="Column Heading 5" xfId="1288"/>
    <cellStyle name="Column Heading 6" xfId="1289"/>
    <cellStyle name="Column Heading 7" xfId="1290"/>
    <cellStyle name="Column label" xfId="1291"/>
    <cellStyle name="Column label (left aligned)" xfId="1292"/>
    <cellStyle name="Column label (no wrap)" xfId="1293"/>
    <cellStyle name="Column label (not bold)" xfId="1294"/>
    <cellStyle name="Column Total" xfId="1295"/>
    <cellStyle name="Column Total 2" xfId="1296"/>
    <cellStyle name="Column Total 3" xfId="1297"/>
    <cellStyle name="Column Total 4" xfId="1298"/>
    <cellStyle name="Column Total 5" xfId="1299"/>
    <cellStyle name="Column Total 6" xfId="1300"/>
    <cellStyle name="Column Total 7" xfId="1301"/>
    <cellStyle name="ColumnLabel" xfId="1302"/>
    <cellStyle name="Comma  - Style1" xfId="1303"/>
    <cellStyle name="Comma  - Style2" xfId="1304"/>
    <cellStyle name="Comma  - Style3" xfId="1305"/>
    <cellStyle name="Comma  - Style4" xfId="1306"/>
    <cellStyle name="Comma  - Style5" xfId="1307"/>
    <cellStyle name="Comma  - Style6" xfId="1308"/>
    <cellStyle name="Comma  - Style7" xfId="1309"/>
    <cellStyle name="Comma  - Style8" xfId="1310"/>
    <cellStyle name="Comma ," xfId="1311"/>
    <cellStyle name="Comma [00]" xfId="1312"/>
    <cellStyle name="comma [1]" xfId="1313"/>
    <cellStyle name="Comma [1] 2" xfId="1314"/>
    <cellStyle name="Comma [2]" xfId="1315"/>
    <cellStyle name="Comma 0" xfId="1316"/>
    <cellStyle name="Comma 10" xfId="1317"/>
    <cellStyle name="Comma 11" xfId="1318"/>
    <cellStyle name="Comma 12" xfId="1319"/>
    <cellStyle name="Comma 13" xfId="1320"/>
    <cellStyle name="Comma 14" xfId="1321"/>
    <cellStyle name="Comma 15" xfId="1322"/>
    <cellStyle name="Comma 16" xfId="1323"/>
    <cellStyle name="Comma 16 2" xfId="1324"/>
    <cellStyle name="Comma 17" xfId="1325"/>
    <cellStyle name="Comma 18" xfId="1326"/>
    <cellStyle name="Comma 19" xfId="1327"/>
    <cellStyle name="Comma 2" xfId="1328"/>
    <cellStyle name="Comma 2 2" xfId="1329"/>
    <cellStyle name="Comma 2 2 2" xfId="1330"/>
    <cellStyle name="Comma 2 3" xfId="1331"/>
    <cellStyle name="Comma 2 3 2" xfId="2469"/>
    <cellStyle name="Comma 2 4" xfId="1332"/>
    <cellStyle name="Comma 2 5" xfId="1333"/>
    <cellStyle name="Comma 2 6" xfId="1334"/>
    <cellStyle name="Comma 20" xfId="1335"/>
    <cellStyle name="Comma 21" xfId="1336"/>
    <cellStyle name="Comma 22" xfId="1337"/>
    <cellStyle name="Comma 23" xfId="1338"/>
    <cellStyle name="Comma 24" xfId="1339"/>
    <cellStyle name="Comma 25" xfId="1340"/>
    <cellStyle name="Comma 26" xfId="1341"/>
    <cellStyle name="Comma 27" xfId="1342"/>
    <cellStyle name="Comma 28" xfId="1343"/>
    <cellStyle name="Comma 29" xfId="1344"/>
    <cellStyle name="Comma 3" xfId="1345"/>
    <cellStyle name="Comma 3 2" xfId="1346"/>
    <cellStyle name="Comma 3 3" xfId="2470"/>
    <cellStyle name="Comma 30" xfId="1347"/>
    <cellStyle name="Comma 31" xfId="1348"/>
    <cellStyle name="Comma 32" xfId="1349"/>
    <cellStyle name="Comma 33" xfId="1350"/>
    <cellStyle name="Comma 34" xfId="2464"/>
    <cellStyle name="Comma 35" xfId="2552"/>
    <cellStyle name="Comma 4" xfId="1351"/>
    <cellStyle name="Comma 4 2" xfId="1352"/>
    <cellStyle name="Comma 4 2 2" xfId="2473"/>
    <cellStyle name="Comma 4 2 2 2" xfId="2474"/>
    <cellStyle name="Comma 4 2 3" xfId="2475"/>
    <cellStyle name="Comma 4 2 4" xfId="2472"/>
    <cellStyle name="Comma 4 3" xfId="2476"/>
    <cellStyle name="Comma 4 3 2" xfId="2477"/>
    <cellStyle name="Comma 4 4" xfId="2478"/>
    <cellStyle name="Comma 4 5" xfId="2471"/>
    <cellStyle name="Comma 5" xfId="1353"/>
    <cellStyle name="Comma 5 2" xfId="1354"/>
    <cellStyle name="Comma 5 2 2" xfId="2481"/>
    <cellStyle name="Comma 5 2 2 2" xfId="2482"/>
    <cellStyle name="Comma 5 2 3" xfId="2483"/>
    <cellStyle name="Comma 5 2 4" xfId="2480"/>
    <cellStyle name="Comma 5 3" xfId="2484"/>
    <cellStyle name="Comma 5 3 2" xfId="2485"/>
    <cellStyle name="Comma 5 4" xfId="2486"/>
    <cellStyle name="Comma 5 5" xfId="2479"/>
    <cellStyle name="Comma 6" xfId="1355"/>
    <cellStyle name="Comma 6 2" xfId="1356"/>
    <cellStyle name="Comma 7" xfId="1357"/>
    <cellStyle name="Comma 7 2" xfId="2487"/>
    <cellStyle name="Comma 8" xfId="1358"/>
    <cellStyle name="Comma 9" xfId="1359"/>
    <cellStyle name="Comma.0" xfId="1360"/>
    <cellStyle name="Comma1" xfId="1361"/>
    <cellStyle name="Comma2 [0]" xfId="1362"/>
    <cellStyle name="Comma3" xfId="1363"/>
    <cellStyle name="CommaRounded" xfId="1364"/>
    <cellStyle name="Copied" xfId="1365"/>
    <cellStyle name="CopyrightRow" xfId="1366"/>
    <cellStyle name="COST1" xfId="1367"/>
    <cellStyle name="Currency - Euro" xfId="1368"/>
    <cellStyle name="Currency - Euro 2" xfId="1369"/>
    <cellStyle name="Currency (0dp)" xfId="1370"/>
    <cellStyle name="Currency (2dp)" xfId="1371"/>
    <cellStyle name="Currency [0] - Euro" xfId="1372"/>
    <cellStyle name="Currency [00]" xfId="1373"/>
    <cellStyle name="Currency 0" xfId="1374"/>
    <cellStyle name="Currency 2" xfId="1375"/>
    <cellStyle name="Currency 2 2" xfId="1376"/>
    <cellStyle name="Currency 3" xfId="1377"/>
    <cellStyle name="Currency 4" xfId="1378"/>
    <cellStyle name="Currency 5" xfId="1379"/>
    <cellStyle name="Currency 6" xfId="1380"/>
    <cellStyle name="Currency Dollar" xfId="1381"/>
    <cellStyle name="Currency Dollar (2dp)" xfId="1382"/>
    <cellStyle name="Currency EUR" xfId="1383"/>
    <cellStyle name="Currency EUR (2dp)" xfId="1384"/>
    <cellStyle name="Currency Euro" xfId="1385"/>
    <cellStyle name="Currency Euro (2dp)" xfId="1386"/>
    <cellStyle name="Currency GBP" xfId="1387"/>
    <cellStyle name="Currency GBP (2dp)" xfId="1388"/>
    <cellStyle name="Currency Pound" xfId="1389"/>
    <cellStyle name="Currency Pound (2dp)" xfId="1390"/>
    <cellStyle name="Currency USD" xfId="1391"/>
    <cellStyle name="Currency USD (2dp)" xfId="1392"/>
    <cellStyle name="Currency-$" xfId="1393"/>
    <cellStyle name="Currency-£" xfId="1394"/>
    <cellStyle name="Currency0" xfId="1395"/>
    <cellStyle name="Currency2" xfId="1396"/>
    <cellStyle name="Currency-Denomination" xfId="1397"/>
    <cellStyle name="Currency-F" xfId="1398"/>
    <cellStyle name="Dark header" xfId="24"/>
    <cellStyle name="Data Input" xfId="1399"/>
    <cellStyle name="Data Section Heading" xfId="1400"/>
    <cellStyle name="DATA_Amount" xfId="1401"/>
    <cellStyle name="DataEntry" xfId="1402"/>
    <cellStyle name="Date" xfId="1403"/>
    <cellStyle name="Date (Month)" xfId="1404"/>
    <cellStyle name="Date (Year)" xfId="1405"/>
    <cellStyle name="Date 10" xfId="1406"/>
    <cellStyle name="Date 11" xfId="1407"/>
    <cellStyle name="Date 12" xfId="1408"/>
    <cellStyle name="Date 13" xfId="1409"/>
    <cellStyle name="Date 14" xfId="1410"/>
    <cellStyle name="Date 15" xfId="1411"/>
    <cellStyle name="Date 16" xfId="1412"/>
    <cellStyle name="Date 17" xfId="1413"/>
    <cellStyle name="Date 18" xfId="1414"/>
    <cellStyle name="Date 19" xfId="1415"/>
    <cellStyle name="Date 2" xfId="1416"/>
    <cellStyle name="Date 20" xfId="1417"/>
    <cellStyle name="Date 21" xfId="1418"/>
    <cellStyle name="Date 22" xfId="1419"/>
    <cellStyle name="Date 23" xfId="1420"/>
    <cellStyle name="Date 24" xfId="1421"/>
    <cellStyle name="Date 25" xfId="1422"/>
    <cellStyle name="Date 26" xfId="1423"/>
    <cellStyle name="Date 27" xfId="1424"/>
    <cellStyle name="Date 28" xfId="1425"/>
    <cellStyle name="Date 29" xfId="1426"/>
    <cellStyle name="Date 3" xfId="1427"/>
    <cellStyle name="Date 30" xfId="1428"/>
    <cellStyle name="Date 31" xfId="1429"/>
    <cellStyle name="Date 32" xfId="1430"/>
    <cellStyle name="Date 33" xfId="1431"/>
    <cellStyle name="Date 34" xfId="1432"/>
    <cellStyle name="Date 4" xfId="1433"/>
    <cellStyle name="Date 5" xfId="1434"/>
    <cellStyle name="Date 6" xfId="1435"/>
    <cellStyle name="Date 7" xfId="1436"/>
    <cellStyle name="Date 8" xfId="1437"/>
    <cellStyle name="Date 9" xfId="1438"/>
    <cellStyle name="Date Aligned" xfId="1439"/>
    <cellStyle name="Date Entry" xfId="1440"/>
    <cellStyle name="Date Short" xfId="1441"/>
    <cellStyle name="Date_200809Provisions and Other Adjustments P6 200809" xfId="1442"/>
    <cellStyle name="Day" xfId="1443"/>
    <cellStyle name="Decimal_0dp" xfId="1444"/>
    <cellStyle name="Delta" xfId="1445"/>
    <cellStyle name="Delta%" xfId="1446"/>
    <cellStyle name="Dezimal [0]_BC Vorlage für Olympia VOTServices" xfId="1447"/>
    <cellStyle name="Dezimal_BC Vorlage für Olympia VOTServices" xfId="1448"/>
    <cellStyle name="Divider" xfId="26"/>
    <cellStyle name="Dotted Line" xfId="1449"/>
    <cellStyle name="Download" xfId="1450"/>
    <cellStyle name="Enter" xfId="1451"/>
    <cellStyle name="Enter Currency (0)" xfId="1452"/>
    <cellStyle name="Enter Currency (2)" xfId="1453"/>
    <cellStyle name="Enter Units (0)" xfId="1454"/>
    <cellStyle name="Enter Units (1)" xfId="1455"/>
    <cellStyle name="Enter Units (2)" xfId="1456"/>
    <cellStyle name="Entered" xfId="1457"/>
    <cellStyle name="Entry" xfId="1458"/>
    <cellStyle name="entry box" xfId="1459"/>
    <cellStyle name="Euro" xfId="1460"/>
    <cellStyle name="Exception" xfId="1461"/>
    <cellStyle name="Exception - Light" xfId="1462"/>
    <cellStyle name="Exception_AOP Budget Bible 211105 v1" xfId="1463"/>
    <cellStyle name="External data" xfId="1464"/>
    <cellStyle name="External data 2" xfId="1465"/>
    <cellStyle name="External Input" xfId="1466"/>
    <cellStyle name="External label" xfId="1467"/>
    <cellStyle name="External label 2" xfId="1468"/>
    <cellStyle name="EY House" xfId="1469"/>
    <cellStyle name="EYCalc" xfId="1470"/>
    <cellStyle name="EYCallUp" xfId="1471"/>
    <cellStyle name="F01_Note heading" xfId="1472"/>
    <cellStyle name="Feeder Field" xfId="1473"/>
    <cellStyle name="Feeder Field - Light" xfId="1474"/>
    <cellStyle name="Feeder Field Light" xfId="1475"/>
    <cellStyle name="Feeder Field_AOP Budget Bible 211105 v1" xfId="1476"/>
    <cellStyle name="Fixed" xfId="1477"/>
    <cellStyle name="Flash" xfId="2488"/>
    <cellStyle name="fo]_x000d__x000a_UserName=Murat Zelef_x000d__x000a_UserCompany=Bumerang_x000d__x000a__x000d__x000a_[File Paths]_x000d__x000a_WorkingDirectory=C:\EQUIS\DLWIN_x000d__x000a_DownLoader=C" xfId="1478"/>
    <cellStyle name="font" xfId="1479"/>
    <cellStyle name="Footnote" xfId="1480"/>
    <cellStyle name="Forecast Cell Column Heading" xfId="1481"/>
    <cellStyle name="Formula Different" xfId="1482"/>
    <cellStyle name="G1_bold figures" xfId="1483"/>
    <cellStyle name="General" xfId="1484"/>
    <cellStyle name="General No - Black" xfId="1485"/>
    <cellStyle name="General No (Black)" xfId="1486"/>
    <cellStyle name="General No (Red)" xfId="1487"/>
    <cellStyle name="Grand Total" xfId="1488"/>
    <cellStyle name="Green" xfId="1489"/>
    <cellStyle name="Grey" xfId="1490"/>
    <cellStyle name="Greyed out" xfId="1491"/>
    <cellStyle name="Greyed out - Light" xfId="1492"/>
    <cellStyle name="Greyed out_AOP Budget Bible 211105 v1" xfId="1493"/>
    <cellStyle name="H 2" xfId="1494"/>
    <cellStyle name="H_bold_col_head" xfId="1495"/>
    <cellStyle name="H_light_col_head" xfId="1496"/>
    <cellStyle name="H0" xfId="1497"/>
    <cellStyle name="H0 2" xfId="1498"/>
    <cellStyle name="H1" xfId="3"/>
    <cellStyle name="H1 height" xfId="1499"/>
    <cellStyle name="H2" xfId="4"/>
    <cellStyle name="H3" xfId="5"/>
    <cellStyle name="H4" xfId="6"/>
    <cellStyle name="Hard Code" xfId="1500"/>
    <cellStyle name="Hard Percent" xfId="1501"/>
    <cellStyle name="Header" xfId="1502"/>
    <cellStyle name="Header1" xfId="1503"/>
    <cellStyle name="Header2" xfId="1504"/>
    <cellStyle name="Header2 2" xfId="2490"/>
    <cellStyle name="Header2 3" xfId="2489"/>
    <cellStyle name="Header3" xfId="1505"/>
    <cellStyle name="Heading" xfId="1506"/>
    <cellStyle name="Heading 1 2" xfId="1507"/>
    <cellStyle name="Heading 1 2 2" xfId="1508"/>
    <cellStyle name="Heading 1 Height" xfId="1509"/>
    <cellStyle name="Heading 2 2" xfId="1510"/>
    <cellStyle name="Heading 3 2" xfId="1511"/>
    <cellStyle name="Heading 4 2" xfId="1512"/>
    <cellStyle name="Heading 5" xfId="1513"/>
    <cellStyle name="Heading 5 2" xfId="1514"/>
    <cellStyle name="Heading Blue" xfId="25"/>
    <cellStyle name="Heading Grey" xfId="27"/>
    <cellStyle name="Heading.1" xfId="1515"/>
    <cellStyle name="Heading.2" xfId="1516"/>
    <cellStyle name="Heading.3" xfId="1517"/>
    <cellStyle name="Heading.4" xfId="1518"/>
    <cellStyle name="Headings" xfId="1519"/>
    <cellStyle name="Headline1" xfId="1520"/>
    <cellStyle name="Headline1 2" xfId="2491"/>
    <cellStyle name="Headline3" xfId="1521"/>
    <cellStyle name="Headline3 2" xfId="2492"/>
    <cellStyle name="hidden" xfId="1522"/>
    <cellStyle name="Hide" xfId="1523"/>
    <cellStyle name="Highlight" xfId="7"/>
    <cellStyle name="Highlight 10" xfId="1524"/>
    <cellStyle name="Highlight 11" xfId="1525"/>
    <cellStyle name="Highlight 12" xfId="1526"/>
    <cellStyle name="Highlight 13" xfId="1527"/>
    <cellStyle name="Highlight 14" xfId="1528"/>
    <cellStyle name="Highlight 15" xfId="1529"/>
    <cellStyle name="Highlight 16" xfId="1530"/>
    <cellStyle name="Highlight 17" xfId="1531"/>
    <cellStyle name="Highlight 18" xfId="1532"/>
    <cellStyle name="Highlight 19" xfId="1533"/>
    <cellStyle name="Highlight 2" xfId="1534"/>
    <cellStyle name="Highlight 20" xfId="1535"/>
    <cellStyle name="Highlight 21" xfId="1536"/>
    <cellStyle name="Highlight 22" xfId="1537"/>
    <cellStyle name="Highlight 23" xfId="1538"/>
    <cellStyle name="Highlight 24" xfId="1539"/>
    <cellStyle name="Highlight 25" xfId="1540"/>
    <cellStyle name="Highlight 26" xfId="1541"/>
    <cellStyle name="Highlight 27" xfId="1542"/>
    <cellStyle name="Highlight 28" xfId="1543"/>
    <cellStyle name="Highlight 29" xfId="1544"/>
    <cellStyle name="Highlight 3" xfId="1545"/>
    <cellStyle name="Highlight 30" xfId="1546"/>
    <cellStyle name="Highlight 31" xfId="1547"/>
    <cellStyle name="Highlight 32" xfId="1548"/>
    <cellStyle name="Highlight 33" xfId="1549"/>
    <cellStyle name="Highlight 34" xfId="1550"/>
    <cellStyle name="Highlight 4" xfId="1551"/>
    <cellStyle name="Highlight 5" xfId="1552"/>
    <cellStyle name="Highlight 6" xfId="1553"/>
    <cellStyle name="Highlight 7" xfId="1554"/>
    <cellStyle name="Highlight 8" xfId="1555"/>
    <cellStyle name="Highlight 9" xfId="1556"/>
    <cellStyle name="Highlight_Data_annex_for_Analysys_Mason_RRxxx" xfId="1557"/>
    <cellStyle name="hours" xfId="1558"/>
    <cellStyle name="Hyperlink 2" xfId="1559"/>
    <cellStyle name="Hyperlink 3" xfId="1560"/>
    <cellStyle name="Hyperlink 4" xfId="1561"/>
    <cellStyle name="Important" xfId="1562"/>
    <cellStyle name="Input - %" xfId="1563"/>
    <cellStyle name="Input [yellow]" xfId="1564"/>
    <cellStyle name="Input [yellow] 2" xfId="2493"/>
    <cellStyle name="Input 1" xfId="1565"/>
    <cellStyle name="Input 1 - Light" xfId="1566"/>
    <cellStyle name="Input 1_AOP Budget Bible 211105 v1" xfId="1567"/>
    <cellStyle name="Input 10" xfId="1568"/>
    <cellStyle name="Input 2" xfId="49"/>
    <cellStyle name="Input 2 - Light" xfId="1569"/>
    <cellStyle name="Input 2 2" xfId="1570"/>
    <cellStyle name="Input 2 3" xfId="1571"/>
    <cellStyle name="Input 2 4" xfId="1572"/>
    <cellStyle name="Input 2 5" xfId="1573"/>
    <cellStyle name="Input 2 6" xfId="1574"/>
    <cellStyle name="Input 2 7" xfId="1575"/>
    <cellStyle name="Input 2_AOP Budget Bible 211105 v1" xfId="1576"/>
    <cellStyle name="Input 3" xfId="1577"/>
    <cellStyle name="Input 3 2" xfId="1578"/>
    <cellStyle name="Input 3 3" xfId="1579"/>
    <cellStyle name="Input 3 4" xfId="1580"/>
    <cellStyle name="Input 3 5" xfId="1581"/>
    <cellStyle name="Input 3 6" xfId="1582"/>
    <cellStyle name="Input 3 7" xfId="1583"/>
    <cellStyle name="Input 4" xfId="1584"/>
    <cellStyle name="Input 4 2" xfId="1585"/>
    <cellStyle name="Input 4 3" xfId="1586"/>
    <cellStyle name="Input 4 4" xfId="1587"/>
    <cellStyle name="Input 4 5" xfId="1588"/>
    <cellStyle name="Input 4 6" xfId="1589"/>
    <cellStyle name="Input 4 7" xfId="1590"/>
    <cellStyle name="Input 5" xfId="1591"/>
    <cellStyle name="Input 6" xfId="1592"/>
    <cellStyle name="Input 7" xfId="1593"/>
    <cellStyle name="Input 8" xfId="1594"/>
    <cellStyle name="Input 9" xfId="1595"/>
    <cellStyle name="Input calculation" xfId="1596"/>
    <cellStyle name="Input calculation 2" xfId="1597"/>
    <cellStyle name="Input Cells" xfId="1598"/>
    <cellStyle name="Input data" xfId="16"/>
    <cellStyle name="Input data 2" xfId="1599"/>
    <cellStyle name="Input data 3" xfId="1600"/>
    <cellStyle name="Input estimate" xfId="1601"/>
    <cellStyle name="Input label" xfId="1602"/>
    <cellStyle name="Input Link" xfId="1603"/>
    <cellStyle name="Input link (different workbook)" xfId="1604"/>
    <cellStyle name="Input link 10" xfId="1605"/>
    <cellStyle name="Input link 11" xfId="1606"/>
    <cellStyle name="Input link 12" xfId="1607"/>
    <cellStyle name="Input link 13" xfId="1608"/>
    <cellStyle name="Input link 14" xfId="1609"/>
    <cellStyle name="Input link 15" xfId="1610"/>
    <cellStyle name="Input link 16" xfId="1611"/>
    <cellStyle name="Input link 17" xfId="1612"/>
    <cellStyle name="Input link 18" xfId="1613"/>
    <cellStyle name="Input link 19" xfId="1614"/>
    <cellStyle name="Input link 2" xfId="1615"/>
    <cellStyle name="Input link 20" xfId="1616"/>
    <cellStyle name="Input link 21" xfId="1617"/>
    <cellStyle name="Input link 22" xfId="1618"/>
    <cellStyle name="Input link 23" xfId="1619"/>
    <cellStyle name="Input link 24" xfId="1620"/>
    <cellStyle name="Input link 25" xfId="1621"/>
    <cellStyle name="Input link 26" xfId="1622"/>
    <cellStyle name="Input link 27" xfId="1623"/>
    <cellStyle name="Input link 28" xfId="1624"/>
    <cellStyle name="Input link 29" xfId="1625"/>
    <cellStyle name="Input link 3" xfId="1626"/>
    <cellStyle name="Input link 30" xfId="1627"/>
    <cellStyle name="Input link 31" xfId="1628"/>
    <cellStyle name="Input link 32" xfId="1629"/>
    <cellStyle name="Input link 33" xfId="1630"/>
    <cellStyle name="Input link 34" xfId="1631"/>
    <cellStyle name="Input link 35" xfId="1632"/>
    <cellStyle name="Input link 36" xfId="1633"/>
    <cellStyle name="Input link 37" xfId="1634"/>
    <cellStyle name="Input link 38" xfId="1635"/>
    <cellStyle name="Input link 39" xfId="1636"/>
    <cellStyle name="Input link 4" xfId="1637"/>
    <cellStyle name="Input link 40" xfId="1638"/>
    <cellStyle name="Input link 41" xfId="1639"/>
    <cellStyle name="Input link 5" xfId="1640"/>
    <cellStyle name="Input link 6" xfId="1641"/>
    <cellStyle name="Input link 7" xfId="1642"/>
    <cellStyle name="Input link 8" xfId="1643"/>
    <cellStyle name="Input link 9" xfId="1644"/>
    <cellStyle name="Input link_5yp Voice base case 23_11_05 consumer" xfId="1645"/>
    <cellStyle name="Input parameter" xfId="17"/>
    <cellStyle name="Input parameter 2" xfId="1646"/>
    <cellStyle name="Input parameter 3" xfId="1647"/>
    <cellStyle name="Input-#0" xfId="1648"/>
    <cellStyle name="Input-#1" xfId="1649"/>
    <cellStyle name="Input-#2" xfId="1650"/>
    <cellStyle name="Input-$0" xfId="1651"/>
    <cellStyle name="Input-$2" xfId="1652"/>
    <cellStyle name="Input-$4" xfId="1653"/>
    <cellStyle name="Input-%0" xfId="1654"/>
    <cellStyle name="Input-%1" xfId="1655"/>
    <cellStyle name="Input-%2" xfId="1656"/>
    <cellStyle name="Input-reformat" xfId="1657"/>
    <cellStyle name="Intega" xfId="1658"/>
    <cellStyle name="Key Output" xfId="1659"/>
    <cellStyle name="Komma [0]_PLDT" xfId="1660"/>
    <cellStyle name="Komma_PLDT" xfId="1661"/>
    <cellStyle name="KPMG Heading 1" xfId="1662"/>
    <cellStyle name="KPMG Heading 2" xfId="1663"/>
    <cellStyle name="KPMG Heading 3" xfId="1664"/>
    <cellStyle name="KPMG Heading 4" xfId="1665"/>
    <cellStyle name="KPMG Normal" xfId="1666"/>
    <cellStyle name="KPMG Normal Text" xfId="1667"/>
    <cellStyle name="Label" xfId="1668"/>
    <cellStyle name="Label - Total" xfId="1669"/>
    <cellStyle name="Label from list" xfId="1670"/>
    <cellStyle name="Label from list 2" xfId="1671"/>
    <cellStyle name="left" xfId="1672"/>
    <cellStyle name="left 2" xfId="2494"/>
    <cellStyle name="Lien hypertexte visité_SSJB  MICHELIN" xfId="1673"/>
    <cellStyle name="Lien hypertexte_SSJB  MICHELIN" xfId="1674"/>
    <cellStyle name="Link Currency (0)" xfId="1675"/>
    <cellStyle name="Link Currency (2)" xfId="1676"/>
    <cellStyle name="Link Input" xfId="1677"/>
    <cellStyle name="Link Units (0)" xfId="1678"/>
    <cellStyle name="Link Units (1)" xfId="1679"/>
    <cellStyle name="Link Units (2)" xfId="1680"/>
    <cellStyle name="Linked" xfId="1681"/>
    <cellStyle name="Linked Cells" xfId="1682"/>
    <cellStyle name="LTM Cell Column Heading" xfId="1683"/>
    <cellStyle name="Main Header" xfId="1684"/>
    <cellStyle name="Main Title" xfId="1685"/>
    <cellStyle name="Main Title 2" xfId="1686"/>
    <cellStyle name="Main Title 3" xfId="1687"/>
    <cellStyle name="Main Title 4" xfId="1688"/>
    <cellStyle name="Main Title 5" xfId="1689"/>
    <cellStyle name="Main Title 6" xfId="1690"/>
    <cellStyle name="Main Title 7" xfId="1691"/>
    <cellStyle name="MainHeading" xfId="1692"/>
    <cellStyle name="max" xfId="1693"/>
    <cellStyle name="Migliaia_pldt" xfId="1694"/>
    <cellStyle name="Millares [0]_0086-W02 GFR 506" xfId="1695"/>
    <cellStyle name="Millares_margenclientesFEB00" xfId="1696"/>
    <cellStyle name="Milliers [0]_!!!GO" xfId="1697"/>
    <cellStyle name="Milliers_!!!GO" xfId="1698"/>
    <cellStyle name="Millions" xfId="1699"/>
    <cellStyle name="min" xfId="1700"/>
    <cellStyle name="Model data" xfId="1701"/>
    <cellStyle name="Moneda [0]_margenclientesFEB00" xfId="1702"/>
    <cellStyle name="Moneda_margenclientesFEB00" xfId="1703"/>
    <cellStyle name="Monétaire [0]_!!!GO" xfId="1704"/>
    <cellStyle name="Monétaire_!!!GO" xfId="1705"/>
    <cellStyle name="Month" xfId="1706"/>
    <cellStyle name="months" xfId="1707"/>
    <cellStyle name="Multiple" xfId="1708"/>
    <cellStyle name="Multiple Cell Column Heading" xfId="1709"/>
    <cellStyle name="Multiple2" xfId="1710"/>
    <cellStyle name="MW" xfId="1711"/>
    <cellStyle name="MWth" xfId="1712"/>
    <cellStyle name="Name" xfId="8"/>
    <cellStyle name="Name 10" xfId="1713"/>
    <cellStyle name="Name 11" xfId="1714"/>
    <cellStyle name="Name 12" xfId="1715"/>
    <cellStyle name="Name 13" xfId="1716"/>
    <cellStyle name="Name 14" xfId="1717"/>
    <cellStyle name="Name 15" xfId="1718"/>
    <cellStyle name="Name 16" xfId="1719"/>
    <cellStyle name="Name 17" xfId="1720"/>
    <cellStyle name="Name 18" xfId="1721"/>
    <cellStyle name="Name 19" xfId="1722"/>
    <cellStyle name="Name 2" xfId="1723"/>
    <cellStyle name="Name 20" xfId="1724"/>
    <cellStyle name="Name 21" xfId="1725"/>
    <cellStyle name="Name 22" xfId="1726"/>
    <cellStyle name="Name 23" xfId="1727"/>
    <cellStyle name="Name 24" xfId="1728"/>
    <cellStyle name="Name 25" xfId="1729"/>
    <cellStyle name="Name 26" xfId="1730"/>
    <cellStyle name="Name 27" xfId="1731"/>
    <cellStyle name="Name 28" xfId="1732"/>
    <cellStyle name="Name 29" xfId="1733"/>
    <cellStyle name="Name 3" xfId="1734"/>
    <cellStyle name="Name 30" xfId="1735"/>
    <cellStyle name="Name 31" xfId="1736"/>
    <cellStyle name="Name 32" xfId="1737"/>
    <cellStyle name="Name 33" xfId="1738"/>
    <cellStyle name="Name 34" xfId="1739"/>
    <cellStyle name="Name 4" xfId="1740"/>
    <cellStyle name="Name 5" xfId="1741"/>
    <cellStyle name="Name 6" xfId="1742"/>
    <cellStyle name="Name 7" xfId="1743"/>
    <cellStyle name="Name 8" xfId="1744"/>
    <cellStyle name="Name 9" xfId="1745"/>
    <cellStyle name="Name_Data_annex_for_Analysys_Mason_RRxxx" xfId="1746"/>
    <cellStyle name="Named Range" xfId="1747"/>
    <cellStyle name="Named Range Tag" xfId="1748"/>
    <cellStyle name="Named Range_AOP Budget Bible 211105 v1" xfId="1749"/>
    <cellStyle name="Names" xfId="1750"/>
    <cellStyle name="Neutral 2" xfId="55"/>
    <cellStyle name="no dec" xfId="1751"/>
    <cellStyle name="Normal" xfId="0" builtinId="0"/>
    <cellStyle name="Normal - Style1" xfId="1752"/>
    <cellStyle name="Normal - Style1 2" xfId="2495"/>
    <cellStyle name="Normal 1" xfId="1753"/>
    <cellStyle name="Normal 10" xfId="53"/>
    <cellStyle name="Normal 10 2" xfId="80"/>
    <cellStyle name="Normal 10 2 2" xfId="2497"/>
    <cellStyle name="Normal 10 3" xfId="2496"/>
    <cellStyle name="Normal 11" xfId="57"/>
    <cellStyle name="Normal 11 2" xfId="81"/>
    <cellStyle name="Normal 11 2 2" xfId="2499"/>
    <cellStyle name="Normal 11 3" xfId="2498"/>
    <cellStyle name="Normal 12" xfId="58"/>
    <cellStyle name="Normal 12 2" xfId="82"/>
    <cellStyle name="Normal 12 2 2" xfId="2501"/>
    <cellStyle name="Normal 12 3" xfId="2500"/>
    <cellStyle name="Normal 13" xfId="60"/>
    <cellStyle name="Normal 13 2" xfId="84"/>
    <cellStyle name="Normal 13 2 2" xfId="2503"/>
    <cellStyle name="Normal 13 3" xfId="2502"/>
    <cellStyle name="Normal 14" xfId="61"/>
    <cellStyle name="Normal 14 2" xfId="2505"/>
    <cellStyle name="Normal 14 3" xfId="2504"/>
    <cellStyle name="Normal 15" xfId="1754"/>
    <cellStyle name="Normal 15 2" xfId="2506"/>
    <cellStyle name="Normal 16" xfId="1755"/>
    <cellStyle name="Normal 16 2" xfId="2507"/>
    <cellStyle name="Normal 17" xfId="1756"/>
    <cellStyle name="Normal 17 2" xfId="2508"/>
    <cellStyle name="Normal 18" xfId="1757"/>
    <cellStyle name="Normal 18 2" xfId="2509"/>
    <cellStyle name="Normal 19" xfId="1758"/>
    <cellStyle name="Normal 19 2" xfId="2510"/>
    <cellStyle name="Normal 2" xfId="23"/>
    <cellStyle name="Normal 2 10" xfId="1759"/>
    <cellStyle name="Normal 2 11" xfId="1760"/>
    <cellStyle name="Normal 2 12" xfId="1761"/>
    <cellStyle name="Normal 2 13" xfId="1762"/>
    <cellStyle name="Normal 2 14" xfId="1763"/>
    <cellStyle name="Normal 2 15" xfId="1764"/>
    <cellStyle name="Normal 2 16" xfId="1765"/>
    <cellStyle name="Normal 2 17" xfId="1766"/>
    <cellStyle name="Normal 2 18" xfId="1767"/>
    <cellStyle name="Normal 2 19" xfId="1768"/>
    <cellStyle name="Normal 2 2" xfId="54"/>
    <cellStyle name="Normal 2 2 10" xfId="1769"/>
    <cellStyle name="Normal 2 2 11" xfId="1770"/>
    <cellStyle name="Normal 2 2 12" xfId="1771"/>
    <cellStyle name="Normal 2 2 13" xfId="1772"/>
    <cellStyle name="Normal 2 2 14" xfId="1773"/>
    <cellStyle name="Normal 2 2 15" xfId="1774"/>
    <cellStyle name="Normal 2 2 16" xfId="1775"/>
    <cellStyle name="Normal 2 2 2" xfId="1776"/>
    <cellStyle name="Normal 2 2 3" xfId="1777"/>
    <cellStyle name="Normal 2 2 4" xfId="1778"/>
    <cellStyle name="Normal 2 2 5" xfId="1779"/>
    <cellStyle name="Normal 2 2 6" xfId="1780"/>
    <cellStyle name="Normal 2 2 7" xfId="1781"/>
    <cellStyle name="Normal 2 2 8" xfId="1782"/>
    <cellStyle name="Normal 2 2 9" xfId="1783"/>
    <cellStyle name="Normal 2 20" xfId="1784"/>
    <cellStyle name="Normal 2 21" xfId="1785"/>
    <cellStyle name="Normal 2 22" xfId="1786"/>
    <cellStyle name="Normal 2 23" xfId="1787"/>
    <cellStyle name="Normal 2 24" xfId="1788"/>
    <cellStyle name="Normal 2 25" xfId="1789"/>
    <cellStyle name="Normal 2 26" xfId="1790"/>
    <cellStyle name="Normal 2 27" xfId="1791"/>
    <cellStyle name="Normal 2 28" xfId="1792"/>
    <cellStyle name="Normal 2 29" xfId="1793"/>
    <cellStyle name="Normal 2 3" xfId="1794"/>
    <cellStyle name="Normal 2 3 2" xfId="2511"/>
    <cellStyle name="Normal 2 30" xfId="1795"/>
    <cellStyle name="Normal 2 31" xfId="1796"/>
    <cellStyle name="Normal 2 4" xfId="1797"/>
    <cellStyle name="Normal 2 5" xfId="1798"/>
    <cellStyle name="Normal 2 6" xfId="1799"/>
    <cellStyle name="Normal 2 7" xfId="1800"/>
    <cellStyle name="Normal 2 8" xfId="1801"/>
    <cellStyle name="Normal 2 9" xfId="1802"/>
    <cellStyle name="Normal 2_QRF4 Consolidated Forecast v2b" xfId="1803"/>
    <cellStyle name="Normal 20" xfId="1804"/>
    <cellStyle name="Normal 21" xfId="1805"/>
    <cellStyle name="Normal 22" xfId="1806"/>
    <cellStyle name="Normal 23" xfId="1807"/>
    <cellStyle name="Normal 24" xfId="1808"/>
    <cellStyle name="Normal 25" xfId="1809"/>
    <cellStyle name="Normal 26" xfId="1810"/>
    <cellStyle name="Normal 27" xfId="1811"/>
    <cellStyle name="Normal 28" xfId="1812"/>
    <cellStyle name="Normal 29" xfId="1813"/>
    <cellStyle name="Normal 3" xfId="42"/>
    <cellStyle name="Normal 3 10" xfId="1814"/>
    <cellStyle name="Normal 3 11" xfId="1815"/>
    <cellStyle name="Normal 3 12" xfId="1816"/>
    <cellStyle name="Normal 3 13" xfId="1817"/>
    <cellStyle name="Normal 3 14" xfId="1818"/>
    <cellStyle name="Normal 3 15" xfId="1819"/>
    <cellStyle name="Normal 3 2" xfId="76"/>
    <cellStyle name="Normal 3 2 2" xfId="1820"/>
    <cellStyle name="Normal 3 3" xfId="1821"/>
    <cellStyle name="Normal 3 4" xfId="1822"/>
    <cellStyle name="Normal 3 5" xfId="1823"/>
    <cellStyle name="Normal 3 6" xfId="1824"/>
    <cellStyle name="Normal 3 7" xfId="1825"/>
    <cellStyle name="Normal 3 8" xfId="1826"/>
    <cellStyle name="Normal 3 9" xfId="1827"/>
    <cellStyle name="Normal 30" xfId="1828"/>
    <cellStyle name="Normal 31" xfId="1829"/>
    <cellStyle name="Normal 32" xfId="1830"/>
    <cellStyle name="Normal 33" xfId="1831"/>
    <cellStyle name="Normal 34" xfId="1832"/>
    <cellStyle name="Normal 35" xfId="1833"/>
    <cellStyle name="Normal 36" xfId="1834"/>
    <cellStyle name="Normal 37" xfId="1835"/>
    <cellStyle name="Normal 38" xfId="1836"/>
    <cellStyle name="Normal 39" xfId="1837"/>
    <cellStyle name="Normal 4" xfId="43"/>
    <cellStyle name="Normal 4 2" xfId="1838"/>
    <cellStyle name="Normal 4 2 2" xfId="2514"/>
    <cellStyle name="Normal 4 2 2 2" xfId="2515"/>
    <cellStyle name="Normal 4 2 3" xfId="2516"/>
    <cellStyle name="Normal 4 2 4" xfId="2513"/>
    <cellStyle name="Normal 4 3" xfId="2517"/>
    <cellStyle name="Normal 4 3 2" xfId="2518"/>
    <cellStyle name="Normal 4 4" xfId="2519"/>
    <cellStyle name="Normal 4 5" xfId="2512"/>
    <cellStyle name="Normal 40" xfId="1839"/>
    <cellStyle name="Normal 41" xfId="1840"/>
    <cellStyle name="Normal 42" xfId="1841"/>
    <cellStyle name="Normal 43" xfId="1842"/>
    <cellStyle name="Normal 44" xfId="1843"/>
    <cellStyle name="Normal 45" xfId="1844"/>
    <cellStyle name="Normal 46" xfId="1845"/>
    <cellStyle name="Normal 47" xfId="1846"/>
    <cellStyle name="Normal 48" xfId="1847"/>
    <cellStyle name="Normal 49" xfId="1848"/>
    <cellStyle name="Normal 5" xfId="44"/>
    <cellStyle name="Normal 5 2" xfId="1849"/>
    <cellStyle name="Normal 5 2 2" xfId="2522"/>
    <cellStyle name="Normal 5 2 2 2" xfId="2523"/>
    <cellStyle name="Normal 5 2 3" xfId="2524"/>
    <cellStyle name="Normal 5 2 4" xfId="2521"/>
    <cellStyle name="Normal 5 3" xfId="1850"/>
    <cellStyle name="Normal 5 3 2" xfId="2526"/>
    <cellStyle name="Normal 5 3 3" xfId="2525"/>
    <cellStyle name="Normal 5 4" xfId="2527"/>
    <cellStyle name="Normal 5 5" xfId="2520"/>
    <cellStyle name="Normal 50" xfId="1851"/>
    <cellStyle name="Normal 51" xfId="1852"/>
    <cellStyle name="Normal 52" xfId="1853"/>
    <cellStyle name="Normal 53" xfId="1854"/>
    <cellStyle name="Normal 54" xfId="1855"/>
    <cellStyle name="Normal 55" xfId="1856"/>
    <cellStyle name="Normal 56" xfId="1857"/>
    <cellStyle name="Normal 57" xfId="1858"/>
    <cellStyle name="Normal 58" xfId="1859"/>
    <cellStyle name="Normal 59" xfId="1860"/>
    <cellStyle name="Normal 6" xfId="45"/>
    <cellStyle name="Normal 60" xfId="2455"/>
    <cellStyle name="Normal 61" xfId="2456"/>
    <cellStyle name="Normal 62" xfId="2457"/>
    <cellStyle name="Normal 63" xfId="2458"/>
    <cellStyle name="Normal 64" xfId="2459"/>
    <cellStyle name="Normal 65" xfId="2460"/>
    <cellStyle name="Normal 66" xfId="2461"/>
    <cellStyle name="Normal 67" xfId="2462"/>
    <cellStyle name="Normal 68" xfId="2463"/>
    <cellStyle name="Normal 69" xfId="2549"/>
    <cellStyle name="Normal 7" xfId="28"/>
    <cellStyle name="Normal 7 2" xfId="62"/>
    <cellStyle name="Normal 7 3" xfId="2528"/>
    <cellStyle name="Normal 70" xfId="2550"/>
    <cellStyle name="Normal 71" xfId="2551"/>
    <cellStyle name="Normal 8" xfId="51"/>
    <cellStyle name="Normal 8 2" xfId="2529"/>
    <cellStyle name="Normal 9" xfId="52"/>
    <cellStyle name="Normal 9 2" xfId="79"/>
    <cellStyle name="Normal 9 2 2" xfId="2531"/>
    <cellStyle name="Normal 9 3" xfId="2530"/>
    <cellStyle name="Normal Bold" xfId="1861"/>
    <cellStyle name="Normal Entry" xfId="1862"/>
    <cellStyle name="Normal Hidden" xfId="1863"/>
    <cellStyle name="Normal-#0" xfId="1864"/>
    <cellStyle name="Normal-#2" xfId="1865"/>
    <cellStyle name="Normal-$0" xfId="1866"/>
    <cellStyle name="Normal-$2" xfId="1867"/>
    <cellStyle name="Normal-$4" xfId="1868"/>
    <cellStyle name="Normal-%1" xfId="1869"/>
    <cellStyle name="Normal-%2" xfId="1870"/>
    <cellStyle name="Normal-¢2" xfId="1871"/>
    <cellStyle name="Normale_FINSTAT" xfId="1872"/>
    <cellStyle name="NormalL_Summary_Summary " xfId="1873"/>
    <cellStyle name="Normalny_Arkusz1" xfId="1874"/>
    <cellStyle name="Note" xfId="9" builtinId="10" customBuiltin="1"/>
    <cellStyle name="Note 10" xfId="1875"/>
    <cellStyle name="Note 11" xfId="1876"/>
    <cellStyle name="Note 12" xfId="1877"/>
    <cellStyle name="Note 13" xfId="1878"/>
    <cellStyle name="Note 14" xfId="1879"/>
    <cellStyle name="Note 15" xfId="1880"/>
    <cellStyle name="Note 16" xfId="1881"/>
    <cellStyle name="Note 17" xfId="1882"/>
    <cellStyle name="Note 2" xfId="46"/>
    <cellStyle name="Note 2 10" xfId="1883"/>
    <cellStyle name="Note 2 11" xfId="1884"/>
    <cellStyle name="Note 2 12" xfId="1885"/>
    <cellStyle name="Note 2 13" xfId="1886"/>
    <cellStyle name="Note 2 2" xfId="77"/>
    <cellStyle name="Note 2 3" xfId="1887"/>
    <cellStyle name="Note 2 4" xfId="1888"/>
    <cellStyle name="Note 2 5" xfId="1889"/>
    <cellStyle name="Note 2 6" xfId="1890"/>
    <cellStyle name="Note 2 7" xfId="1891"/>
    <cellStyle name="Note 2 8" xfId="1892"/>
    <cellStyle name="Note 2 9" xfId="1893"/>
    <cellStyle name="Note 3" xfId="47"/>
    <cellStyle name="Note 3 10" xfId="1894"/>
    <cellStyle name="Note 3 11" xfId="1895"/>
    <cellStyle name="Note 3 12" xfId="1896"/>
    <cellStyle name="Note 3 13" xfId="1897"/>
    <cellStyle name="Note 3 2" xfId="78"/>
    <cellStyle name="Note 3 3" xfId="1898"/>
    <cellStyle name="Note 3 4" xfId="1899"/>
    <cellStyle name="Note 3 5" xfId="1900"/>
    <cellStyle name="Note 3 6" xfId="1901"/>
    <cellStyle name="Note 3 7" xfId="1902"/>
    <cellStyle name="Note 3 8" xfId="1903"/>
    <cellStyle name="Note 3 9" xfId="1904"/>
    <cellStyle name="Note 4" xfId="1905"/>
    <cellStyle name="Note 4 10" xfId="1906"/>
    <cellStyle name="Note 4 11" xfId="1907"/>
    <cellStyle name="Note 4 12" xfId="1908"/>
    <cellStyle name="Note 4 13" xfId="1909"/>
    <cellStyle name="Note 4 2" xfId="1910"/>
    <cellStyle name="Note 4 3" xfId="1911"/>
    <cellStyle name="Note 4 4" xfId="1912"/>
    <cellStyle name="Note 4 5" xfId="1913"/>
    <cellStyle name="Note 4 6" xfId="1914"/>
    <cellStyle name="Note 4 7" xfId="1915"/>
    <cellStyle name="Note 4 8" xfId="1916"/>
    <cellStyle name="Note 4 9" xfId="1917"/>
    <cellStyle name="Note 5" xfId="1918"/>
    <cellStyle name="Note 6" xfId="1919"/>
    <cellStyle name="Note 7" xfId="1920"/>
    <cellStyle name="Note 8" xfId="1921"/>
    <cellStyle name="Note 9" xfId="1922"/>
    <cellStyle name="NoteOrSource" xfId="18"/>
    <cellStyle name="Notes_multi" xfId="1923"/>
    <cellStyle name="Number" xfId="10"/>
    <cellStyle name="Number (2dp)" xfId="1924"/>
    <cellStyle name="Number 10" xfId="1925"/>
    <cellStyle name="Number 11" xfId="1926"/>
    <cellStyle name="Number 12" xfId="1927"/>
    <cellStyle name="Number 13" xfId="1928"/>
    <cellStyle name="Number 14" xfId="1929"/>
    <cellStyle name="Number 15" xfId="1930"/>
    <cellStyle name="Number 16" xfId="1931"/>
    <cellStyle name="Number 17" xfId="1932"/>
    <cellStyle name="Number 18" xfId="1933"/>
    <cellStyle name="Number 19" xfId="1934"/>
    <cellStyle name="Number 2" xfId="1935"/>
    <cellStyle name="Number 20" xfId="1936"/>
    <cellStyle name="Number 21" xfId="1937"/>
    <cellStyle name="Number 22" xfId="1938"/>
    <cellStyle name="Number 23" xfId="1939"/>
    <cellStyle name="Number 24" xfId="1940"/>
    <cellStyle name="Number 25" xfId="1941"/>
    <cellStyle name="Number 26" xfId="1942"/>
    <cellStyle name="Number 27" xfId="1943"/>
    <cellStyle name="Number 28" xfId="1944"/>
    <cellStyle name="Number 29" xfId="1945"/>
    <cellStyle name="Number 3" xfId="1946"/>
    <cellStyle name="Number 30" xfId="1947"/>
    <cellStyle name="Number 31" xfId="1948"/>
    <cellStyle name="Number 32" xfId="1949"/>
    <cellStyle name="Number 33" xfId="1950"/>
    <cellStyle name="Number 34" xfId="1951"/>
    <cellStyle name="Number 4" xfId="1952"/>
    <cellStyle name="Number 5" xfId="1953"/>
    <cellStyle name="Number 6" xfId="1954"/>
    <cellStyle name="Number 7" xfId="1955"/>
    <cellStyle name="Number 8" xfId="1956"/>
    <cellStyle name="Number 9" xfId="1957"/>
    <cellStyle name="Number_5yp Voice base case 23_11_05 consumer" xfId="1958"/>
    <cellStyle name="Number1" xfId="1959"/>
    <cellStyle name="NumberLabel" xfId="1960"/>
    <cellStyle name="NumberLabel 2" xfId="1961"/>
    <cellStyle name="Numbers" xfId="1962"/>
    <cellStyle name="Numeric point input" xfId="1963"/>
    <cellStyle name="Numeric(0)" xfId="1964"/>
    <cellStyle name="Numeric(1)" xfId="1965"/>
    <cellStyle name="Numeric(2)" xfId="1966"/>
    <cellStyle name="Obsolete" xfId="1967"/>
    <cellStyle name="Œ…‹æØ‚è [0.00]_Region Orders (2)" xfId="1968"/>
    <cellStyle name="Œ…‹æØ‚è_Region Orders (2)" xfId="1969"/>
    <cellStyle name="Ofcom Note" xfId="21"/>
    <cellStyle name="Ofcom Output" xfId="19"/>
    <cellStyle name="OfcomConfidential" xfId="22"/>
    <cellStyle name="OfcomConfidential 2" xfId="1970"/>
    <cellStyle name="Onedec" xfId="1971"/>
    <cellStyle name="Output" xfId="11" builtinId="21" customBuiltin="1"/>
    <cellStyle name="Output 10" xfId="1972"/>
    <cellStyle name="Output 11" xfId="1973"/>
    <cellStyle name="Output 12" xfId="1974"/>
    <cellStyle name="Output 13" xfId="1975"/>
    <cellStyle name="Output 14" xfId="1976"/>
    <cellStyle name="Output 15" xfId="1977"/>
    <cellStyle name="Output 2" xfId="50"/>
    <cellStyle name="Output 2 10" xfId="1978"/>
    <cellStyle name="Output 2 11" xfId="1979"/>
    <cellStyle name="Output 2 12" xfId="1980"/>
    <cellStyle name="Output 2 13" xfId="1981"/>
    <cellStyle name="Output 2 14" xfId="1982"/>
    <cellStyle name="Output 2 2" xfId="1983"/>
    <cellStyle name="Output 2 3" xfId="1984"/>
    <cellStyle name="Output 2 4" xfId="1985"/>
    <cellStyle name="Output 2 5" xfId="1986"/>
    <cellStyle name="Output 2 6" xfId="1987"/>
    <cellStyle name="Output 2 7" xfId="1988"/>
    <cellStyle name="Output 2 8" xfId="1989"/>
    <cellStyle name="Output 2 9" xfId="1990"/>
    <cellStyle name="Output 3" xfId="1991"/>
    <cellStyle name="Output 3 10" xfId="1992"/>
    <cellStyle name="Output 3 11" xfId="1993"/>
    <cellStyle name="Output 3 12" xfId="1994"/>
    <cellStyle name="Output 3 13" xfId="1995"/>
    <cellStyle name="Output 3 2" xfId="1996"/>
    <cellStyle name="Output 3 3" xfId="1997"/>
    <cellStyle name="Output 3 4" xfId="1998"/>
    <cellStyle name="Output 3 5" xfId="1999"/>
    <cellStyle name="Output 3 6" xfId="2000"/>
    <cellStyle name="Output 3 7" xfId="2001"/>
    <cellStyle name="Output 3 8" xfId="2002"/>
    <cellStyle name="Output 3 9" xfId="2003"/>
    <cellStyle name="Output 4" xfId="2004"/>
    <cellStyle name="Output 4 10" xfId="2005"/>
    <cellStyle name="Output 4 11" xfId="2006"/>
    <cellStyle name="Output 4 12" xfId="2007"/>
    <cellStyle name="Output 4 13" xfId="2008"/>
    <cellStyle name="Output 4 2" xfId="2009"/>
    <cellStyle name="Output 4 3" xfId="2010"/>
    <cellStyle name="Output 4 4" xfId="2011"/>
    <cellStyle name="Output 4 5" xfId="2012"/>
    <cellStyle name="Output 4 6" xfId="2013"/>
    <cellStyle name="Output 4 7" xfId="2014"/>
    <cellStyle name="Output 4 8" xfId="2015"/>
    <cellStyle name="Output 4 9" xfId="2016"/>
    <cellStyle name="Output 5" xfId="2017"/>
    <cellStyle name="Output 6" xfId="2018"/>
    <cellStyle name="Output 7" xfId="2019"/>
    <cellStyle name="Output 8" xfId="2020"/>
    <cellStyle name="Output 9" xfId="2021"/>
    <cellStyle name="Output Line Items" xfId="2022"/>
    <cellStyle name="Output2" xfId="2023"/>
    <cellStyle name="overdue" xfId="2532"/>
    <cellStyle name="Page Heading Large" xfId="2024"/>
    <cellStyle name="Page Heading Small" xfId="2025"/>
    <cellStyle name="Page Number" xfId="2026"/>
    <cellStyle name="pct_sub" xfId="2027"/>
    <cellStyle name="per.style" xfId="2028"/>
    <cellStyle name="Percent" xfId="85" builtinId="5"/>
    <cellStyle name="Percent (0)" xfId="2029"/>
    <cellStyle name="Percent [0]" xfId="2030"/>
    <cellStyle name="Percent [00]" xfId="2031"/>
    <cellStyle name="Percent [1]" xfId="2032"/>
    <cellStyle name="Percent [2]" xfId="2033"/>
    <cellStyle name="Percent [2] 2" xfId="2034"/>
    <cellStyle name="Percent 10" xfId="2035"/>
    <cellStyle name="Percent 11" xfId="2036"/>
    <cellStyle name="Percent 12" xfId="2037"/>
    <cellStyle name="Percent 13" xfId="2038"/>
    <cellStyle name="Percent 14" xfId="2039"/>
    <cellStyle name="Percent 15" xfId="2040"/>
    <cellStyle name="Percent 16" xfId="2041"/>
    <cellStyle name="Percent 17" xfId="2042"/>
    <cellStyle name="Percent 18" xfId="2043"/>
    <cellStyle name="Percent 19" xfId="2044"/>
    <cellStyle name="Percent 2" xfId="48"/>
    <cellStyle name="Percent 2 2" xfId="2045"/>
    <cellStyle name="Percent 2 3" xfId="2046"/>
    <cellStyle name="Percent 2 4" xfId="2047"/>
    <cellStyle name="Percent 20" xfId="2048"/>
    <cellStyle name="Percent 21" xfId="2049"/>
    <cellStyle name="Percent 22" xfId="2050"/>
    <cellStyle name="Percent 23" xfId="2051"/>
    <cellStyle name="Percent 24" xfId="2052"/>
    <cellStyle name="Percent 25" xfId="2053"/>
    <cellStyle name="Percent 26" xfId="2054"/>
    <cellStyle name="Percent 27" xfId="2055"/>
    <cellStyle name="Percent 28" xfId="2056"/>
    <cellStyle name="Percent 29" xfId="2057"/>
    <cellStyle name="Percent 3" xfId="29"/>
    <cellStyle name="Percent 3 2" xfId="63"/>
    <cellStyle name="Percent 3 2 2" xfId="2534"/>
    <cellStyle name="Percent 3 3" xfId="2058"/>
    <cellStyle name="Percent 3 4" xfId="2533"/>
    <cellStyle name="Percent 30" xfId="2059"/>
    <cellStyle name="Percent 31" xfId="2060"/>
    <cellStyle name="Percent 4" xfId="59"/>
    <cellStyle name="Percent 4 2" xfId="83"/>
    <cellStyle name="Percent 5" xfId="2061"/>
    <cellStyle name="Percent 6" xfId="2062"/>
    <cellStyle name="Percent 7" xfId="2063"/>
    <cellStyle name="Percent 8" xfId="2064"/>
    <cellStyle name="Percent 9" xfId="2065"/>
    <cellStyle name="Percent Hard" xfId="2066"/>
    <cellStyle name="Percent(0)" xfId="2067"/>
    <cellStyle name="Percent(1)" xfId="2068"/>
    <cellStyle name="Percent(2)" xfId="2069"/>
    <cellStyle name="Percent2" xfId="2070"/>
    <cellStyle name="Percent2Margin" xfId="2071"/>
    <cellStyle name="Percent3" xfId="2072"/>
    <cellStyle name="Percent4" xfId="2073"/>
    <cellStyle name="Percent5" xfId="2074"/>
    <cellStyle name="Percentage" xfId="12"/>
    <cellStyle name="Percentage (2dp)" xfId="2075"/>
    <cellStyle name="Percentage 10" xfId="2076"/>
    <cellStyle name="Percentage 11" xfId="2077"/>
    <cellStyle name="Percentage 12" xfId="2078"/>
    <cellStyle name="Percentage 13" xfId="2079"/>
    <cellStyle name="Percentage 14" xfId="2080"/>
    <cellStyle name="Percentage 15" xfId="2081"/>
    <cellStyle name="Percentage 16" xfId="2082"/>
    <cellStyle name="Percentage 17" xfId="2083"/>
    <cellStyle name="Percentage 18" xfId="2084"/>
    <cellStyle name="Percentage 19" xfId="2085"/>
    <cellStyle name="Percentage 2" xfId="2086"/>
    <cellStyle name="Percentage 20" xfId="2087"/>
    <cellStyle name="Percentage 21" xfId="2088"/>
    <cellStyle name="Percentage 22" xfId="2089"/>
    <cellStyle name="Percentage 23" xfId="2090"/>
    <cellStyle name="Percentage 24" xfId="2091"/>
    <cellStyle name="Percentage 25" xfId="2092"/>
    <cellStyle name="Percentage 26" xfId="2093"/>
    <cellStyle name="Percentage 27" xfId="2094"/>
    <cellStyle name="Percentage 28" xfId="2095"/>
    <cellStyle name="Percentage 29" xfId="2096"/>
    <cellStyle name="Percentage 3" xfId="2097"/>
    <cellStyle name="Percentage 30" xfId="2098"/>
    <cellStyle name="Percentage 31" xfId="2099"/>
    <cellStyle name="Percentage 32" xfId="2100"/>
    <cellStyle name="Percentage 33" xfId="2101"/>
    <cellStyle name="Percentage 34" xfId="2102"/>
    <cellStyle name="Percentage 4" xfId="2103"/>
    <cellStyle name="Percentage 5" xfId="2104"/>
    <cellStyle name="Percentage 6" xfId="2105"/>
    <cellStyle name="Percentage 7" xfId="2106"/>
    <cellStyle name="Percentage 8" xfId="2107"/>
    <cellStyle name="Percentage 9" xfId="2108"/>
    <cellStyle name="Percentage_5yp Voice base case 23_11_05 consumer" xfId="2109"/>
    <cellStyle name="phasing" xfId="2110"/>
    <cellStyle name="plain" xfId="2535"/>
    <cellStyle name="PlusMinus" xfId="2111"/>
    <cellStyle name="Pounds" xfId="2112"/>
    <cellStyle name="Pounds1" xfId="2113"/>
    <cellStyle name="Pounds2" xfId="2114"/>
    <cellStyle name="Pounds3" xfId="2115"/>
    <cellStyle name="Pounds4" xfId="2116"/>
    <cellStyle name="Pounds5" xfId="2117"/>
    <cellStyle name="Pounds6" xfId="2118"/>
    <cellStyle name="Pourcentage_pldt" xfId="2119"/>
    <cellStyle name="Prefilled" xfId="2120"/>
    <cellStyle name="PrePop Currency (0)" xfId="2121"/>
    <cellStyle name="PrePop Currency (2)" xfId="2122"/>
    <cellStyle name="PrePop Units (0)" xfId="2123"/>
    <cellStyle name="PrePop Units (1)" xfId="2124"/>
    <cellStyle name="PrePop Units (2)" xfId="2125"/>
    <cellStyle name="Pres_Table_Header" xfId="2126"/>
    <cellStyle name="Price" xfId="2127"/>
    <cellStyle name="Price  .00" xfId="2128"/>
    <cellStyle name="Price  .00 2" xfId="2537"/>
    <cellStyle name="Price 2" xfId="2536"/>
    <cellStyle name="Price_06_07 Camera budgets 040906 (revised) V3_200906" xfId="2129"/>
    <cellStyle name="pricing" xfId="2130"/>
    <cellStyle name="PropGenCurrencyFormat" xfId="2131"/>
    <cellStyle name="PSChar" xfId="2132"/>
    <cellStyle name="PSDate" xfId="2133"/>
    <cellStyle name="PSDec" xfId="2134"/>
    <cellStyle name="PSHeading" xfId="2135"/>
    <cellStyle name="PSHeading 2" xfId="2538"/>
    <cellStyle name="PSInt" xfId="2136"/>
    <cellStyle name="PSSpacer" xfId="2137"/>
    <cellStyle name="PSSpacer 2" xfId="2539"/>
    <cellStyle name="Punctuated(0)" xfId="2138"/>
    <cellStyle name="Punctuated(1)" xfId="2139"/>
    <cellStyle name="Punctuated(2)" xfId="2140"/>
    <cellStyle name="QA_Highlight" xfId="20"/>
    <cellStyle name="Qty" xfId="2141"/>
    <cellStyle name="Qty 2" xfId="2540"/>
    <cellStyle name="Quarterly" xfId="2142"/>
    <cellStyle name="Rack_kit" xfId="2143"/>
    <cellStyle name="Red" xfId="2144"/>
    <cellStyle name="Ref Numbers" xfId="2145"/>
    <cellStyle name="Reference" xfId="2146"/>
    <cellStyle name="regstoresfromspecstores" xfId="2147"/>
    <cellStyle name="REPORT" xfId="2148"/>
    <cellStyle name="Results % 3 dp" xfId="2149"/>
    <cellStyle name="Results 3 dp" xfId="2150"/>
    <cellStyle name="RevList" xfId="2151"/>
    <cellStyle name="RevList 2" xfId="2541"/>
    <cellStyle name="Row and Column Total" xfId="2152"/>
    <cellStyle name="Row and Column Total 2" xfId="2153"/>
    <cellStyle name="Row and Column Total 3" xfId="2154"/>
    <cellStyle name="Row and Column Total 4" xfId="2155"/>
    <cellStyle name="Row and Column Total 5" xfId="2156"/>
    <cellStyle name="Row and Column Total 6" xfId="2157"/>
    <cellStyle name="Row and Column Total 7" xfId="2158"/>
    <cellStyle name="Row Heading" xfId="2159"/>
    <cellStyle name="Row Heading (No Wrap)" xfId="2160"/>
    <cellStyle name="Row Heading (No Wrap) 2" xfId="2161"/>
    <cellStyle name="Row Heading (No Wrap) 3" xfId="2162"/>
    <cellStyle name="Row Heading (No Wrap) 4" xfId="2163"/>
    <cellStyle name="Row Heading (No Wrap) 5" xfId="2164"/>
    <cellStyle name="Row Heading (No Wrap) 6" xfId="2165"/>
    <cellStyle name="Row Heading (No Wrap) 7" xfId="2166"/>
    <cellStyle name="Row Heading 2" xfId="2167"/>
    <cellStyle name="Row Heading 3" xfId="2168"/>
    <cellStyle name="Row Heading 4" xfId="2169"/>
    <cellStyle name="Row Heading 5" xfId="2170"/>
    <cellStyle name="Row Heading 6" xfId="2171"/>
    <cellStyle name="Row Heading 7" xfId="2172"/>
    <cellStyle name="Row label" xfId="2173"/>
    <cellStyle name="Row label (indent)" xfId="2174"/>
    <cellStyle name="Row Total" xfId="2175"/>
    <cellStyle name="Row Total 2" xfId="2176"/>
    <cellStyle name="Row Total 3" xfId="2177"/>
    <cellStyle name="Row Total 4" xfId="2178"/>
    <cellStyle name="Row Total 5" xfId="2179"/>
    <cellStyle name="Row Total 6" xfId="2180"/>
    <cellStyle name="Row Total 7" xfId="2181"/>
    <cellStyle name="Section Heading" xfId="2182"/>
    <cellStyle name="Section Title" xfId="2183"/>
    <cellStyle name="Section Title 2" xfId="2184"/>
    <cellStyle name="Section Title 3" xfId="2185"/>
    <cellStyle name="Section Title 4" xfId="2186"/>
    <cellStyle name="Section Title 5" xfId="2187"/>
    <cellStyle name="Section Title 6" xfId="2188"/>
    <cellStyle name="Section Title 7" xfId="2189"/>
    <cellStyle name="Section Title no wrap" xfId="2190"/>
    <cellStyle name="Section Title wrap" xfId="2191"/>
    <cellStyle name="Shaded" xfId="2192"/>
    <cellStyle name="SHADEDSTORES" xfId="2193"/>
    <cellStyle name="sheet title" xfId="2194"/>
    <cellStyle name="Single Cell Column Heading" xfId="2195"/>
    <cellStyle name="Slide Title" xfId="2196"/>
    <cellStyle name="SMALL" xfId="2197"/>
    <cellStyle name="Small Number" xfId="2198"/>
    <cellStyle name="Small Number 2" xfId="2199"/>
    <cellStyle name="Small Number 3" xfId="2200"/>
    <cellStyle name="Small Number 4" xfId="2201"/>
    <cellStyle name="Small Number 5" xfId="2202"/>
    <cellStyle name="Small Number 6" xfId="2203"/>
    <cellStyle name="Small Number 7" xfId="2204"/>
    <cellStyle name="Small Page Heading" xfId="2205"/>
    <cellStyle name="Small Percentage" xfId="2206"/>
    <cellStyle name="Small Percentage 2" xfId="2207"/>
    <cellStyle name="Small Percentage 3" xfId="2208"/>
    <cellStyle name="Small Percentage 4" xfId="2209"/>
    <cellStyle name="Small Percentage 5" xfId="2210"/>
    <cellStyle name="Small Percentage 6" xfId="2211"/>
    <cellStyle name="Small Percentage 7" xfId="2212"/>
    <cellStyle name="Source" xfId="13"/>
    <cellStyle name="Source 2" xfId="2213"/>
    <cellStyle name="Source Line" xfId="2214"/>
    <cellStyle name="sp" xfId="2215"/>
    <cellStyle name="specstores" xfId="2216"/>
    <cellStyle name="Standaard_tabel 2" xfId="2217"/>
    <cellStyle name="Standard_Actual_TLR_data_from_081024" xfId="2218"/>
    <cellStyle name="String point input" xfId="2219"/>
    <cellStyle name="style" xfId="2220"/>
    <cellStyle name="Style 1" xfId="2221"/>
    <cellStyle name="Style 1 2" xfId="2222"/>
    <cellStyle name="Style 1 2 2" xfId="2223"/>
    <cellStyle name="Style 1 3" xfId="2543"/>
    <cellStyle name="Style 10" xfId="2224"/>
    <cellStyle name="Style 11" xfId="2225"/>
    <cellStyle name="Style 12" xfId="2226"/>
    <cellStyle name="Style 13" xfId="2227"/>
    <cellStyle name="Style 14" xfId="2228"/>
    <cellStyle name="Style 15" xfId="2229"/>
    <cellStyle name="Style 16" xfId="2230"/>
    <cellStyle name="Style 17" xfId="2231"/>
    <cellStyle name="Style 18" xfId="2232"/>
    <cellStyle name="Style 19" xfId="2233"/>
    <cellStyle name="Style 2" xfId="2234"/>
    <cellStyle name="Style 20" xfId="2235"/>
    <cellStyle name="Style 21" xfId="2236"/>
    <cellStyle name="Style 22" xfId="2237"/>
    <cellStyle name="Style 23" xfId="2238"/>
    <cellStyle name="Style 24" xfId="2239"/>
    <cellStyle name="Style 25" xfId="2240"/>
    <cellStyle name="Style 26" xfId="2241"/>
    <cellStyle name="Style 27" xfId="2242"/>
    <cellStyle name="Style 28" xfId="2243"/>
    <cellStyle name="Style 29" xfId="2244"/>
    <cellStyle name="Style 3" xfId="2245"/>
    <cellStyle name="Style 30" xfId="2246"/>
    <cellStyle name="Style 31" xfId="2247"/>
    <cellStyle name="Style 32" xfId="2248"/>
    <cellStyle name="Style 33" xfId="2249"/>
    <cellStyle name="Style 34" xfId="2250"/>
    <cellStyle name="Style 35" xfId="2251"/>
    <cellStyle name="Style 36" xfId="2252"/>
    <cellStyle name="Style 37" xfId="2253"/>
    <cellStyle name="Style 38" xfId="2254"/>
    <cellStyle name="Style 39" xfId="2255"/>
    <cellStyle name="Style 4" xfId="2256"/>
    <cellStyle name="Style 40" xfId="2257"/>
    <cellStyle name="Style 41" xfId="2258"/>
    <cellStyle name="Style 42" xfId="2259"/>
    <cellStyle name="Style 43" xfId="2260"/>
    <cellStyle name="Style 44" xfId="2261"/>
    <cellStyle name="Style 45" xfId="2262"/>
    <cellStyle name="Style 46" xfId="2263"/>
    <cellStyle name="Style 47" xfId="2264"/>
    <cellStyle name="Style 48" xfId="2265"/>
    <cellStyle name="Style 49" xfId="2266"/>
    <cellStyle name="Style 5" xfId="2267"/>
    <cellStyle name="Style 50" xfId="2268"/>
    <cellStyle name="Style 51" xfId="2269"/>
    <cellStyle name="Style 52" xfId="2270"/>
    <cellStyle name="Style 53" xfId="2271"/>
    <cellStyle name="Style 54" xfId="2272"/>
    <cellStyle name="Style 55" xfId="2273"/>
    <cellStyle name="Style 56" xfId="2274"/>
    <cellStyle name="Style 57" xfId="2275"/>
    <cellStyle name="Style 58" xfId="2276"/>
    <cellStyle name="Style 59" xfId="2277"/>
    <cellStyle name="Style 6" xfId="2278"/>
    <cellStyle name="Style 60" xfId="2279"/>
    <cellStyle name="Style 61" xfId="2280"/>
    <cellStyle name="Style 62" xfId="2281"/>
    <cellStyle name="Style 63" xfId="2282"/>
    <cellStyle name="Style 64" xfId="2283"/>
    <cellStyle name="Style 65" xfId="2284"/>
    <cellStyle name="Style 66" xfId="2285"/>
    <cellStyle name="Style 67" xfId="2286"/>
    <cellStyle name="Style 68" xfId="2287"/>
    <cellStyle name="Style 69" xfId="2288"/>
    <cellStyle name="Style 7" xfId="2289"/>
    <cellStyle name="style 70" xfId="2542"/>
    <cellStyle name="Style 8" xfId="2290"/>
    <cellStyle name="Style 9" xfId="2291"/>
    <cellStyle name="style_£k" xfId="2292"/>
    <cellStyle name="style1" xfId="2293"/>
    <cellStyle name="style1 2" xfId="2544"/>
    <cellStyle name="style2" xfId="2294"/>
    <cellStyle name="style2 2" xfId="2545"/>
    <cellStyle name="subcalc" xfId="2295"/>
    <cellStyle name="SubHeading1" xfId="2296"/>
    <cellStyle name="SubHeading2" xfId="2297"/>
    <cellStyle name="Subsection Heading" xfId="2298"/>
    <cellStyle name="Sub-section heading" xfId="2299"/>
    <cellStyle name="subtitle" xfId="2300"/>
    <cellStyle name="Subtotal" xfId="2301"/>
    <cellStyle name="Sub-Total" xfId="2302"/>
    <cellStyle name="Subtotal 2" xfId="2546"/>
    <cellStyle name="Sub-total row" xfId="2303"/>
    <cellStyle name="Sub-total row 2" xfId="2304"/>
    <cellStyle name="Subtotal_£k" xfId="2305"/>
    <cellStyle name="Summe" xfId="2306"/>
    <cellStyle name="System_Text" xfId="2307"/>
    <cellStyle name="t" xfId="2308"/>
    <cellStyle name="Table Blue" xfId="2309"/>
    <cellStyle name="Table Col Head" xfId="2310"/>
    <cellStyle name="Table finish row" xfId="2311"/>
    <cellStyle name="Table Head" xfId="2312"/>
    <cellStyle name="Table Head Aligned" xfId="2313"/>
    <cellStyle name="Table Head Blue" xfId="2314"/>
    <cellStyle name="Table Head Green" xfId="2315"/>
    <cellStyle name="Table Head_2003 Non Install Capex Summary 14-04-03" xfId="2316"/>
    <cellStyle name="Table Heading" xfId="2317"/>
    <cellStyle name="Table shading" xfId="2318"/>
    <cellStyle name="Table Sub Head" xfId="2319"/>
    <cellStyle name="Table Sub Heading" xfId="2320"/>
    <cellStyle name="Table Title" xfId="2321"/>
    <cellStyle name="Table unfinish row" xfId="2322"/>
    <cellStyle name="Table Units" xfId="2323"/>
    <cellStyle name="Table unshading" xfId="2324"/>
    <cellStyle name="Table_Header_shading" xfId="2325"/>
    <cellStyle name="TableContent" xfId="2326"/>
    <cellStyle name="TableTitle" xfId="2327"/>
    <cellStyle name="test" xfId="2328"/>
    <cellStyle name="Text" xfId="2329"/>
    <cellStyle name="Text Indent A" xfId="2330"/>
    <cellStyle name="Text Indent B" xfId="2331"/>
    <cellStyle name="Text Indent C" xfId="2332"/>
    <cellStyle name="Text Level 1" xfId="2333"/>
    <cellStyle name="Text Level 2" xfId="2334"/>
    <cellStyle name="Text Level 3" xfId="2335"/>
    <cellStyle name="Text Level 4" xfId="2336"/>
    <cellStyle name="þ_x001d_ð &amp;ý&amp;†ýG_x0008_?_x0009_X_x000a__x0007__x0001__x0001_" xfId="2337"/>
    <cellStyle name="þ_x001d_ð &amp;ý&amp;†ýG_x0008_€_x0009_X_x000a__x0007__x0001__x0001_" xfId="2338"/>
    <cellStyle name="þ_x001d_ð &amp;ý&amp;†ýG_x0008__x0009_X_x000a__x0007__x0001__x0001_" xfId="2339"/>
    <cellStyle name="þ_x001d_ð &amp;ý&amp;†ýG_x0008__x0009_X_x000a__x0007__x0001__x0001_ 2" xfId="2547"/>
    <cellStyle name="Thousands" xfId="2340"/>
    <cellStyle name="Time" xfId="2341"/>
    <cellStyle name="TIME Detail" xfId="2342"/>
    <cellStyle name="Time Entry" xfId="2343"/>
    <cellStyle name="Time_BT Retail 5 Year Plan Master v5" xfId="2344"/>
    <cellStyle name="Times 12" xfId="2345"/>
    <cellStyle name="Title 1" xfId="2346"/>
    <cellStyle name="Title 2" xfId="2347"/>
    <cellStyle name="Title 3" xfId="2348"/>
    <cellStyle name="Title 4" xfId="2349"/>
    <cellStyle name="Title Heading" xfId="2350"/>
    <cellStyle name="Title Heading 2" xfId="2351"/>
    <cellStyle name="Title Heading 3" xfId="2352"/>
    <cellStyle name="Title Heading 4" xfId="2353"/>
    <cellStyle name="Title Heading 5" xfId="2354"/>
    <cellStyle name="Title Heading 6" xfId="2355"/>
    <cellStyle name="Title Heading 7" xfId="2356"/>
    <cellStyle name="Title Line" xfId="2357"/>
    <cellStyle name="TitlePage" xfId="2358"/>
    <cellStyle name="titre1" xfId="2359"/>
    <cellStyle name="Top Row" xfId="2360"/>
    <cellStyle name="Total" xfId="14" builtinId="25" customBuiltin="1"/>
    <cellStyle name="Total - Grand" xfId="2361"/>
    <cellStyle name="Total - Sub" xfId="2362"/>
    <cellStyle name="Total 10" xfId="2363"/>
    <cellStyle name="Total 11" xfId="2364"/>
    <cellStyle name="Total 12" xfId="2365"/>
    <cellStyle name="Total 13" xfId="2366"/>
    <cellStyle name="Total 14" xfId="2367"/>
    <cellStyle name="Total 15" xfId="2368"/>
    <cellStyle name="Total 2" xfId="2369"/>
    <cellStyle name="Total 2 10" xfId="2370"/>
    <cellStyle name="Total 2 11" xfId="2371"/>
    <cellStyle name="Total 2 12" xfId="2372"/>
    <cellStyle name="Total 2 13" xfId="2373"/>
    <cellStyle name="Total 2 2" xfId="2374"/>
    <cellStyle name="Total 2 3" xfId="2375"/>
    <cellStyle name="Total 2 4" xfId="2376"/>
    <cellStyle name="Total 2 5" xfId="2377"/>
    <cellStyle name="Total 2 6" xfId="2378"/>
    <cellStyle name="Total 2 7" xfId="2379"/>
    <cellStyle name="Total 2 8" xfId="2380"/>
    <cellStyle name="Total 2 9" xfId="2381"/>
    <cellStyle name="Total 3" xfId="2382"/>
    <cellStyle name="Total 3 10" xfId="2383"/>
    <cellStyle name="Total 3 11" xfId="2384"/>
    <cellStyle name="Total 3 12" xfId="2385"/>
    <cellStyle name="Total 3 13" xfId="2386"/>
    <cellStyle name="Total 3 2" xfId="2387"/>
    <cellStyle name="Total 3 3" xfId="2388"/>
    <cellStyle name="Total 3 4" xfId="2389"/>
    <cellStyle name="Total 3 5" xfId="2390"/>
    <cellStyle name="Total 3 6" xfId="2391"/>
    <cellStyle name="Total 3 7" xfId="2392"/>
    <cellStyle name="Total 3 8" xfId="2393"/>
    <cellStyle name="Total 3 9" xfId="2394"/>
    <cellStyle name="Total 4" xfId="2395"/>
    <cellStyle name="Total 4 10" xfId="2396"/>
    <cellStyle name="Total 4 11" xfId="2397"/>
    <cellStyle name="Total 4 12" xfId="2398"/>
    <cellStyle name="Total 4 13" xfId="2399"/>
    <cellStyle name="Total 4 2" xfId="2400"/>
    <cellStyle name="Total 4 3" xfId="2401"/>
    <cellStyle name="Total 4 4" xfId="2402"/>
    <cellStyle name="Total 4 5" xfId="2403"/>
    <cellStyle name="Total 4 6" xfId="2404"/>
    <cellStyle name="Total 4 7" xfId="2405"/>
    <cellStyle name="Total 4 8" xfId="2406"/>
    <cellStyle name="Total 4 9" xfId="2407"/>
    <cellStyle name="Total 5" xfId="2408"/>
    <cellStyle name="Total 6" xfId="2409"/>
    <cellStyle name="Total 7" xfId="2410"/>
    <cellStyle name="Total 8" xfId="2411"/>
    <cellStyle name="Total 9" xfId="2412"/>
    <cellStyle name="total label" xfId="2413"/>
    <cellStyle name="Total Row" xfId="2414"/>
    <cellStyle name="total variable" xfId="2415"/>
    <cellStyle name="Totals" xfId="2416"/>
    <cellStyle name="Unhighlight" xfId="15"/>
    <cellStyle name="Unhighlight 2" xfId="2417"/>
    <cellStyle name="Unhighlight 3" xfId="2418"/>
    <cellStyle name="Unprotect" xfId="2419"/>
    <cellStyle name="Untotal row" xfId="2420"/>
    <cellStyle name="Update" xfId="2421"/>
    <cellStyle name="UPPER" xfId="2422"/>
    <cellStyle name="URLRow" xfId="2423"/>
    <cellStyle name="Valuta (0)_pldt" xfId="2424"/>
    <cellStyle name="Valuta [0]_PLDT" xfId="2425"/>
    <cellStyle name="Valuta_pldt" xfId="2426"/>
    <cellStyle name="Verticle Header" xfId="2427"/>
    <cellStyle name="Währung [0]_BC Vorlage für Olympia VOTServices" xfId="2428"/>
    <cellStyle name="Währung_BC Vorlage für Olympia VOTServices" xfId="2429"/>
    <cellStyle name="Word_Table_Header" xfId="2430"/>
    <cellStyle name="WP Header" xfId="2431"/>
    <cellStyle name="WP Header 2" xfId="2432"/>
    <cellStyle name="WP Header 3" xfId="2433"/>
    <cellStyle name="WP Header 4" xfId="2434"/>
    <cellStyle name="WP Header 5" xfId="2435"/>
    <cellStyle name="WP Header 6" xfId="2436"/>
    <cellStyle name="WP Header 7" xfId="2437"/>
    <cellStyle name="wrap" xfId="2438"/>
    <cellStyle name="wrap 2" xfId="2548"/>
    <cellStyle name="x [1]" xfId="2439"/>
    <cellStyle name="year" xfId="2440"/>
    <cellStyle name="yeardate" xfId="2441"/>
    <cellStyle name="years" xfId="2442"/>
    <cellStyle name="YesNo" xfId="2443"/>
    <cellStyle name="콤마 [0]_AGSFILEO" xfId="2444"/>
    <cellStyle name="千位[0]_laroux" xfId="2445"/>
    <cellStyle name="千位_laroux" xfId="2446"/>
    <cellStyle name="千位分隔[0]_2.5G报价模板" xfId="2447"/>
    <cellStyle name="千位分隔_2.5G报价模板" xfId="2448"/>
    <cellStyle name="千分位[0]_laroux" xfId="2449"/>
    <cellStyle name="千分位_laroux" xfId="2450"/>
    <cellStyle name="常规_Core Network(DXC)_OSN 3500&amp;2500 Template" xfId="2451"/>
    <cellStyle name="普通_laroux" xfId="2452"/>
    <cellStyle name="桁区切り_GRASH1" xfId="2453"/>
    <cellStyle name="標準_2002_04-09 JT GA Voice flatfile" xfId="24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642566"/>
      <color rgb="FFE65767"/>
      <color rgb="FFA9CF38"/>
      <color rgb="FF660066"/>
      <color rgb="FFE8D9E8"/>
      <color rgb="FFFFA7A7"/>
      <color rgb="FFFFABAB"/>
      <color rgb="FFFF9393"/>
      <color rgb="FFFF8585"/>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209550</xdr:colOff>
      <xdr:row>2</xdr:row>
      <xdr:rowOff>19050</xdr:rowOff>
    </xdr:to>
    <xdr:pic>
      <xdr:nvPicPr>
        <xdr:cNvPr id="2" name="Picture 66"/>
        <xdr:cNvPicPr>
          <a:picLocks noChangeAspect="1" noChangeArrowheads="1"/>
        </xdr:cNvPicPr>
      </xdr:nvPicPr>
      <xdr:blipFill>
        <a:blip xmlns:r="http://schemas.openxmlformats.org/officeDocument/2006/relationships" r:embed="rId1"/>
        <a:srcRect/>
        <a:stretch>
          <a:fillRect/>
        </a:stretch>
      </xdr:blipFill>
      <xdr:spPr bwMode="auto">
        <a:xfrm>
          <a:off x="57150" y="57150"/>
          <a:ext cx="2209800" cy="6477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reamble4">
    <outlinePr summaryBelow="0"/>
    <pageSetUpPr autoPageBreaks="0"/>
  </sheetPr>
  <dimension ref="A1:E57"/>
  <sheetViews>
    <sheetView showGridLines="0" tabSelected="1" defaultGridColor="0" colorId="22" zoomScaleNormal="95" zoomScaleSheetLayoutView="75" workbookViewId="0">
      <pane ySplit="2" topLeftCell="A9" activePane="bottomLeft" state="frozen"/>
      <selection pane="bottomLeft" activeCell="D26" sqref="D26"/>
    </sheetView>
  </sheetViews>
  <sheetFormatPr defaultColWidth="12.75" defaultRowHeight="11.4"/>
  <cols>
    <col min="1" max="1" width="30.875" style="5" customWidth="1"/>
    <col min="2" max="2" width="100" style="5" customWidth="1"/>
    <col min="3" max="3" width="7.625" style="5" customWidth="1"/>
    <col min="4" max="4" width="18.75" style="5" customWidth="1"/>
    <col min="5" max="16384" width="12.75" style="19"/>
  </cols>
  <sheetData>
    <row r="1" spans="1:5" ht="12" customHeight="1">
      <c r="C1" s="12"/>
    </row>
    <row r="2" spans="1:5" ht="42" customHeight="1">
      <c r="A2" s="19"/>
      <c r="B2" s="23"/>
      <c r="C2" s="23" t="str">
        <f>B6</f>
        <v>Mobile switching: Costs to industry</v>
      </c>
      <c r="D2" s="19"/>
      <c r="E2" s="13"/>
    </row>
    <row r="3" spans="1:5" ht="15" customHeight="1">
      <c r="A3" s="19"/>
      <c r="B3" s="19"/>
      <c r="C3" s="19"/>
      <c r="D3" s="19"/>
    </row>
    <row r="4" spans="1:5" s="11" customFormat="1" ht="17.399999999999999">
      <c r="A4" s="3" t="s">
        <v>3</v>
      </c>
      <c r="C4" s="19"/>
      <c r="D4" s="7"/>
    </row>
    <row r="5" spans="1:5" ht="12" customHeight="1">
      <c r="A5" s="19"/>
      <c r="B5" s="19"/>
      <c r="C5" s="19"/>
      <c r="D5" s="19"/>
    </row>
    <row r="6" spans="1:5" ht="12">
      <c r="A6" s="8" t="s">
        <v>2</v>
      </c>
      <c r="B6" s="20" t="s">
        <v>226</v>
      </c>
      <c r="C6" s="19"/>
      <c r="D6" s="19"/>
    </row>
    <row r="7" spans="1:5">
      <c r="A7" s="4"/>
      <c r="B7" s="6"/>
      <c r="C7" s="19"/>
      <c r="D7" s="19"/>
    </row>
    <row r="8" spans="1:5" s="11" customFormat="1">
      <c r="A8" s="4" t="s">
        <v>11</v>
      </c>
      <c r="B8" s="5" t="s">
        <v>179</v>
      </c>
      <c r="C8" s="19"/>
      <c r="D8" s="5"/>
    </row>
    <row r="9" spans="1:5">
      <c r="A9" s="4" t="s">
        <v>12</v>
      </c>
      <c r="B9" s="5" t="s">
        <v>163</v>
      </c>
      <c r="C9" s="24"/>
      <c r="D9" s="19"/>
    </row>
    <row r="10" spans="1:5">
      <c r="A10" s="4" t="s">
        <v>13</v>
      </c>
      <c r="B10" s="5" t="s">
        <v>178</v>
      </c>
      <c r="C10" s="11"/>
      <c r="D10" s="19"/>
    </row>
    <row r="11" spans="1:5">
      <c r="A11" s="4"/>
      <c r="B11" s="6"/>
      <c r="C11" s="19"/>
      <c r="D11" s="19"/>
    </row>
    <row r="12" spans="1:5" ht="12">
      <c r="A12" s="8" t="s">
        <v>7</v>
      </c>
      <c r="B12" s="5" t="s">
        <v>180</v>
      </c>
      <c r="C12" s="19"/>
      <c r="D12" s="19"/>
    </row>
    <row r="13" spans="1:5" ht="12">
      <c r="A13" s="8"/>
      <c r="C13" s="19"/>
      <c r="D13" s="19"/>
    </row>
    <row r="14" spans="1:5">
      <c r="A14" s="4"/>
      <c r="B14" s="21"/>
      <c r="C14" s="19"/>
      <c r="D14" s="19"/>
    </row>
    <row r="15" spans="1:5" ht="17.399999999999999">
      <c r="A15" s="3" t="s">
        <v>4</v>
      </c>
      <c r="B15" s="21"/>
      <c r="C15" s="19"/>
      <c r="D15" s="11"/>
    </row>
    <row r="16" spans="1:5">
      <c r="A16" s="19"/>
      <c r="B16" s="19"/>
      <c r="C16" s="19"/>
      <c r="D16" s="19"/>
    </row>
    <row r="17" spans="1:4" ht="15.6">
      <c r="A17" s="1" t="s">
        <v>0</v>
      </c>
      <c r="B17" s="1" t="s">
        <v>1</v>
      </c>
      <c r="C17" s="2"/>
      <c r="D17" s="1"/>
    </row>
    <row r="18" spans="1:4">
      <c r="A18" s="5" t="s">
        <v>4</v>
      </c>
      <c r="B18" s="5" t="s">
        <v>5</v>
      </c>
    </row>
    <row r="20" spans="1:4" ht="12">
      <c r="A20" s="9" t="s">
        <v>9</v>
      </c>
    </row>
    <row r="21" spans="1:4">
      <c r="A21" s="15" t="s">
        <v>56</v>
      </c>
      <c r="B21" s="16" t="s">
        <v>245</v>
      </c>
      <c r="C21" s="16"/>
      <c r="D21" s="15" t="s">
        <v>163</v>
      </c>
    </row>
    <row r="22" spans="1:4">
      <c r="A22" s="71" t="s">
        <v>121</v>
      </c>
      <c r="B22" s="72" t="s">
        <v>84</v>
      </c>
      <c r="C22" s="72"/>
      <c r="D22" s="71" t="s">
        <v>163</v>
      </c>
    </row>
    <row r="23" spans="1:4">
      <c r="A23" s="15" t="s">
        <v>76</v>
      </c>
      <c r="B23" s="16" t="s">
        <v>223</v>
      </c>
      <c r="C23" s="16"/>
      <c r="D23" s="15" t="s">
        <v>163</v>
      </c>
    </row>
    <row r="24" spans="1:4" ht="12.75" customHeight="1">
      <c r="A24" s="15" t="s">
        <v>57</v>
      </c>
      <c r="B24" s="16" t="s">
        <v>240</v>
      </c>
      <c r="C24" s="16"/>
      <c r="D24" s="15" t="s">
        <v>163</v>
      </c>
    </row>
    <row r="25" spans="1:4" ht="12.75" customHeight="1">
      <c r="A25" s="71" t="s">
        <v>183</v>
      </c>
      <c r="B25" s="72" t="s">
        <v>184</v>
      </c>
      <c r="C25" s="72"/>
      <c r="D25" s="71" t="s">
        <v>163</v>
      </c>
    </row>
    <row r="26" spans="1:4" ht="13.5" customHeight="1">
      <c r="A26" s="15" t="s">
        <v>14</v>
      </c>
      <c r="B26" s="16" t="s">
        <v>185</v>
      </c>
      <c r="C26" s="16"/>
      <c r="D26" s="15" t="s">
        <v>163</v>
      </c>
    </row>
    <row r="27" spans="1:4">
      <c r="A27" s="15" t="s">
        <v>127</v>
      </c>
      <c r="B27" s="16" t="s">
        <v>201</v>
      </c>
      <c r="C27" s="16"/>
      <c r="D27" s="15" t="s">
        <v>163</v>
      </c>
    </row>
    <row r="28" spans="1:4">
      <c r="A28" s="17" t="s">
        <v>27</v>
      </c>
      <c r="B28" s="18" t="s">
        <v>224</v>
      </c>
      <c r="C28" s="18"/>
      <c r="D28" s="15" t="s">
        <v>163</v>
      </c>
    </row>
    <row r="29" spans="1:4">
      <c r="A29" s="17" t="s">
        <v>58</v>
      </c>
      <c r="B29" s="18" t="s">
        <v>59</v>
      </c>
      <c r="C29" s="18"/>
      <c r="D29" s="15" t="s">
        <v>163</v>
      </c>
    </row>
    <row r="30" spans="1:4">
      <c r="A30" s="17" t="s">
        <v>128</v>
      </c>
      <c r="B30" s="18" t="s">
        <v>60</v>
      </c>
      <c r="C30" s="18"/>
      <c r="D30" s="15" t="s">
        <v>163</v>
      </c>
    </row>
    <row r="31" spans="1:4">
      <c r="B31" s="14"/>
      <c r="C31" s="14"/>
    </row>
    <row r="32" spans="1:4">
      <c r="B32" s="14"/>
      <c r="C32" s="14"/>
    </row>
    <row r="33" spans="1:4">
      <c r="B33" s="14"/>
      <c r="C33" s="14"/>
    </row>
    <row r="34" spans="1:4">
      <c r="B34" s="14"/>
      <c r="C34" s="14"/>
    </row>
    <row r="35" spans="1:4">
      <c r="B35" s="14"/>
      <c r="C35" s="14"/>
    </row>
    <row r="36" spans="1:4">
      <c r="B36" s="14"/>
      <c r="C36" s="14"/>
    </row>
    <row r="37" spans="1:4">
      <c r="A37" s="19"/>
      <c r="B37" s="14"/>
      <c r="C37" s="14"/>
      <c r="D37" s="19"/>
    </row>
    <row r="38" spans="1:4">
      <c r="A38" s="19"/>
      <c r="B38" s="14"/>
      <c r="C38" s="14"/>
      <c r="D38" s="19"/>
    </row>
    <row r="39" spans="1:4">
      <c r="A39" s="19"/>
      <c r="B39" s="14"/>
      <c r="C39" s="14"/>
      <c r="D39" s="19"/>
    </row>
    <row r="40" spans="1:4">
      <c r="A40" s="19"/>
      <c r="B40" s="14"/>
      <c r="C40" s="14"/>
      <c r="D40" s="19"/>
    </row>
    <row r="41" spans="1:4">
      <c r="A41" s="19"/>
      <c r="B41" s="14"/>
      <c r="C41" s="14"/>
      <c r="D41" s="19"/>
    </row>
    <row r="42" spans="1:4">
      <c r="A42" s="19"/>
      <c r="B42" s="14"/>
      <c r="C42" s="14"/>
      <c r="D42" s="19"/>
    </row>
    <row r="43" spans="1:4">
      <c r="A43" s="19"/>
      <c r="B43" s="14"/>
      <c r="C43" s="14"/>
      <c r="D43" s="19"/>
    </row>
    <row r="44" spans="1:4">
      <c r="A44" s="19"/>
      <c r="B44" s="14"/>
      <c r="C44" s="14"/>
      <c r="D44" s="19"/>
    </row>
    <row r="45" spans="1:4">
      <c r="A45" s="19"/>
      <c r="B45" s="14"/>
      <c r="C45" s="14"/>
      <c r="D45" s="19"/>
    </row>
    <row r="46" spans="1:4">
      <c r="A46" s="19"/>
      <c r="B46" s="14"/>
      <c r="C46" s="14"/>
      <c r="D46" s="19"/>
    </row>
    <row r="47" spans="1:4">
      <c r="A47" s="19"/>
      <c r="B47" s="14"/>
      <c r="C47" s="14"/>
      <c r="D47" s="19"/>
    </row>
    <row r="48" spans="1:4">
      <c r="A48" s="19"/>
      <c r="B48" s="14"/>
      <c r="C48" s="14"/>
      <c r="D48" s="19"/>
    </row>
    <row r="49" spans="1:4">
      <c r="A49" s="19"/>
      <c r="B49" s="14"/>
      <c r="C49" s="14"/>
      <c r="D49" s="19"/>
    </row>
    <row r="50" spans="1:4">
      <c r="A50" s="19"/>
      <c r="B50" s="14"/>
      <c r="C50" s="14"/>
      <c r="D50" s="19"/>
    </row>
    <row r="51" spans="1:4">
      <c r="A51" s="19"/>
      <c r="B51" s="14"/>
      <c r="C51" s="14"/>
      <c r="D51" s="19"/>
    </row>
    <row r="52" spans="1:4">
      <c r="A52" s="19"/>
      <c r="B52" s="14"/>
      <c r="C52" s="14"/>
      <c r="D52" s="19"/>
    </row>
    <row r="53" spans="1:4">
      <c r="A53" s="19"/>
      <c r="B53" s="14"/>
      <c r="C53" s="14"/>
      <c r="D53" s="19"/>
    </row>
    <row r="54" spans="1:4">
      <c r="A54" s="19"/>
      <c r="B54" s="14"/>
      <c r="C54" s="14"/>
      <c r="D54" s="19"/>
    </row>
    <row r="55" spans="1:4">
      <c r="A55" s="19"/>
      <c r="B55" s="14"/>
      <c r="C55" s="14"/>
      <c r="D55" s="19"/>
    </row>
    <row r="56" spans="1:4">
      <c r="A56" s="19"/>
      <c r="B56" s="14"/>
      <c r="C56" s="14"/>
      <c r="D56" s="19"/>
    </row>
    <row r="57" spans="1:4">
      <c r="A57" s="19"/>
      <c r="B57" s="14"/>
      <c r="C57" s="14"/>
      <c r="D57" s="19"/>
    </row>
  </sheetData>
  <dataValidations count="2">
    <dataValidation allowBlank="1" sqref="D18"/>
    <dataValidation type="list" allowBlank="1" showInputMessage="1" promptTitle="Input Parameter" prompt="Select from list" sqref="B9 D21:D30">
      <formula1>"Work in progress, Ready for review, Approved for release, Archived"</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
  <sheetViews>
    <sheetView topLeftCell="D1" workbookViewId="0">
      <selection activeCell="Q38" sqref="Q38"/>
    </sheetView>
  </sheetViews>
  <sheetFormatPr defaultRowHeight="11.4"/>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J19"/>
  <sheetViews>
    <sheetView showGridLines="0" workbookViewId="0">
      <selection activeCell="A23" sqref="A23"/>
    </sheetView>
  </sheetViews>
  <sheetFormatPr defaultRowHeight="11.4"/>
  <cols>
    <col min="1" max="1" width="30.375" customWidth="1"/>
    <col min="2" max="2" width="15.75" style="19" customWidth="1"/>
    <col min="3" max="3" width="15.25" style="19" customWidth="1"/>
    <col min="4" max="4" width="27.625" customWidth="1"/>
    <col min="5" max="5" width="22" customWidth="1"/>
    <col min="6" max="6" width="21.75" customWidth="1"/>
    <col min="7" max="7" width="27.75" style="38" customWidth="1"/>
    <col min="8" max="8" width="4" customWidth="1"/>
    <col min="9" max="9" width="28.125" style="19" customWidth="1"/>
    <col min="10" max="10" width="36.375" customWidth="1"/>
  </cols>
  <sheetData>
    <row r="2" spans="1:10" s="19" customFormat="1" ht="33.75" customHeight="1">
      <c r="A2" s="216" t="s">
        <v>26</v>
      </c>
      <c r="B2" s="27"/>
      <c r="C2" s="27"/>
      <c r="G2" s="38"/>
    </row>
    <row r="3" spans="1:10" s="19" customFormat="1" ht="15" customHeight="1">
      <c r="A3" s="313" t="s">
        <v>225</v>
      </c>
      <c r="B3" s="27"/>
      <c r="C3" s="27"/>
      <c r="G3" s="38"/>
    </row>
    <row r="4" spans="1:10" s="19" customFormat="1" ht="15" customHeight="1">
      <c r="A4" s="324" t="s">
        <v>243</v>
      </c>
      <c r="B4" s="27"/>
      <c r="C4" s="27"/>
      <c r="G4" s="38"/>
    </row>
    <row r="5" spans="1:10" s="19" customFormat="1" ht="20.25" customHeight="1">
      <c r="A5" s="235"/>
      <c r="B5" s="27"/>
      <c r="C5" s="27"/>
      <c r="G5" s="38"/>
    </row>
    <row r="6" spans="1:10" s="19" customFormat="1" ht="19.5" customHeight="1">
      <c r="A6" s="107" t="s">
        <v>164</v>
      </c>
      <c r="B6" s="236">
        <v>220</v>
      </c>
      <c r="C6" s="27"/>
      <c r="G6" s="38"/>
    </row>
    <row r="7" spans="1:10" s="19" customFormat="1" ht="17.25" customHeight="1">
      <c r="A7" s="107" t="s">
        <v>165</v>
      </c>
      <c r="B7" s="236">
        <v>8</v>
      </c>
      <c r="C7" s="27"/>
      <c r="G7" s="38"/>
    </row>
    <row r="8" spans="1:10" s="19" customFormat="1" ht="12" customHeight="1">
      <c r="A8" s="27"/>
      <c r="B8" s="27"/>
      <c r="C8" s="27"/>
      <c r="G8" s="38"/>
    </row>
    <row r="9" spans="1:10" s="19" customFormat="1">
      <c r="G9" s="38"/>
    </row>
    <row r="10" spans="1:10">
      <c r="A10" s="192" t="s">
        <v>147</v>
      </c>
      <c r="B10" s="125" t="s">
        <v>10</v>
      </c>
      <c r="C10" s="112" t="s">
        <v>101</v>
      </c>
      <c r="D10" s="48" t="s">
        <v>100</v>
      </c>
      <c r="E10" s="48" t="s">
        <v>23</v>
      </c>
      <c r="F10" s="48" t="s">
        <v>24</v>
      </c>
      <c r="G10" s="39" t="s">
        <v>25</v>
      </c>
      <c r="I10" s="193"/>
      <c r="J10" s="24"/>
    </row>
    <row r="12" spans="1:10" s="19" customFormat="1" ht="18" customHeight="1">
      <c r="A12" s="116" t="s">
        <v>104</v>
      </c>
      <c r="B12" s="117" t="s">
        <v>218</v>
      </c>
      <c r="C12" s="117" t="s">
        <v>98</v>
      </c>
      <c r="D12" s="118">
        <f>28264.1777681663</f>
        <v>28264.177768166301</v>
      </c>
      <c r="E12" s="240">
        <f t="shared" ref="E12:E14" si="0">$B$6</f>
        <v>220</v>
      </c>
      <c r="F12" s="240">
        <f t="shared" ref="F12:F14" si="1">$B$7</f>
        <v>8</v>
      </c>
      <c r="G12" s="119">
        <f t="shared" ref="G12" si="2">D12/E12/F12</f>
        <v>16.059191913730853</v>
      </c>
    </row>
    <row r="13" spans="1:10" s="19" customFormat="1" ht="18" customHeight="1">
      <c r="A13" s="116" t="s">
        <v>105</v>
      </c>
      <c r="B13" s="117" t="s">
        <v>218</v>
      </c>
      <c r="C13" s="126" t="s">
        <v>99</v>
      </c>
      <c r="D13" s="118">
        <f>13748.0839994332</f>
        <v>13748.0839994332</v>
      </c>
      <c r="E13" s="240">
        <f t="shared" si="0"/>
        <v>220</v>
      </c>
      <c r="F13" s="240">
        <f t="shared" si="1"/>
        <v>8</v>
      </c>
      <c r="G13" s="119">
        <f t="shared" ref="G13" si="3">D13/E13/F13</f>
        <v>7.8114113633143178</v>
      </c>
    </row>
    <row r="14" spans="1:10" s="19" customFormat="1" ht="18" customHeight="1">
      <c r="A14" s="130" t="s">
        <v>106</v>
      </c>
      <c r="B14" s="131" t="s">
        <v>218</v>
      </c>
      <c r="C14" s="132" t="s">
        <v>107</v>
      </c>
      <c r="D14" s="133">
        <f>20021.5271085295</f>
        <v>20021.527108529499</v>
      </c>
      <c r="E14" s="240">
        <f t="shared" si="0"/>
        <v>220</v>
      </c>
      <c r="F14" s="240">
        <f t="shared" si="1"/>
        <v>8</v>
      </c>
      <c r="G14" s="119">
        <f t="shared" ref="G14" si="4">D14/E14/F14</f>
        <v>11.375867675300851</v>
      </c>
    </row>
    <row r="15" spans="1:10" s="19" customFormat="1" ht="18" customHeight="1">
      <c r="A15" s="42"/>
      <c r="B15" s="42"/>
      <c r="C15" s="70"/>
      <c r="D15" s="113"/>
      <c r="E15" s="114"/>
      <c r="F15" s="114"/>
      <c r="G15" s="115"/>
    </row>
    <row r="17" spans="1:7" ht="30.75" customHeight="1">
      <c r="A17" s="30" t="s">
        <v>48</v>
      </c>
      <c r="B17" s="30"/>
      <c r="C17" s="347" t="s">
        <v>221</v>
      </c>
      <c r="D17" s="347"/>
      <c r="E17" s="347"/>
      <c r="F17" s="347"/>
      <c r="G17" s="62">
        <f>VLOOKUP('Control Panel'!C14,'Staff cost summary'!A12:G14,7,FALSE)</f>
        <v>11.375867675300851</v>
      </c>
    </row>
    <row r="19" spans="1:7" ht="21" customHeight="1">
      <c r="A19" s="33"/>
      <c r="B19" s="33"/>
      <c r="C19" s="33"/>
    </row>
  </sheetData>
  <mergeCells count="1">
    <mergeCell ref="C17:F1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1"/>
  <sheetViews>
    <sheetView showGridLines="0" topLeftCell="A7" zoomScaleNormal="100" workbookViewId="0">
      <selection activeCell="B19" sqref="B19"/>
    </sheetView>
  </sheetViews>
  <sheetFormatPr defaultRowHeight="11.4"/>
  <cols>
    <col min="1" max="1" width="42.625" customWidth="1"/>
    <col min="2" max="3" width="18.25" customWidth="1"/>
    <col min="4" max="4" width="18.125" customWidth="1"/>
    <col min="5" max="5" width="39.375" customWidth="1"/>
    <col min="6" max="6" width="18.125" style="19" customWidth="1"/>
    <col min="7" max="7" width="21.125" customWidth="1"/>
    <col min="8" max="8" width="21.375" customWidth="1"/>
    <col min="10" max="10" width="11.875" customWidth="1"/>
  </cols>
  <sheetData>
    <row r="1" spans="1:8" ht="31.5" customHeight="1">
      <c r="A1" s="216" t="s">
        <v>27</v>
      </c>
      <c r="B1" s="304"/>
    </row>
    <row r="2" spans="1:8">
      <c r="A2" s="164" t="s">
        <v>231</v>
      </c>
      <c r="C2" s="105"/>
      <c r="D2" s="105"/>
      <c r="E2" s="105"/>
      <c r="F2" s="105"/>
    </row>
    <row r="3" spans="1:8" s="19" customFormat="1" ht="9" customHeight="1">
      <c r="A3" s="27"/>
      <c r="C3" s="105"/>
      <c r="D3" s="105"/>
      <c r="E3" s="105"/>
      <c r="F3" s="105"/>
    </row>
    <row r="4" spans="1:8" s="19" customFormat="1" ht="15.75" customHeight="1">
      <c r="A4" s="349" t="s">
        <v>87</v>
      </c>
      <c r="B4" s="350" t="s">
        <v>89</v>
      </c>
      <c r="C4" s="350"/>
      <c r="D4" s="350"/>
      <c r="E4" s="350" t="s">
        <v>88</v>
      </c>
      <c r="F4" s="105"/>
    </row>
    <row r="5" spans="1:8" s="19" customFormat="1" ht="16.5" customHeight="1">
      <c r="A5" s="349"/>
      <c r="B5" s="100" t="s">
        <v>31</v>
      </c>
      <c r="C5" s="100" t="s">
        <v>22</v>
      </c>
      <c r="D5" s="100" t="s">
        <v>32</v>
      </c>
      <c r="E5" s="350"/>
      <c r="F5" s="105"/>
    </row>
    <row r="6" spans="1:8" s="19" customFormat="1" ht="36" customHeight="1">
      <c r="A6" s="107" t="s">
        <v>90</v>
      </c>
      <c r="B6" s="305">
        <v>13.883333333333333</v>
      </c>
      <c r="C6" s="305">
        <v>13.883333333333333</v>
      </c>
      <c r="D6" s="305">
        <v>13.883333333333333</v>
      </c>
      <c r="E6" s="194" t="s">
        <v>244</v>
      </c>
      <c r="F6" s="105"/>
    </row>
    <row r="7" spans="1:8" s="19" customFormat="1" ht="36" customHeight="1">
      <c r="A7" s="108" t="s">
        <v>91</v>
      </c>
      <c r="B7" s="109">
        <v>3</v>
      </c>
      <c r="C7" s="109">
        <v>4</v>
      </c>
      <c r="D7" s="109">
        <v>5</v>
      </c>
      <c r="E7" s="194" t="s">
        <v>232</v>
      </c>
      <c r="F7" s="105"/>
    </row>
    <row r="8" spans="1:8" s="19" customFormat="1" ht="36" customHeight="1">
      <c r="A8" s="107" t="s">
        <v>233</v>
      </c>
      <c r="B8" s="100">
        <v>1</v>
      </c>
      <c r="C8" s="100">
        <v>1</v>
      </c>
      <c r="D8" s="100">
        <v>1</v>
      </c>
      <c r="E8" s="194" t="s">
        <v>232</v>
      </c>
      <c r="F8" s="105"/>
    </row>
    <row r="9" spans="1:8" s="19" customFormat="1" ht="36" customHeight="1">
      <c r="A9" s="107" t="s">
        <v>92</v>
      </c>
      <c r="B9" s="100">
        <v>1</v>
      </c>
      <c r="C9" s="100">
        <v>1</v>
      </c>
      <c r="D9" s="100">
        <v>2</v>
      </c>
      <c r="E9" s="194" t="s">
        <v>232</v>
      </c>
      <c r="F9" s="105"/>
    </row>
    <row r="10" spans="1:8" s="19" customFormat="1" ht="36" customHeight="1">
      <c r="A10" s="107" t="s">
        <v>93</v>
      </c>
      <c r="B10" s="100">
        <v>1</v>
      </c>
      <c r="C10" s="100">
        <v>1</v>
      </c>
      <c r="D10" s="100">
        <v>5</v>
      </c>
      <c r="E10" s="194" t="s">
        <v>232</v>
      </c>
      <c r="F10" s="105"/>
    </row>
    <row r="11" spans="1:8" s="19" customFormat="1" ht="33.75" customHeight="1">
      <c r="A11" s="243" t="s">
        <v>166</v>
      </c>
      <c r="B11" s="244">
        <v>1</v>
      </c>
      <c r="C11" s="244">
        <v>1</v>
      </c>
      <c r="D11" s="244">
        <v>1</v>
      </c>
      <c r="E11" s="194" t="s">
        <v>234</v>
      </c>
    </row>
    <row r="12" spans="1:8" s="19" customFormat="1" ht="19.5" customHeight="1">
      <c r="A12" s="42"/>
      <c r="B12" s="43"/>
      <c r="C12" s="43"/>
      <c r="D12" s="43"/>
      <c r="E12" s="43"/>
      <c r="F12" s="43"/>
      <c r="G12" s="43"/>
      <c r="H12" s="43"/>
    </row>
    <row r="13" spans="1:8" ht="36" customHeight="1">
      <c r="A13" s="44" t="s">
        <v>54</v>
      </c>
      <c r="B13" s="45" t="s">
        <v>28</v>
      </c>
      <c r="C13" s="45" t="s">
        <v>29</v>
      </c>
      <c r="D13" s="306" t="s">
        <v>30</v>
      </c>
      <c r="E13" s="309"/>
      <c r="F13" s="237"/>
      <c r="G13" s="135"/>
      <c r="H13" s="241"/>
    </row>
    <row r="14" spans="1:8" ht="30" customHeight="1">
      <c r="A14" s="45" t="s">
        <v>31</v>
      </c>
      <c r="B14" s="110">
        <f>B6+B8+B10</f>
        <v>15.883333333333333</v>
      </c>
      <c r="C14" s="110">
        <f>B6+B8+B9+B10</f>
        <v>16.883333333333333</v>
      </c>
      <c r="D14" s="307">
        <f>AVERAGE(B14:C14)</f>
        <v>16.383333333333333</v>
      </c>
      <c r="E14" s="310"/>
      <c r="F14" s="242"/>
      <c r="G14" s="242"/>
      <c r="H14" s="242"/>
    </row>
    <row r="15" spans="1:8" ht="30" customHeight="1">
      <c r="A15" s="45" t="s">
        <v>22</v>
      </c>
      <c r="B15" s="110">
        <f>C6+C8+C10</f>
        <v>15.883333333333333</v>
      </c>
      <c r="C15" s="110">
        <f>C6+C8+C9+C10</f>
        <v>16.883333333333333</v>
      </c>
      <c r="D15" s="308">
        <f>AVERAGE(B15:C15)</f>
        <v>16.383333333333333</v>
      </c>
      <c r="E15" s="310"/>
      <c r="F15" s="242"/>
      <c r="G15" s="242"/>
      <c r="H15" s="242"/>
    </row>
    <row r="16" spans="1:8" ht="29.25" customHeight="1">
      <c r="A16" s="45" t="s">
        <v>32</v>
      </c>
      <c r="B16" s="110">
        <f>D6+D8+D10</f>
        <v>19.883333333333333</v>
      </c>
      <c r="C16" s="110">
        <f>D6+D8+D9+D10</f>
        <v>21.883333333333333</v>
      </c>
      <c r="D16" s="307">
        <f>AVERAGE(B16:C16)</f>
        <v>20.883333333333333</v>
      </c>
      <c r="E16" s="310"/>
      <c r="F16" s="242"/>
      <c r="G16" s="242"/>
      <c r="H16" s="242"/>
    </row>
    <row r="17" spans="1:8" s="19" customFormat="1" ht="17.25" customHeight="1">
      <c r="A17" s="241"/>
      <c r="B17" s="242"/>
      <c r="C17" s="242"/>
      <c r="D17" s="242"/>
      <c r="E17" s="241"/>
      <c r="F17" s="242"/>
      <c r="G17" s="242"/>
      <c r="H17" s="242"/>
    </row>
    <row r="19" spans="1:8" s="19" customFormat="1" ht="27.75" customHeight="1">
      <c r="A19" s="311" t="s">
        <v>222</v>
      </c>
      <c r="B19" s="312">
        <f>INDEX(A13:D16,MATCH('Control Panel'!C16,A13:A16,0),MATCH('Control Panel'!C15,A13:D13,0))</f>
        <v>16.383333333333333</v>
      </c>
    </row>
    <row r="20" spans="1:8" ht="48" customHeight="1">
      <c r="A20" s="46" t="s">
        <v>167</v>
      </c>
      <c r="B20" s="245">
        <f>B19</f>
        <v>16.383333333333333</v>
      </c>
    </row>
    <row r="21" spans="1:8" ht="48" customHeight="1">
      <c r="A21" s="46" t="s">
        <v>168</v>
      </c>
      <c r="B21" s="245">
        <f>B20-C11</f>
        <v>15.383333333333333</v>
      </c>
      <c r="C21" s="348" t="s">
        <v>235</v>
      </c>
      <c r="D21" s="348"/>
      <c r="E21" s="348"/>
    </row>
  </sheetData>
  <mergeCells count="4">
    <mergeCell ref="C21:E21"/>
    <mergeCell ref="A4:A5"/>
    <mergeCell ref="E4:E5"/>
    <mergeCell ref="B4:D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5"/>
  <sheetViews>
    <sheetView showGridLines="0" workbookViewId="0">
      <selection activeCell="B25" sqref="B25"/>
    </sheetView>
  </sheetViews>
  <sheetFormatPr defaultRowHeight="11.4"/>
  <cols>
    <col min="1" max="1" width="56.25" customWidth="1"/>
    <col min="2" max="2" width="10.125" customWidth="1"/>
    <col min="3" max="3" width="9.875" customWidth="1"/>
    <col min="4" max="12" width="9.875" bestFit="1" customWidth="1"/>
  </cols>
  <sheetData>
    <row r="1" spans="1:13" ht="33" customHeight="1">
      <c r="A1" s="234" t="s">
        <v>55</v>
      </c>
    </row>
    <row r="2" spans="1:13" s="19" customFormat="1" ht="17.399999999999999">
      <c r="A2" s="63"/>
    </row>
    <row r="3" spans="1:13">
      <c r="A3" s="22" t="s">
        <v>34</v>
      </c>
      <c r="B3" s="129">
        <v>1</v>
      </c>
      <c r="C3" s="129">
        <f>B3+1</f>
        <v>2</v>
      </c>
      <c r="D3" s="129">
        <f t="shared" ref="D3" si="0">C3+1</f>
        <v>3</v>
      </c>
      <c r="E3" s="129">
        <f t="shared" ref="E3" si="1">D3+1</f>
        <v>4</v>
      </c>
      <c r="F3" s="129">
        <f t="shared" ref="F3" si="2">E3+1</f>
        <v>5</v>
      </c>
      <c r="G3" s="129">
        <f t="shared" ref="G3" si="3">F3+1</f>
        <v>6</v>
      </c>
      <c r="H3" s="129">
        <f t="shared" ref="H3" si="4">G3+1</f>
        <v>7</v>
      </c>
      <c r="I3" s="129">
        <f t="shared" ref="I3" si="5">H3+1</f>
        <v>8</v>
      </c>
      <c r="J3" s="129">
        <f t="shared" ref="J3" si="6">I3+1</f>
        <v>9</v>
      </c>
      <c r="K3" s="129">
        <f t="shared" ref="K3" si="7">J3+1</f>
        <v>10</v>
      </c>
    </row>
    <row r="4" spans="1:13" ht="35.1" customHeight="1">
      <c r="A4" s="22" t="s">
        <v>174</v>
      </c>
      <c r="B4" s="160">
        <f>'Call duration'!B20</f>
        <v>16.383333333333333</v>
      </c>
      <c r="C4" s="161">
        <f>B4</f>
        <v>16.383333333333333</v>
      </c>
      <c r="D4" s="161">
        <f t="shared" ref="D4:K5" si="8">C4</f>
        <v>16.383333333333333</v>
      </c>
      <c r="E4" s="161">
        <f t="shared" si="8"/>
        <v>16.383333333333333</v>
      </c>
      <c r="F4" s="161">
        <f t="shared" si="8"/>
        <v>16.383333333333333</v>
      </c>
      <c r="G4" s="161">
        <f t="shared" si="8"/>
        <v>16.383333333333333</v>
      </c>
      <c r="H4" s="161">
        <f t="shared" si="8"/>
        <v>16.383333333333333</v>
      </c>
      <c r="I4" s="161">
        <f t="shared" si="8"/>
        <v>16.383333333333333</v>
      </c>
      <c r="J4" s="161">
        <f t="shared" si="8"/>
        <v>16.383333333333333</v>
      </c>
      <c r="K4" s="161">
        <f t="shared" si="8"/>
        <v>16.383333333333333</v>
      </c>
    </row>
    <row r="5" spans="1:13" s="19" customFormat="1" ht="35.1" customHeight="1">
      <c r="A5" s="22" t="s">
        <v>175</v>
      </c>
      <c r="B5" s="160">
        <f>'Call duration'!B21</f>
        <v>15.383333333333333</v>
      </c>
      <c r="C5" s="161">
        <f>B5</f>
        <v>15.383333333333333</v>
      </c>
      <c r="D5" s="161">
        <f t="shared" si="8"/>
        <v>15.383333333333333</v>
      </c>
      <c r="E5" s="161">
        <f t="shared" si="8"/>
        <v>15.383333333333333</v>
      </c>
      <c r="F5" s="161">
        <f t="shared" si="8"/>
        <v>15.383333333333333</v>
      </c>
      <c r="G5" s="161">
        <f t="shared" si="8"/>
        <v>15.383333333333333</v>
      </c>
      <c r="H5" s="161">
        <f t="shared" si="8"/>
        <v>15.383333333333333</v>
      </c>
      <c r="I5" s="161">
        <f t="shared" si="8"/>
        <v>15.383333333333333</v>
      </c>
      <c r="J5" s="161">
        <f t="shared" si="8"/>
        <v>15.383333333333333</v>
      </c>
      <c r="K5" s="161">
        <f t="shared" si="8"/>
        <v>15.383333333333333</v>
      </c>
    </row>
    <row r="6" spans="1:13" ht="35.1" customHeight="1">
      <c r="A6" s="22" t="s">
        <v>61</v>
      </c>
      <c r="B6" s="156">
        <f>'Staff cost summary'!G17</f>
        <v>11.375867675300851</v>
      </c>
      <c r="C6" s="157">
        <f>B6</f>
        <v>11.375867675300851</v>
      </c>
      <c r="D6" s="157">
        <f t="shared" ref="D6:K6" si="9">C6</f>
        <v>11.375867675300851</v>
      </c>
      <c r="E6" s="157">
        <f t="shared" si="9"/>
        <v>11.375867675300851</v>
      </c>
      <c r="F6" s="157">
        <f t="shared" si="9"/>
        <v>11.375867675300851</v>
      </c>
      <c r="G6" s="157">
        <f t="shared" si="9"/>
        <v>11.375867675300851</v>
      </c>
      <c r="H6" s="157">
        <f t="shared" si="9"/>
        <v>11.375867675300851</v>
      </c>
      <c r="I6" s="157">
        <f t="shared" si="9"/>
        <v>11.375867675300851</v>
      </c>
      <c r="J6" s="157">
        <f t="shared" si="9"/>
        <v>11.375867675300851</v>
      </c>
      <c r="K6" s="157">
        <f t="shared" si="9"/>
        <v>11.375867675300851</v>
      </c>
    </row>
    <row r="7" spans="1:13" s="19" customFormat="1" ht="35.1" customHeight="1">
      <c r="A7" s="22" t="s">
        <v>129</v>
      </c>
      <c r="B7" s="158">
        <f>'Number of switchers'!C14</f>
        <v>1199540.5145454544</v>
      </c>
      <c r="C7" s="158">
        <f>'Number of switchers'!D14</f>
        <v>1199540.5145454544</v>
      </c>
      <c r="D7" s="158">
        <f>'Number of switchers'!E14</f>
        <v>1199540.5145454544</v>
      </c>
      <c r="E7" s="158">
        <f>'Number of switchers'!F14</f>
        <v>1199540.5145454544</v>
      </c>
      <c r="F7" s="158">
        <f>'Number of switchers'!G14</f>
        <v>1199540.5145454544</v>
      </c>
      <c r="G7" s="158">
        <f>'Number of switchers'!H14</f>
        <v>1199540.5145454544</v>
      </c>
      <c r="H7" s="158">
        <f>'Number of switchers'!I14</f>
        <v>1199540.5145454544</v>
      </c>
      <c r="I7" s="158">
        <f>'Number of switchers'!J14</f>
        <v>1199540.5145454544</v>
      </c>
      <c r="J7" s="158">
        <f>'Number of switchers'!K14</f>
        <v>1199540.5145454544</v>
      </c>
      <c r="K7" s="158">
        <f>'Number of switchers'!L14</f>
        <v>1199540.5145454544</v>
      </c>
    </row>
    <row r="8" spans="1:13" s="19" customFormat="1" ht="35.1" customHeight="1">
      <c r="A8" s="22" t="s">
        <v>96</v>
      </c>
      <c r="B8" s="158">
        <f>'Number of switchers'!C15</f>
        <v>1199540.5145454544</v>
      </c>
      <c r="C8" s="158">
        <f>'Number of switchers'!D15</f>
        <v>1199540.5145454544</v>
      </c>
      <c r="D8" s="158">
        <f>'Number of switchers'!E15</f>
        <v>1199540.5145454544</v>
      </c>
      <c r="E8" s="158">
        <f>'Number of switchers'!F15</f>
        <v>1199540.5145454544</v>
      </c>
      <c r="F8" s="158">
        <f>'Number of switchers'!G15</f>
        <v>1199540.5145454544</v>
      </c>
      <c r="G8" s="158">
        <f>'Number of switchers'!H15</f>
        <v>1199540.5145454544</v>
      </c>
      <c r="H8" s="158">
        <f>'Number of switchers'!I15</f>
        <v>1199540.5145454544</v>
      </c>
      <c r="I8" s="158">
        <f>'Number of switchers'!J15</f>
        <v>1199540.5145454544</v>
      </c>
      <c r="J8" s="158">
        <f>'Number of switchers'!K15</f>
        <v>1199540.5145454544</v>
      </c>
      <c r="K8" s="158">
        <f>'Number of switchers'!L15</f>
        <v>1199540.5145454544</v>
      </c>
    </row>
    <row r="9" spans="1:13" ht="35.1" customHeight="1">
      <c r="A9" s="37" t="s">
        <v>130</v>
      </c>
      <c r="B9" s="158">
        <f>B7/(60/B$4)</f>
        <v>327541.20161060605</v>
      </c>
      <c r="C9" s="158">
        <f t="shared" ref="C9:K9" si="10">C7/(60/C$4)</f>
        <v>327541.20161060605</v>
      </c>
      <c r="D9" s="158">
        <f t="shared" si="10"/>
        <v>327541.20161060605</v>
      </c>
      <c r="E9" s="158">
        <f t="shared" si="10"/>
        <v>327541.20161060605</v>
      </c>
      <c r="F9" s="158">
        <f t="shared" si="10"/>
        <v>327541.20161060605</v>
      </c>
      <c r="G9" s="158">
        <f t="shared" si="10"/>
        <v>327541.20161060605</v>
      </c>
      <c r="H9" s="158">
        <f t="shared" si="10"/>
        <v>327541.20161060605</v>
      </c>
      <c r="I9" s="158">
        <f t="shared" si="10"/>
        <v>327541.20161060605</v>
      </c>
      <c r="J9" s="158">
        <f t="shared" si="10"/>
        <v>327541.20161060605</v>
      </c>
      <c r="K9" s="158">
        <f t="shared" si="10"/>
        <v>327541.20161060605</v>
      </c>
    </row>
    <row r="10" spans="1:13" ht="35.1" customHeight="1">
      <c r="A10" s="37" t="s">
        <v>62</v>
      </c>
      <c r="B10" s="158">
        <f>B8/(60/B$5)</f>
        <v>307548.85970151512</v>
      </c>
      <c r="C10" s="158">
        <f t="shared" ref="C10:K10" si="11">C8/(60/C$5)</f>
        <v>307548.85970151512</v>
      </c>
      <c r="D10" s="158">
        <f t="shared" si="11"/>
        <v>307548.85970151512</v>
      </c>
      <c r="E10" s="158">
        <f t="shared" si="11"/>
        <v>307548.85970151512</v>
      </c>
      <c r="F10" s="158">
        <f t="shared" si="11"/>
        <v>307548.85970151512</v>
      </c>
      <c r="G10" s="158">
        <f t="shared" si="11"/>
        <v>307548.85970151512</v>
      </c>
      <c r="H10" s="158">
        <f t="shared" si="11"/>
        <v>307548.85970151512</v>
      </c>
      <c r="I10" s="158">
        <f t="shared" si="11"/>
        <v>307548.85970151512</v>
      </c>
      <c r="J10" s="158">
        <f t="shared" si="11"/>
        <v>307548.85970151512</v>
      </c>
      <c r="K10" s="158">
        <f t="shared" si="11"/>
        <v>307548.85970151512</v>
      </c>
    </row>
    <row r="11" spans="1:13" ht="35.1" customHeight="1">
      <c r="A11" s="46" t="s">
        <v>169</v>
      </c>
      <c r="B11" s="159">
        <f t="shared" ref="B11:K11" si="12">B9*B$6</f>
        <v>3726065.3677312923</v>
      </c>
      <c r="C11" s="159">
        <f t="shared" si="12"/>
        <v>3726065.3677312923</v>
      </c>
      <c r="D11" s="159">
        <f t="shared" si="12"/>
        <v>3726065.3677312923</v>
      </c>
      <c r="E11" s="159">
        <f t="shared" si="12"/>
        <v>3726065.3677312923</v>
      </c>
      <c r="F11" s="159">
        <f t="shared" si="12"/>
        <v>3726065.3677312923</v>
      </c>
      <c r="G11" s="159">
        <f t="shared" si="12"/>
        <v>3726065.3677312923</v>
      </c>
      <c r="H11" s="159">
        <f t="shared" si="12"/>
        <v>3726065.3677312923</v>
      </c>
      <c r="I11" s="159">
        <f t="shared" si="12"/>
        <v>3726065.3677312923</v>
      </c>
      <c r="J11" s="159">
        <f t="shared" si="12"/>
        <v>3726065.3677312923</v>
      </c>
      <c r="K11" s="159">
        <f t="shared" si="12"/>
        <v>3726065.3677312923</v>
      </c>
      <c r="M11" s="49"/>
    </row>
    <row r="12" spans="1:13" ht="35.1" customHeight="1">
      <c r="A12" s="46" t="s">
        <v>63</v>
      </c>
      <c r="B12" s="159">
        <f t="shared" ref="B12:K12" si="13">B10*B$6</f>
        <v>3498635.1316541024</v>
      </c>
      <c r="C12" s="159">
        <f t="shared" si="13"/>
        <v>3498635.1316541024</v>
      </c>
      <c r="D12" s="159">
        <f t="shared" si="13"/>
        <v>3498635.1316541024</v>
      </c>
      <c r="E12" s="159">
        <f t="shared" si="13"/>
        <v>3498635.1316541024</v>
      </c>
      <c r="F12" s="159">
        <f t="shared" si="13"/>
        <v>3498635.1316541024</v>
      </c>
      <c r="G12" s="159">
        <f t="shared" si="13"/>
        <v>3498635.1316541024</v>
      </c>
      <c r="H12" s="159">
        <f t="shared" si="13"/>
        <v>3498635.1316541024</v>
      </c>
      <c r="I12" s="159">
        <f t="shared" si="13"/>
        <v>3498635.1316541024</v>
      </c>
      <c r="J12" s="159">
        <f t="shared" si="13"/>
        <v>3498635.1316541024</v>
      </c>
      <c r="K12" s="159">
        <f t="shared" si="13"/>
        <v>3498635.1316541024</v>
      </c>
    </row>
    <row r="13" spans="1:13" ht="35.1" customHeight="1">
      <c r="B13" s="49"/>
      <c r="C13" s="49"/>
      <c r="D13" s="49"/>
      <c r="E13" s="49"/>
      <c r="F13" s="49"/>
      <c r="G13" s="49"/>
      <c r="H13" s="49"/>
      <c r="I13" s="49"/>
      <c r="J13" s="49"/>
      <c r="K13" s="49"/>
      <c r="L13" s="49"/>
    </row>
    <row r="14" spans="1:13" ht="12">
      <c r="A14" s="251" t="s">
        <v>181</v>
      </c>
      <c r="B14" t="s">
        <v>182</v>
      </c>
    </row>
    <row r="15" spans="1:13" s="19" customFormat="1" ht="12">
      <c r="A15" s="251"/>
    </row>
    <row r="16" spans="1:13">
      <c r="A16" s="22" t="s">
        <v>34</v>
      </c>
      <c r="B16" s="129">
        <v>1</v>
      </c>
      <c r="C16" s="129">
        <f>B16+1</f>
        <v>2</v>
      </c>
      <c r="D16" s="129">
        <f t="shared" ref="D16" si="14">C16+1</f>
        <v>3</v>
      </c>
      <c r="E16" s="129">
        <f t="shared" ref="E16" si="15">D16+1</f>
        <v>4</v>
      </c>
      <c r="F16" s="129">
        <f t="shared" ref="F16" si="16">E16+1</f>
        <v>5</v>
      </c>
      <c r="G16" s="129">
        <f t="shared" ref="G16" si="17">F16+1</f>
        <v>6</v>
      </c>
      <c r="H16" s="129">
        <f t="shared" ref="H16" si="18">G16+1</f>
        <v>7</v>
      </c>
      <c r="I16" s="129">
        <f t="shared" ref="I16" si="19">H16+1</f>
        <v>8</v>
      </c>
      <c r="J16" s="129">
        <f t="shared" ref="J16" si="20">I16+1</f>
        <v>9</v>
      </c>
      <c r="K16" s="129">
        <f t="shared" ref="K16" si="21">J16+1</f>
        <v>10</v>
      </c>
    </row>
    <row r="17" spans="1:11" ht="27.9" customHeight="1">
      <c r="A17" s="22" t="s">
        <v>236</v>
      </c>
      <c r="B17" s="158">
        <f>'Number of switchers'!C23</f>
        <v>1382323.5252272724</v>
      </c>
      <c r="C17" s="158">
        <f>'Number of switchers'!D23</f>
        <v>1382323.5252272724</v>
      </c>
      <c r="D17" s="158">
        <f>'Number of switchers'!E23</f>
        <v>1382323.5252272724</v>
      </c>
      <c r="E17" s="158">
        <f>'Number of switchers'!F23</f>
        <v>1382323.5252272724</v>
      </c>
      <c r="F17" s="158">
        <f>'Number of switchers'!G23</f>
        <v>1382323.5252272724</v>
      </c>
      <c r="G17" s="158">
        <f>'Number of switchers'!H23</f>
        <v>1382323.5252272724</v>
      </c>
      <c r="H17" s="158">
        <f>'Number of switchers'!I23</f>
        <v>1382323.5252272724</v>
      </c>
      <c r="I17" s="158">
        <f>'Number of switchers'!J23</f>
        <v>1382323.5252272724</v>
      </c>
      <c r="J17" s="158">
        <f>'Number of switchers'!K23</f>
        <v>1382323.5252272724</v>
      </c>
      <c r="K17" s="158">
        <f>'Number of switchers'!L23</f>
        <v>1382323.5252272724</v>
      </c>
    </row>
    <row r="18" spans="1:11" ht="27.9" customHeight="1">
      <c r="A18" s="22" t="s">
        <v>96</v>
      </c>
      <c r="B18" s="158">
        <f>'Number of switchers'!C24</f>
        <v>1382323.5252272724</v>
      </c>
      <c r="C18" s="158">
        <f>'Number of switchers'!D24</f>
        <v>1382323.5252272724</v>
      </c>
      <c r="D18" s="158">
        <f>'Number of switchers'!E24</f>
        <v>1382323.5252272724</v>
      </c>
      <c r="E18" s="158">
        <f>'Number of switchers'!F24</f>
        <v>1382323.5252272724</v>
      </c>
      <c r="F18" s="158">
        <f>'Number of switchers'!G24</f>
        <v>1382323.5252272724</v>
      </c>
      <c r="G18" s="158">
        <f>'Number of switchers'!H24</f>
        <v>1382323.5252272724</v>
      </c>
      <c r="H18" s="158">
        <f>'Number of switchers'!I24</f>
        <v>1382323.5252272724</v>
      </c>
      <c r="I18" s="158">
        <f>'Number of switchers'!J24</f>
        <v>1382323.5252272724</v>
      </c>
      <c r="J18" s="158">
        <f>'Number of switchers'!K24</f>
        <v>1382323.5252272724</v>
      </c>
      <c r="K18" s="158">
        <f>'Number of switchers'!L24</f>
        <v>1382323.5252272724</v>
      </c>
    </row>
    <row r="19" spans="1:11" ht="27.9" customHeight="1">
      <c r="A19" s="37" t="s">
        <v>237</v>
      </c>
      <c r="B19" s="158">
        <f>B17/(60/B$4)</f>
        <v>377451.11813844688</v>
      </c>
      <c r="C19" s="158">
        <f t="shared" ref="C19:K19" si="22">C17/(60/C$4)</f>
        <v>377451.11813844688</v>
      </c>
      <c r="D19" s="158">
        <f t="shared" si="22"/>
        <v>377451.11813844688</v>
      </c>
      <c r="E19" s="158">
        <f t="shared" si="22"/>
        <v>377451.11813844688</v>
      </c>
      <c r="F19" s="158">
        <f t="shared" si="22"/>
        <v>377451.11813844688</v>
      </c>
      <c r="G19" s="158">
        <f t="shared" si="22"/>
        <v>377451.11813844688</v>
      </c>
      <c r="H19" s="158">
        <f t="shared" si="22"/>
        <v>377451.11813844688</v>
      </c>
      <c r="I19" s="158">
        <f t="shared" si="22"/>
        <v>377451.11813844688</v>
      </c>
      <c r="J19" s="158">
        <f t="shared" si="22"/>
        <v>377451.11813844688</v>
      </c>
      <c r="K19" s="158">
        <f t="shared" si="22"/>
        <v>377451.11813844688</v>
      </c>
    </row>
    <row r="20" spans="1:11" ht="27.9" customHeight="1">
      <c r="A20" s="37" t="s">
        <v>62</v>
      </c>
      <c r="B20" s="158">
        <f>B18/(60/B$5)</f>
        <v>354412.3927179923</v>
      </c>
      <c r="C20" s="158">
        <f t="shared" ref="C20:K20" si="23">C18/(60/C$5)</f>
        <v>354412.3927179923</v>
      </c>
      <c r="D20" s="158">
        <f t="shared" si="23"/>
        <v>354412.3927179923</v>
      </c>
      <c r="E20" s="158">
        <f t="shared" si="23"/>
        <v>354412.3927179923</v>
      </c>
      <c r="F20" s="158">
        <f t="shared" si="23"/>
        <v>354412.3927179923</v>
      </c>
      <c r="G20" s="158">
        <f t="shared" si="23"/>
        <v>354412.3927179923</v>
      </c>
      <c r="H20" s="158">
        <f t="shared" si="23"/>
        <v>354412.3927179923</v>
      </c>
      <c r="I20" s="158">
        <f t="shared" si="23"/>
        <v>354412.3927179923</v>
      </c>
      <c r="J20" s="158">
        <f t="shared" si="23"/>
        <v>354412.3927179923</v>
      </c>
      <c r="K20" s="158">
        <f t="shared" si="23"/>
        <v>354412.3927179923</v>
      </c>
    </row>
    <row r="21" spans="1:11" ht="27.9" customHeight="1">
      <c r="A21" s="247" t="s">
        <v>238</v>
      </c>
      <c r="B21" s="256">
        <f>B19*B6</f>
        <v>4293833.9738373207</v>
      </c>
      <c r="C21" s="256">
        <f t="shared" ref="C21:K21" si="24">C19*C6</f>
        <v>4293833.9738373207</v>
      </c>
      <c r="D21" s="256">
        <f t="shared" si="24"/>
        <v>4293833.9738373207</v>
      </c>
      <c r="E21" s="256">
        <f t="shared" si="24"/>
        <v>4293833.9738373207</v>
      </c>
      <c r="F21" s="256">
        <f t="shared" si="24"/>
        <v>4293833.9738373207</v>
      </c>
      <c r="G21" s="256">
        <f t="shared" si="24"/>
        <v>4293833.9738373207</v>
      </c>
      <c r="H21" s="256">
        <f t="shared" si="24"/>
        <v>4293833.9738373207</v>
      </c>
      <c r="I21" s="256">
        <f t="shared" si="24"/>
        <v>4293833.9738373207</v>
      </c>
      <c r="J21" s="256">
        <f t="shared" si="24"/>
        <v>4293833.9738373207</v>
      </c>
      <c r="K21" s="256">
        <f t="shared" si="24"/>
        <v>4293833.9738373207</v>
      </c>
    </row>
    <row r="22" spans="1:11" ht="27.9" customHeight="1">
      <c r="A22" s="247" t="s">
        <v>239</v>
      </c>
      <c r="B22" s="257">
        <f>B20*B6</f>
        <v>4031748.4820466395</v>
      </c>
      <c r="C22" s="257">
        <f t="shared" ref="C22:K22" si="25">C20*C6</f>
        <v>4031748.4820466395</v>
      </c>
      <c r="D22" s="257">
        <f t="shared" si="25"/>
        <v>4031748.4820466395</v>
      </c>
      <c r="E22" s="257">
        <f t="shared" si="25"/>
        <v>4031748.4820466395</v>
      </c>
      <c r="F22" s="257">
        <f t="shared" si="25"/>
        <v>4031748.4820466395</v>
      </c>
      <c r="G22" s="257">
        <f t="shared" si="25"/>
        <v>4031748.4820466395</v>
      </c>
      <c r="H22" s="257">
        <f t="shared" si="25"/>
        <v>4031748.4820466395</v>
      </c>
      <c r="I22" s="257">
        <f t="shared" si="25"/>
        <v>4031748.4820466395</v>
      </c>
      <c r="J22" s="257">
        <f t="shared" si="25"/>
        <v>4031748.4820466395</v>
      </c>
      <c r="K22" s="257">
        <f t="shared" si="25"/>
        <v>4031748.4820466395</v>
      </c>
    </row>
    <row r="24" spans="1:11">
      <c r="B24" s="49"/>
    </row>
    <row r="25" spans="1:11">
      <c r="B25" s="49"/>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
  <sheetViews>
    <sheetView topLeftCell="D1" workbookViewId="0">
      <selection activeCell="P37" sqref="P37"/>
    </sheetView>
  </sheetViews>
  <sheetFormatPr defaultRowHeight="11.4"/>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69"/>
  <sheetViews>
    <sheetView showGridLines="0" workbookViewId="0">
      <selection activeCell="C7" sqref="C7"/>
    </sheetView>
  </sheetViews>
  <sheetFormatPr defaultRowHeight="12"/>
  <cols>
    <col min="1" max="1" width="4" customWidth="1"/>
    <col min="2" max="2" width="21.625" customWidth="1"/>
    <col min="3" max="3" width="20.125" customWidth="1"/>
    <col min="4" max="4" width="12.375" customWidth="1"/>
    <col min="5" max="11" width="11.75" customWidth="1"/>
    <col min="12" max="13" width="11.375" customWidth="1"/>
    <col min="14" max="14" width="11.75" style="10" customWidth="1"/>
  </cols>
  <sheetData>
    <row r="1" spans="1:14" ht="46.5" customHeight="1">
      <c r="A1" s="234" t="s">
        <v>203</v>
      </c>
      <c r="B1" s="63"/>
      <c r="C1" s="63"/>
      <c r="D1" s="63"/>
      <c r="E1" s="63"/>
      <c r="F1" s="63"/>
      <c r="G1" s="63"/>
      <c r="H1" s="63"/>
      <c r="I1" s="63"/>
      <c r="J1" s="63"/>
      <c r="K1" s="63"/>
    </row>
    <row r="3" spans="1:14">
      <c r="B3" s="73" t="s">
        <v>109</v>
      </c>
      <c r="C3" s="137">
        <f>'Control Panel'!C5</f>
        <v>3.5000000000000003E-2</v>
      </c>
      <c r="D3" s="139" t="s">
        <v>119</v>
      </c>
      <c r="E3" s="139"/>
      <c r="F3" s="139"/>
    </row>
    <row r="4" spans="1:14" s="19" customFormat="1">
      <c r="B4" s="73" t="s">
        <v>108</v>
      </c>
      <c r="C4" s="137">
        <f>'Control Panel'!C6</f>
        <v>7.0000000000000007E-2</v>
      </c>
      <c r="D4" s="134" t="s">
        <v>110</v>
      </c>
      <c r="E4" s="135"/>
      <c r="F4" s="136"/>
      <c r="N4" s="10"/>
    </row>
    <row r="5" spans="1:14" s="19" customFormat="1">
      <c r="B5" s="73" t="s">
        <v>65</v>
      </c>
      <c r="C5" s="137" t="str">
        <f>'Control Panel'!C7</f>
        <v>Standard</v>
      </c>
      <c r="E5" s="135"/>
      <c r="F5" s="136"/>
      <c r="N5" s="10"/>
    </row>
    <row r="6" spans="1:14">
      <c r="B6" s="73" t="s">
        <v>64</v>
      </c>
      <c r="C6" s="138">
        <f>'Control Panel'!C8</f>
        <v>10</v>
      </c>
      <c r="E6" s="135"/>
      <c r="F6" s="136"/>
    </row>
    <row r="8" spans="1:14" s="19" customFormat="1">
      <c r="N8" s="10"/>
    </row>
    <row r="9" spans="1:14" s="19" customFormat="1">
      <c r="N9" s="10"/>
    </row>
    <row r="10" spans="1:14" s="19" customFormat="1">
      <c r="B10" s="10" t="s">
        <v>102</v>
      </c>
      <c r="N10" s="10"/>
    </row>
    <row r="11" spans="1:14" s="19" customFormat="1">
      <c r="N11" s="10"/>
    </row>
    <row r="12" spans="1:14">
      <c r="D12" s="77">
        <v>1</v>
      </c>
      <c r="E12" s="77">
        <v>2</v>
      </c>
      <c r="F12" s="77">
        <v>3</v>
      </c>
      <c r="G12" s="77">
        <v>4</v>
      </c>
      <c r="H12" s="77">
        <v>5</v>
      </c>
      <c r="I12" s="77">
        <v>6</v>
      </c>
      <c r="J12" s="77">
        <v>7</v>
      </c>
      <c r="K12" s="77">
        <v>8</v>
      </c>
      <c r="L12" s="77">
        <v>9</v>
      </c>
      <c r="M12" s="77">
        <v>10</v>
      </c>
    </row>
    <row r="13" spans="1:14">
      <c r="D13" s="74" t="s">
        <v>66</v>
      </c>
      <c r="E13" s="47" t="s">
        <v>67</v>
      </c>
      <c r="F13" s="47" t="s">
        <v>68</v>
      </c>
      <c r="G13" s="47" t="s">
        <v>69</v>
      </c>
      <c r="H13" s="47" t="s">
        <v>70</v>
      </c>
      <c r="I13" s="47" t="s">
        <v>71</v>
      </c>
      <c r="J13" s="47" t="s">
        <v>72</v>
      </c>
      <c r="K13" s="47" t="s">
        <v>73</v>
      </c>
      <c r="L13" s="47" t="s">
        <v>74</v>
      </c>
      <c r="M13" s="75" t="s">
        <v>75</v>
      </c>
      <c r="N13" s="76" t="s">
        <v>117</v>
      </c>
    </row>
    <row r="14" spans="1:14" ht="15.9" customHeight="1">
      <c r="B14" s="351" t="s">
        <v>122</v>
      </c>
      <c r="C14" s="22" t="s">
        <v>111</v>
      </c>
      <c r="D14" s="128">
        <f>'Annual costs'!B8-'Annual costs'!C8</f>
        <v>13020000</v>
      </c>
      <c r="E14" s="128"/>
      <c r="F14" s="128"/>
      <c r="G14" s="128"/>
      <c r="H14" s="128"/>
      <c r="I14" s="128"/>
      <c r="J14" s="128"/>
      <c r="K14" s="128"/>
      <c r="L14" s="128"/>
      <c r="M14" s="128"/>
      <c r="N14" s="262"/>
    </row>
    <row r="15" spans="1:14" s="19" customFormat="1" ht="15.9" customHeight="1">
      <c r="B15" s="351"/>
      <c r="C15" s="22" t="s">
        <v>113</v>
      </c>
      <c r="D15" s="128">
        <f>-PMT($C$4,$C$6,$D$14)</f>
        <v>1853755.0855102888</v>
      </c>
      <c r="E15" s="128">
        <f>IF(E12&gt;$C$6,"",-PMT($C$4,$C$6,$D$14))</f>
        <v>1853755.0855102888</v>
      </c>
      <c r="F15" s="128">
        <f t="shared" ref="F15:M15" si="0">IF(F12&gt;$C$6,"",-PMT($C$4,$C$6,$D$14))</f>
        <v>1853755.0855102888</v>
      </c>
      <c r="G15" s="128">
        <f t="shared" si="0"/>
        <v>1853755.0855102888</v>
      </c>
      <c r="H15" s="128">
        <f t="shared" si="0"/>
        <v>1853755.0855102888</v>
      </c>
      <c r="I15" s="128">
        <f t="shared" si="0"/>
        <v>1853755.0855102888</v>
      </c>
      <c r="J15" s="128">
        <f t="shared" si="0"/>
        <v>1853755.0855102888</v>
      </c>
      <c r="K15" s="128">
        <f t="shared" si="0"/>
        <v>1853755.0855102888</v>
      </c>
      <c r="L15" s="128">
        <f t="shared" si="0"/>
        <v>1853755.0855102888</v>
      </c>
      <c r="M15" s="128">
        <f t="shared" si="0"/>
        <v>1853755.0855102888</v>
      </c>
      <c r="N15" s="262"/>
    </row>
    <row r="16" spans="1:14" s="19" customFormat="1" ht="15.9" customHeight="1">
      <c r="B16" s="351"/>
      <c r="C16" s="22" t="s">
        <v>112</v>
      </c>
      <c r="D16" s="128">
        <f>'Annual costs'!B8-'Cost differences NPC'!D14</f>
        <v>3480000</v>
      </c>
      <c r="E16" s="128">
        <f>IF(E12&gt;$C$6,"",'Annual costs'!C8)</f>
        <v>3480000</v>
      </c>
      <c r="F16" s="128">
        <f>IF(F12&gt;$C$6,"",'Annual costs'!D8)</f>
        <v>3480000</v>
      </c>
      <c r="G16" s="128">
        <f>IF(G12&gt;$C$6,"",'Annual costs'!E8)</f>
        <v>3480000</v>
      </c>
      <c r="H16" s="128">
        <f>IF(H12&gt;$C$6,"",'Annual costs'!F8)</f>
        <v>3480000</v>
      </c>
      <c r="I16" s="128">
        <f>IF(I12&gt;$C$6,"",'Annual costs'!G8)</f>
        <v>3480000</v>
      </c>
      <c r="J16" s="128">
        <f>IF(J12&gt;$C$6,"",'Annual costs'!H8)</f>
        <v>3480000</v>
      </c>
      <c r="K16" s="128">
        <f>IF(K12&gt;$C$6,"",'Annual costs'!I8)</f>
        <v>3480000</v>
      </c>
      <c r="L16" s="128">
        <f>IF(L12&gt;$C$6,"",'Annual costs'!J8)</f>
        <v>3480000</v>
      </c>
      <c r="M16" s="128">
        <f>IF(M12&gt;$C$6,"",'Annual costs'!K8)</f>
        <v>3480000</v>
      </c>
      <c r="N16" s="262"/>
    </row>
    <row r="17" spans="2:14" s="19" customFormat="1" ht="15.9" customHeight="1">
      <c r="B17" s="351"/>
      <c r="C17" s="22" t="s">
        <v>55</v>
      </c>
      <c r="D17" s="128">
        <f>'Annual cost savings'!B11</f>
        <v>3726065.3677312923</v>
      </c>
      <c r="E17" s="128">
        <f>IF(E12&gt;$C$6,"",'Annual cost savings'!C11)</f>
        <v>3726065.3677312923</v>
      </c>
      <c r="F17" s="128">
        <f>IF(F12&gt;$C$6,"",'Annual cost savings'!D11)</f>
        <v>3726065.3677312923</v>
      </c>
      <c r="G17" s="128">
        <f>IF(G12&gt;$C$6,"",'Annual cost savings'!E11)</f>
        <v>3726065.3677312923</v>
      </c>
      <c r="H17" s="128">
        <f>IF(H12&gt;$C$6,"",'Annual cost savings'!F11)</f>
        <v>3726065.3677312923</v>
      </c>
      <c r="I17" s="128">
        <f>IF(I12&gt;$C$6,"",'Annual cost savings'!G11)</f>
        <v>3726065.3677312923</v>
      </c>
      <c r="J17" s="128">
        <f>IF(J12&gt;$C$6,"",'Annual cost savings'!H11)</f>
        <v>3726065.3677312923</v>
      </c>
      <c r="K17" s="128">
        <f>IF(K12&gt;$C$6,"",'Annual cost savings'!I11)</f>
        <v>3726065.3677312923</v>
      </c>
      <c r="L17" s="128">
        <f>IF(L12&gt;$C$6,"",'Annual cost savings'!J11)</f>
        <v>3726065.3677312923</v>
      </c>
      <c r="M17" s="128">
        <f>IF(M12&gt;$C$6,"",'Annual cost savings'!K11)</f>
        <v>3726065.3677312923</v>
      </c>
      <c r="N17" s="262"/>
    </row>
    <row r="18" spans="2:14" s="19" customFormat="1" ht="15.9" customHeight="1">
      <c r="B18" s="351"/>
      <c r="C18" s="22" t="s">
        <v>114</v>
      </c>
      <c r="D18" s="128">
        <f>IF($C$5="Spackman",D15+D16-D17,D14+D16-D17)</f>
        <v>12773934.632268708</v>
      </c>
      <c r="E18" s="128">
        <f>IF(E12&gt;$C$6,"",(IF($C$5="Spackman",E15+E16-E17,E14+E16-E17)))</f>
        <v>-246065.36773129227</v>
      </c>
      <c r="F18" s="128">
        <f t="shared" ref="F18:M18" si="1">IF(F12&gt;$C$6,"",(IF($C$5="Spackman",F15+F16-F17,F14+F16-F17)))</f>
        <v>-246065.36773129227</v>
      </c>
      <c r="G18" s="128">
        <f t="shared" si="1"/>
        <v>-246065.36773129227</v>
      </c>
      <c r="H18" s="128">
        <f t="shared" si="1"/>
        <v>-246065.36773129227</v>
      </c>
      <c r="I18" s="128">
        <f t="shared" si="1"/>
        <v>-246065.36773129227</v>
      </c>
      <c r="J18" s="128">
        <f t="shared" si="1"/>
        <v>-246065.36773129227</v>
      </c>
      <c r="K18" s="128">
        <f t="shared" si="1"/>
        <v>-246065.36773129227</v>
      </c>
      <c r="L18" s="128">
        <f t="shared" si="1"/>
        <v>-246065.36773129227</v>
      </c>
      <c r="M18" s="128">
        <f t="shared" si="1"/>
        <v>-246065.36773129227</v>
      </c>
      <c r="N18" s="262"/>
    </row>
    <row r="19" spans="2:14" ht="15.9" customHeight="1">
      <c r="B19" s="351"/>
      <c r="C19" s="22" t="s">
        <v>118</v>
      </c>
      <c r="D19" s="127">
        <f>1/((1+$C$3)^(D12-1))</f>
        <v>1</v>
      </c>
      <c r="E19" s="127">
        <f>1/((1+$C$3)^(E12-1))</f>
        <v>0.96618357487922713</v>
      </c>
      <c r="F19" s="127">
        <f>1/((1+$C$3)^(F12-1))</f>
        <v>0.93351070036640305</v>
      </c>
      <c r="G19" s="127">
        <f>1/((1+$C$3)^(G12-1))</f>
        <v>0.90194270566802237</v>
      </c>
      <c r="H19" s="127">
        <f>1/((1+$C$3)^(H12-1))</f>
        <v>0.87144222769857238</v>
      </c>
      <c r="I19" s="127">
        <f>IF($C$6=5,"",1/((1+$C$3)^(I12-1)))</f>
        <v>0.84197316685852419</v>
      </c>
      <c r="J19" s="127">
        <f>IF($C$6=5,"",1/((1+$C$3)^(J12-1)))</f>
        <v>0.81350064430775282</v>
      </c>
      <c r="K19" s="127">
        <f>IF($C$6=5,"",1/((1+$C$3)^(K12-1)))</f>
        <v>0.78599096068381913</v>
      </c>
      <c r="L19" s="127">
        <f>IF($C$6=5,"",1/((1+$C$3)^(L12-1)))</f>
        <v>0.75941155621625056</v>
      </c>
      <c r="M19" s="127">
        <f>IF($C$6=5,"",1/((1+$C$3)^(M12-1)))</f>
        <v>0.73373097218961414</v>
      </c>
      <c r="N19" s="263"/>
    </row>
    <row r="20" spans="2:14" ht="15.9" customHeight="1">
      <c r="B20" s="351"/>
      <c r="C20" s="30" t="s">
        <v>115</v>
      </c>
      <c r="D20" s="128">
        <f>D18*D19</f>
        <v>12773934.632268708</v>
      </c>
      <c r="E20" s="128">
        <f>IF(E12&gt;$C$6,"",E18*E19)</f>
        <v>-237744.31664859157</v>
      </c>
      <c r="F20" s="128">
        <f t="shared" ref="F20:M20" si="2">IF(F12&gt;$C$6,"",F18*F19)</f>
        <v>-229704.65376675516</v>
      </c>
      <c r="G20" s="128">
        <f t="shared" si="2"/>
        <v>-221936.86354275863</v>
      </c>
      <c r="H20" s="128">
        <f t="shared" si="2"/>
        <v>-214431.75221522574</v>
      </c>
      <c r="I20" s="128">
        <f t="shared" si="2"/>
        <v>-207180.43692292346</v>
      </c>
      <c r="J20" s="128">
        <f t="shared" si="2"/>
        <v>-200174.33519123038</v>
      </c>
      <c r="K20" s="128">
        <f t="shared" si="2"/>
        <v>-193405.15477413565</v>
      </c>
      <c r="L20" s="128">
        <f t="shared" si="2"/>
        <v>-186864.88383974464</v>
      </c>
      <c r="M20" s="128">
        <f t="shared" si="2"/>
        <v>-180545.78148767599</v>
      </c>
      <c r="N20" s="264">
        <f>SUM(D20:M20)</f>
        <v>10901946.453879669</v>
      </c>
    </row>
    <row r="21" spans="2:14" ht="15.9" customHeight="1">
      <c r="B21" s="124"/>
    </row>
    <row r="22" spans="2:14" ht="15.9" customHeight="1">
      <c r="B22" s="78"/>
    </row>
    <row r="23" spans="2:14" ht="15.9" customHeight="1">
      <c r="B23" s="351" t="s">
        <v>46</v>
      </c>
      <c r="C23" s="22" t="s">
        <v>111</v>
      </c>
      <c r="D23" s="128">
        <f>'Annual costs'!B17-'Annual costs'!C17</f>
        <v>14260000</v>
      </c>
      <c r="E23" s="128"/>
      <c r="F23" s="128"/>
      <c r="G23" s="128"/>
      <c r="H23" s="128"/>
      <c r="I23" s="128"/>
      <c r="J23" s="128"/>
      <c r="K23" s="128"/>
      <c r="L23" s="128"/>
      <c r="M23" s="128"/>
      <c r="N23" s="262"/>
    </row>
    <row r="24" spans="2:14" s="19" customFormat="1" ht="15.9" customHeight="1">
      <c r="B24" s="351"/>
      <c r="C24" s="22" t="s">
        <v>113</v>
      </c>
      <c r="D24" s="128">
        <f>-PMT($C$4,$C$6,$D$23)</f>
        <v>2030303.1888922211</v>
      </c>
      <c r="E24" s="128">
        <f>IF(E12&gt;$C$6,"",-PMT($C$4,$C$6,$D$23))</f>
        <v>2030303.1888922211</v>
      </c>
      <c r="F24" s="128">
        <f t="shared" ref="F24:M24" si="3">IF(F12&gt;$C$6,"",-PMT($C$4,$C$6,$D$23))</f>
        <v>2030303.1888922211</v>
      </c>
      <c r="G24" s="128">
        <f t="shared" si="3"/>
        <v>2030303.1888922211</v>
      </c>
      <c r="H24" s="128">
        <f t="shared" si="3"/>
        <v>2030303.1888922211</v>
      </c>
      <c r="I24" s="128">
        <f t="shared" si="3"/>
        <v>2030303.1888922211</v>
      </c>
      <c r="J24" s="128">
        <f t="shared" si="3"/>
        <v>2030303.1888922211</v>
      </c>
      <c r="K24" s="128">
        <f t="shared" si="3"/>
        <v>2030303.1888922211</v>
      </c>
      <c r="L24" s="128">
        <f t="shared" si="3"/>
        <v>2030303.1888922211</v>
      </c>
      <c r="M24" s="128">
        <f t="shared" si="3"/>
        <v>2030303.1888922211</v>
      </c>
      <c r="N24" s="262"/>
    </row>
    <row r="25" spans="2:14" s="19" customFormat="1" ht="15.9" customHeight="1">
      <c r="B25" s="351"/>
      <c r="C25" s="22" t="s">
        <v>112</v>
      </c>
      <c r="D25" s="128">
        <f>'Annual costs'!B17-'Cost differences NPC'!D23</f>
        <v>3285000</v>
      </c>
      <c r="E25" s="128">
        <f>IF(E12&gt;$C$6,"",'Annual costs'!C17)</f>
        <v>3285000</v>
      </c>
      <c r="F25" s="128">
        <f>IF(F12&gt;$C$6,"",'Annual costs'!D17)</f>
        <v>3285000</v>
      </c>
      <c r="G25" s="128">
        <f>IF(G12&gt;$C$6,"",'Annual costs'!E17)</f>
        <v>3285000</v>
      </c>
      <c r="H25" s="128">
        <f>IF(H12&gt;$C$6,"",'Annual costs'!F17)</f>
        <v>3285000</v>
      </c>
      <c r="I25" s="128">
        <f>IF(I12&gt;$C$6,"",'Annual costs'!G17)</f>
        <v>3285000</v>
      </c>
      <c r="J25" s="128">
        <f>IF(J12&gt;$C$6,"",'Annual costs'!H17)</f>
        <v>3285000</v>
      </c>
      <c r="K25" s="128">
        <f>IF(K12&gt;$C$6,"",'Annual costs'!I17)</f>
        <v>3285000</v>
      </c>
      <c r="L25" s="128">
        <f>IF(L12&gt;$C$6,"",'Annual costs'!J17)</f>
        <v>3285000</v>
      </c>
      <c r="M25" s="128">
        <f>IF(M12&gt;$C$6,"",'Annual costs'!K17)</f>
        <v>3285000</v>
      </c>
      <c r="N25" s="262"/>
    </row>
    <row r="26" spans="2:14" s="19" customFormat="1" ht="15.9" customHeight="1">
      <c r="B26" s="351"/>
      <c r="C26" s="22" t="s">
        <v>55</v>
      </c>
      <c r="D26" s="128">
        <f>'Annual cost savings'!B12</f>
        <v>3498635.1316541024</v>
      </c>
      <c r="E26" s="128">
        <f>IF(E12&gt;$C$6,"",'Annual cost savings'!C12)</f>
        <v>3498635.1316541024</v>
      </c>
      <c r="F26" s="128">
        <f>IF(F12&gt;$C$6,"",'Annual cost savings'!D12)</f>
        <v>3498635.1316541024</v>
      </c>
      <c r="G26" s="128">
        <f>IF(G12&gt;$C$6,"",'Annual cost savings'!E12)</f>
        <v>3498635.1316541024</v>
      </c>
      <c r="H26" s="128">
        <f>IF(H12&gt;$C$6,"",'Annual cost savings'!F12)</f>
        <v>3498635.1316541024</v>
      </c>
      <c r="I26" s="128">
        <f>IF(I12&gt;$C$6,"",'Annual cost savings'!G12)</f>
        <v>3498635.1316541024</v>
      </c>
      <c r="J26" s="128">
        <f>IF(J12&gt;$C$6,"",'Annual cost savings'!H12)</f>
        <v>3498635.1316541024</v>
      </c>
      <c r="K26" s="128">
        <f>IF(K12&gt;$C$6,"",'Annual cost savings'!I12)</f>
        <v>3498635.1316541024</v>
      </c>
      <c r="L26" s="128">
        <f>IF(L12&gt;$C$6,"",'Annual cost savings'!J12)</f>
        <v>3498635.1316541024</v>
      </c>
      <c r="M26" s="128">
        <f>IF(M12&gt;$C$6,"",'Annual cost savings'!K12)</f>
        <v>3498635.1316541024</v>
      </c>
      <c r="N26" s="262"/>
    </row>
    <row r="27" spans="2:14" s="19" customFormat="1" ht="15.9" customHeight="1">
      <c r="B27" s="351"/>
      <c r="C27" s="22" t="s">
        <v>114</v>
      </c>
      <c r="D27" s="128">
        <f>IF($C$5="Spackman",D24+D25-D26,D23+D25-D26)</f>
        <v>14046364.868345898</v>
      </c>
      <c r="E27" s="128">
        <f>IF(E12&gt;$C$6,"",IF($C$5="Spackman",E24+E25-E26,E23+E25-E26))</f>
        <v>-213635.13165410236</v>
      </c>
      <c r="F27" s="128">
        <f t="shared" ref="F27:M27" si="4">IF(F12&gt;$C$6,"",IF($C$5="Spackman",F24+F25-F26,F23+F25-F26))</f>
        <v>-213635.13165410236</v>
      </c>
      <c r="G27" s="128">
        <f t="shared" si="4"/>
        <v>-213635.13165410236</v>
      </c>
      <c r="H27" s="128">
        <f t="shared" si="4"/>
        <v>-213635.13165410236</v>
      </c>
      <c r="I27" s="128">
        <f t="shared" si="4"/>
        <v>-213635.13165410236</v>
      </c>
      <c r="J27" s="128">
        <f t="shared" si="4"/>
        <v>-213635.13165410236</v>
      </c>
      <c r="K27" s="128">
        <f t="shared" si="4"/>
        <v>-213635.13165410236</v>
      </c>
      <c r="L27" s="128">
        <f t="shared" si="4"/>
        <v>-213635.13165410236</v>
      </c>
      <c r="M27" s="128">
        <f t="shared" si="4"/>
        <v>-213635.13165410236</v>
      </c>
      <c r="N27" s="262"/>
    </row>
    <row r="28" spans="2:14" ht="15.9" customHeight="1">
      <c r="B28" s="351"/>
      <c r="C28" s="22" t="s">
        <v>118</v>
      </c>
      <c r="D28" s="127">
        <f>1/((1+$C$3)^(D12-1))</f>
        <v>1</v>
      </c>
      <c r="E28" s="127">
        <f>1/((1+$C$3)^(E12-1))</f>
        <v>0.96618357487922713</v>
      </c>
      <c r="F28" s="127">
        <f>1/((1+$C$3)^(F12-1))</f>
        <v>0.93351070036640305</v>
      </c>
      <c r="G28" s="127">
        <f>1/((1+$C$3)^(G12-1))</f>
        <v>0.90194270566802237</v>
      </c>
      <c r="H28" s="127">
        <f>1/((1+$C$3)^(H12-1))</f>
        <v>0.87144222769857238</v>
      </c>
      <c r="I28" s="127">
        <f>IF($C$6=5,"",1/((1+$C$3)^(I12-1)))</f>
        <v>0.84197316685852419</v>
      </c>
      <c r="J28" s="127">
        <f>IF($C$6=5,"",1/((1+$C$3)^(J12-1)))</f>
        <v>0.81350064430775282</v>
      </c>
      <c r="K28" s="127">
        <f>IF($C$6=5,"",1/((1+$C$3)^(K12-1)))</f>
        <v>0.78599096068381913</v>
      </c>
      <c r="L28" s="127">
        <f>IF($C$6=5,"",1/((1+$C$3)^(L12-1)))</f>
        <v>0.75941155621625056</v>
      </c>
      <c r="M28" s="127">
        <f>IF($C$6=5,"",1/((1+$C$3)^(M12-1)))</f>
        <v>0.73373097218961414</v>
      </c>
      <c r="N28" s="263"/>
    </row>
    <row r="29" spans="2:14" ht="15.9" customHeight="1">
      <c r="B29" s="351"/>
      <c r="C29" s="30" t="s">
        <v>115</v>
      </c>
      <c r="D29" s="128">
        <f>D27*D28</f>
        <v>14046364.868345898</v>
      </c>
      <c r="E29" s="128">
        <f>IF(E12&gt;$C$6,"",E27*E28)</f>
        <v>-206410.75522135495</v>
      </c>
      <c r="F29" s="128">
        <f t="shared" ref="F29:M29" si="5">IF(F12&gt;$C$6,"",F27*F28)</f>
        <v>-199430.68137328982</v>
      </c>
      <c r="G29" s="128">
        <f t="shared" si="5"/>
        <v>-192686.64866984525</v>
      </c>
      <c r="H29" s="128">
        <f t="shared" si="5"/>
        <v>-186170.67504332875</v>
      </c>
      <c r="I29" s="128">
        <f t="shared" si="5"/>
        <v>-179875.04835104229</v>
      </c>
      <c r="J29" s="128">
        <f t="shared" si="5"/>
        <v>-173792.31724738388</v>
      </c>
      <c r="K29" s="128">
        <f t="shared" si="5"/>
        <v>-167915.28236462208</v>
      </c>
      <c r="L29" s="128">
        <f t="shared" si="5"/>
        <v>-162236.98779190544</v>
      </c>
      <c r="M29" s="128">
        <f t="shared" si="5"/>
        <v>-156750.71284242073</v>
      </c>
      <c r="N29" s="264">
        <f>SUM(D29:M29)</f>
        <v>12421095.759440703</v>
      </c>
    </row>
    <row r="30" spans="2:14" ht="15.9" customHeight="1">
      <c r="M30" s="49"/>
      <c r="N30" s="265"/>
    </row>
    <row r="31" spans="2:14" ht="15.9" customHeight="1">
      <c r="M31" s="49"/>
    </row>
    <row r="32" spans="2:14" ht="15.9" customHeight="1">
      <c r="B32" s="351" t="s">
        <v>176</v>
      </c>
      <c r="C32" s="22" t="s">
        <v>111</v>
      </c>
      <c r="D32" s="128">
        <f>D14+('Annual costs'!B35-'Annual costs'!C35)</f>
        <v>28895000</v>
      </c>
      <c r="E32" s="128"/>
      <c r="F32" s="128"/>
      <c r="G32" s="128"/>
      <c r="H32" s="128"/>
      <c r="I32" s="128"/>
      <c r="J32" s="128"/>
      <c r="K32" s="128"/>
      <c r="L32" s="128"/>
      <c r="M32" s="128"/>
      <c r="N32" s="262"/>
    </row>
    <row r="33" spans="2:14" ht="15.9" customHeight="1">
      <c r="B33" s="351"/>
      <c r="C33" s="22" t="s">
        <v>113</v>
      </c>
      <c r="D33" s="128">
        <f>-PMT($C$4,$C$6,$D$32)</f>
        <v>4113997.9413072038</v>
      </c>
      <c r="E33" s="128">
        <f>IF(E12&gt;$C$6,"",-PMT($C$4,$C$6,$D$32))</f>
        <v>4113997.9413072038</v>
      </c>
      <c r="F33" s="128">
        <f t="shared" ref="F33:M33" si="6">IF(F12&gt;$C$6,"",-PMT($C$4,$C$6,$D$32))</f>
        <v>4113997.9413072038</v>
      </c>
      <c r="G33" s="128">
        <f t="shared" si="6"/>
        <v>4113997.9413072038</v>
      </c>
      <c r="H33" s="128">
        <f t="shared" si="6"/>
        <v>4113997.9413072038</v>
      </c>
      <c r="I33" s="128">
        <f t="shared" si="6"/>
        <v>4113997.9413072038</v>
      </c>
      <c r="J33" s="128">
        <f t="shared" si="6"/>
        <v>4113997.9413072038</v>
      </c>
      <c r="K33" s="128">
        <f t="shared" si="6"/>
        <v>4113997.9413072038</v>
      </c>
      <c r="L33" s="128">
        <f t="shared" si="6"/>
        <v>4113997.9413072038</v>
      </c>
      <c r="M33" s="128">
        <f t="shared" si="6"/>
        <v>4113997.9413072038</v>
      </c>
      <c r="N33" s="262"/>
    </row>
    <row r="34" spans="2:14" ht="15.9" customHeight="1">
      <c r="B34" s="351"/>
      <c r="C34" s="22" t="s">
        <v>112</v>
      </c>
      <c r="D34" s="128">
        <f>'Annual costs'!B8+'Annual costs'!B35-'Cost differences NPC'!D32</f>
        <v>5530000</v>
      </c>
      <c r="E34" s="128">
        <f>IF(E12&gt;$C$6,"",'Annual costs'!C8+'Annual costs'!C35)</f>
        <v>5530000</v>
      </c>
      <c r="F34" s="128">
        <f>IF(F12&gt;$C$6,"",'Annual costs'!D8+'Annual costs'!D35)</f>
        <v>5530000</v>
      </c>
      <c r="G34" s="128">
        <f>IF(G12&gt;$C$6,"",'Annual costs'!E8+'Annual costs'!E35)</f>
        <v>5530000</v>
      </c>
      <c r="H34" s="128">
        <f>IF(H12&gt;$C$6,"",'Annual costs'!F8+'Annual costs'!F35)</f>
        <v>5530000</v>
      </c>
      <c r="I34" s="128">
        <f>IF(I12&gt;$C$6,"",'Annual costs'!G8+'Annual costs'!G35)</f>
        <v>5530000</v>
      </c>
      <c r="J34" s="128">
        <f>IF(J12&gt;$C$6,"",'Annual costs'!H8+'Annual costs'!H35)</f>
        <v>5530000</v>
      </c>
      <c r="K34" s="128">
        <f>IF(K12&gt;$C$6,"",'Annual costs'!I8+'Annual costs'!I35)</f>
        <v>5530000</v>
      </c>
      <c r="L34" s="128">
        <f>IF(L12&gt;$C$6,"",'Annual costs'!J8+'Annual costs'!J35)</f>
        <v>5530000</v>
      </c>
      <c r="M34" s="128">
        <f>IF(M12&gt;$C$6,"",'Annual costs'!K8+'Annual costs'!K35)</f>
        <v>5530000</v>
      </c>
      <c r="N34" s="262"/>
    </row>
    <row r="35" spans="2:14" ht="15.9" customHeight="1">
      <c r="B35" s="351"/>
      <c r="C35" s="22" t="s">
        <v>55</v>
      </c>
      <c r="D35" s="128">
        <f>'Annual cost savings'!B21</f>
        <v>4293833.9738373207</v>
      </c>
      <c r="E35" s="128">
        <f>IF(E12&gt;$C$6,"",'Annual cost savings'!C21)</f>
        <v>4293833.9738373207</v>
      </c>
      <c r="F35" s="128">
        <f>IF(F12&gt;$C$6,"",'Annual cost savings'!D21)</f>
        <v>4293833.9738373207</v>
      </c>
      <c r="G35" s="128">
        <f>IF(G12&gt;$C$6,"",'Annual cost savings'!E21)</f>
        <v>4293833.9738373207</v>
      </c>
      <c r="H35" s="128">
        <f>IF(H12&gt;$C$6,"",'Annual cost savings'!F21)</f>
        <v>4293833.9738373207</v>
      </c>
      <c r="I35" s="128">
        <f>IF(I12&gt;$C$6,"",'Annual cost savings'!G21)</f>
        <v>4293833.9738373207</v>
      </c>
      <c r="J35" s="128">
        <f>IF(J12&gt;$C$6,"",'Annual cost savings'!H21)</f>
        <v>4293833.9738373207</v>
      </c>
      <c r="K35" s="128">
        <f>IF(K12&gt;$C$6,"",'Annual cost savings'!I21)</f>
        <v>4293833.9738373207</v>
      </c>
      <c r="L35" s="128">
        <f>IF(L12&gt;$C$6,"",'Annual cost savings'!J21)</f>
        <v>4293833.9738373207</v>
      </c>
      <c r="M35" s="128">
        <f>IF(M12&gt;$C$6,"",'Annual cost savings'!K21)</f>
        <v>4293833.9738373207</v>
      </c>
      <c r="N35" s="262"/>
    </row>
    <row r="36" spans="2:14" ht="15.9" customHeight="1">
      <c r="B36" s="351"/>
      <c r="C36" s="22" t="s">
        <v>114</v>
      </c>
      <c r="D36" s="128">
        <f>IF($C$5="Spackman",D33+D34-D35,D32+D34-D35)</f>
        <v>30131166.02616268</v>
      </c>
      <c r="E36" s="128">
        <f>IF(E12&gt;$C$6,"",(IF($C$5="Spackman",E33+E34-E35,E32+E34-E35)))</f>
        <v>1236166.0261626793</v>
      </c>
      <c r="F36" s="128">
        <f t="shared" ref="F36:M36" si="7">IF(F12&gt;$C$6,"",(IF($C$5="Spackman",F33+F34-F35,F32+F34-F35)))</f>
        <v>1236166.0261626793</v>
      </c>
      <c r="G36" s="128">
        <f t="shared" si="7"/>
        <v>1236166.0261626793</v>
      </c>
      <c r="H36" s="128">
        <f t="shared" si="7"/>
        <v>1236166.0261626793</v>
      </c>
      <c r="I36" s="128">
        <f t="shared" si="7"/>
        <v>1236166.0261626793</v>
      </c>
      <c r="J36" s="128">
        <f t="shared" si="7"/>
        <v>1236166.0261626793</v>
      </c>
      <c r="K36" s="128">
        <f t="shared" si="7"/>
        <v>1236166.0261626793</v>
      </c>
      <c r="L36" s="128">
        <f t="shared" si="7"/>
        <v>1236166.0261626793</v>
      </c>
      <c r="M36" s="128">
        <f t="shared" si="7"/>
        <v>1236166.0261626793</v>
      </c>
      <c r="N36" s="262"/>
    </row>
    <row r="37" spans="2:14" ht="15.9" customHeight="1">
      <c r="B37" s="351"/>
      <c r="C37" s="22" t="s">
        <v>118</v>
      </c>
      <c r="D37" s="127">
        <f>1/((1+$C$3)^(D12-1))</f>
        <v>1</v>
      </c>
      <c r="E37" s="127">
        <f t="shared" ref="E37:M37" si="8">1/((1+$C$3)^(E12-1))</f>
        <v>0.96618357487922713</v>
      </c>
      <c r="F37" s="127">
        <f t="shared" si="8"/>
        <v>0.93351070036640305</v>
      </c>
      <c r="G37" s="127">
        <f t="shared" si="8"/>
        <v>0.90194270566802237</v>
      </c>
      <c r="H37" s="127">
        <f t="shared" si="8"/>
        <v>0.87144222769857238</v>
      </c>
      <c r="I37" s="127">
        <f t="shared" si="8"/>
        <v>0.84197316685852419</v>
      </c>
      <c r="J37" s="127">
        <f t="shared" si="8"/>
        <v>0.81350064430775282</v>
      </c>
      <c r="K37" s="127">
        <f t="shared" si="8"/>
        <v>0.78599096068381913</v>
      </c>
      <c r="L37" s="127">
        <f t="shared" si="8"/>
        <v>0.75941155621625056</v>
      </c>
      <c r="M37" s="127">
        <f t="shared" si="8"/>
        <v>0.73373097218961414</v>
      </c>
      <c r="N37" s="263"/>
    </row>
    <row r="38" spans="2:14" ht="15.9" customHeight="1">
      <c r="B38" s="351"/>
      <c r="C38" s="30" t="s">
        <v>115</v>
      </c>
      <c r="D38" s="128">
        <f>D36*D37</f>
        <v>30131166.02616268</v>
      </c>
      <c r="E38" s="128">
        <f>IF(E12&gt;$C$6,"",E36*E37)</f>
        <v>1194363.3103021057</v>
      </c>
      <c r="F38" s="128">
        <f t="shared" ref="F38:M38" si="9">IF(F12&gt;$C$6,"",F36*F37)</f>
        <v>1153974.2128522762</v>
      </c>
      <c r="G38" s="128">
        <f t="shared" si="9"/>
        <v>1114950.9302920543</v>
      </c>
      <c r="H38" s="128">
        <f t="shared" si="9"/>
        <v>1077247.275644497</v>
      </c>
      <c r="I38" s="128">
        <f t="shared" si="9"/>
        <v>1040818.6238111084</v>
      </c>
      <c r="J38" s="128">
        <f t="shared" si="9"/>
        <v>1005621.858754694</v>
      </c>
      <c r="K38" s="128">
        <f t="shared" si="9"/>
        <v>971615.32246830338</v>
      </c>
      <c r="L38" s="128">
        <f t="shared" si="9"/>
        <v>938758.76566985855</v>
      </c>
      <c r="M38" s="128">
        <f t="shared" si="9"/>
        <v>907013.30016411468</v>
      </c>
      <c r="N38" s="264">
        <f>SUM(D38:M38)</f>
        <v>39535529.6261217</v>
      </c>
    </row>
    <row r="39" spans="2:14" ht="15.9" customHeight="1"/>
    <row r="40" spans="2:14" ht="15.9" customHeight="1"/>
    <row r="41" spans="2:14" ht="15.9" customHeight="1">
      <c r="B41" s="351" t="s">
        <v>177</v>
      </c>
      <c r="C41" s="22" t="s">
        <v>111</v>
      </c>
      <c r="D41" s="128">
        <f>D23+('Annual costs'!B35-'Annual costs'!C35)</f>
        <v>30135000</v>
      </c>
      <c r="E41" s="128"/>
      <c r="F41" s="128"/>
      <c r="G41" s="128"/>
      <c r="H41" s="128"/>
      <c r="I41" s="128"/>
      <c r="J41" s="128"/>
      <c r="K41" s="128"/>
      <c r="L41" s="128"/>
      <c r="M41" s="128"/>
      <c r="N41" s="262"/>
    </row>
    <row r="42" spans="2:14" ht="15.9" customHeight="1">
      <c r="B42" s="351"/>
      <c r="C42" s="22" t="s">
        <v>113</v>
      </c>
      <c r="D42" s="128">
        <f>-PMT($C$4,$C$6,$D$41)</f>
        <v>4290546.0446891356</v>
      </c>
      <c r="E42" s="128">
        <f>IF(E12&gt;$C$6,"",-PMT($C$4,$C$6,$D$41))</f>
        <v>4290546.0446891356</v>
      </c>
      <c r="F42" s="128">
        <f t="shared" ref="F42:M42" si="10">IF(F12&gt;$C$6,"",-PMT($C$4,$C$6,$D$41))</f>
        <v>4290546.0446891356</v>
      </c>
      <c r="G42" s="128">
        <f t="shared" si="10"/>
        <v>4290546.0446891356</v>
      </c>
      <c r="H42" s="128">
        <f t="shared" si="10"/>
        <v>4290546.0446891356</v>
      </c>
      <c r="I42" s="128">
        <f t="shared" si="10"/>
        <v>4290546.0446891356</v>
      </c>
      <c r="J42" s="128">
        <f t="shared" si="10"/>
        <v>4290546.0446891356</v>
      </c>
      <c r="K42" s="128">
        <f t="shared" si="10"/>
        <v>4290546.0446891356</v>
      </c>
      <c r="L42" s="128">
        <f t="shared" si="10"/>
        <v>4290546.0446891356</v>
      </c>
      <c r="M42" s="128">
        <f t="shared" si="10"/>
        <v>4290546.0446891356</v>
      </c>
      <c r="N42" s="262"/>
    </row>
    <row r="43" spans="2:14" ht="15.9" customHeight="1">
      <c r="B43" s="351"/>
      <c r="C43" s="22" t="s">
        <v>112</v>
      </c>
      <c r="D43" s="128">
        <f>'Annual costs'!B17+'Annual costs'!B35-'Cost differences NPC'!D41</f>
        <v>5335000</v>
      </c>
      <c r="E43" s="128">
        <f>IF(E12&gt;$C$6,"",'Annual costs'!C17+'Annual costs'!C35)</f>
        <v>5335000</v>
      </c>
      <c r="F43" s="128">
        <f>IF(F12&gt;$C$6,"",'Annual costs'!D17+'Annual costs'!D35)</f>
        <v>5335000</v>
      </c>
      <c r="G43" s="128">
        <f>IF(G12&gt;$C$6,"",'Annual costs'!E17+'Annual costs'!E35)</f>
        <v>5335000</v>
      </c>
      <c r="H43" s="128">
        <f>IF(H12&gt;$C$6,"",'Annual costs'!F17+'Annual costs'!F35)</f>
        <v>5335000</v>
      </c>
      <c r="I43" s="128">
        <f>IF(I12&gt;$C$6,"",'Annual costs'!G17+'Annual costs'!G35)</f>
        <v>5335000</v>
      </c>
      <c r="J43" s="128">
        <f>IF(J12&gt;$C$6,"",'Annual costs'!H17+'Annual costs'!H35)</f>
        <v>5335000</v>
      </c>
      <c r="K43" s="128">
        <f>IF(K12&gt;$C$6,"",'Annual costs'!I17+'Annual costs'!I35)</f>
        <v>5335000</v>
      </c>
      <c r="L43" s="128">
        <f>IF(L12&gt;$C$6,"",'Annual costs'!J17+'Annual costs'!J35)</f>
        <v>5335000</v>
      </c>
      <c r="M43" s="128">
        <f>IF(M12&gt;$C$6,"",'Annual costs'!K17+'Annual costs'!K35)</f>
        <v>5335000</v>
      </c>
      <c r="N43" s="262"/>
    </row>
    <row r="44" spans="2:14" ht="15.9" customHeight="1">
      <c r="B44" s="351"/>
      <c r="C44" s="22" t="s">
        <v>55</v>
      </c>
      <c r="D44" s="128">
        <f>'Annual cost savings'!B22</f>
        <v>4031748.4820466395</v>
      </c>
      <c r="E44" s="128">
        <f>IF(E12&gt;$C$6,"",'Annual cost savings'!C22)</f>
        <v>4031748.4820466395</v>
      </c>
      <c r="F44" s="128">
        <f>IF(F12&gt;$C$6,"",'Annual cost savings'!D22)</f>
        <v>4031748.4820466395</v>
      </c>
      <c r="G44" s="128">
        <f>IF(G12&gt;$C$6,"",'Annual cost savings'!E22)</f>
        <v>4031748.4820466395</v>
      </c>
      <c r="H44" s="128">
        <f>IF(H12&gt;$C$6,"",'Annual cost savings'!F22)</f>
        <v>4031748.4820466395</v>
      </c>
      <c r="I44" s="128">
        <f>IF(I12&gt;$C$6,"",'Annual cost savings'!G22)</f>
        <v>4031748.4820466395</v>
      </c>
      <c r="J44" s="128">
        <f>IF(J12&gt;$C$6,"",'Annual cost savings'!H22)</f>
        <v>4031748.4820466395</v>
      </c>
      <c r="K44" s="128">
        <f>IF(K12&gt;$C$6,"",'Annual cost savings'!I22)</f>
        <v>4031748.4820466395</v>
      </c>
      <c r="L44" s="128">
        <f>IF(L12&gt;$C$6,"",'Annual cost savings'!J22)</f>
        <v>4031748.4820466395</v>
      </c>
      <c r="M44" s="128">
        <f>IF(M12&gt;$C$6,"",'Annual cost savings'!K22)</f>
        <v>4031748.4820466395</v>
      </c>
      <c r="N44" s="262"/>
    </row>
    <row r="45" spans="2:14" ht="15.9" customHeight="1">
      <c r="B45" s="351"/>
      <c r="C45" s="22" t="s">
        <v>114</v>
      </c>
      <c r="D45" s="128">
        <f>IF($C$5="Spackman",D42+D43-D44,D41+D43-D44)</f>
        <v>31438251.517953359</v>
      </c>
      <c r="E45" s="128">
        <f>IF(E12&gt;$C$6,"",(IF($C$5="Spackman",E42+E43-E44,E41+E43-E44)))</f>
        <v>1303251.5179533605</v>
      </c>
      <c r="F45" s="128">
        <f t="shared" ref="F45:M45" si="11">IF(F12&gt;$C$6,"",(IF($C$5="Spackman",F42+F43-F44,F41+F43-F44)))</f>
        <v>1303251.5179533605</v>
      </c>
      <c r="G45" s="128">
        <f t="shared" si="11"/>
        <v>1303251.5179533605</v>
      </c>
      <c r="H45" s="128">
        <f t="shared" si="11"/>
        <v>1303251.5179533605</v>
      </c>
      <c r="I45" s="128">
        <f t="shared" si="11"/>
        <v>1303251.5179533605</v>
      </c>
      <c r="J45" s="128">
        <f t="shared" si="11"/>
        <v>1303251.5179533605</v>
      </c>
      <c r="K45" s="128">
        <f t="shared" si="11"/>
        <v>1303251.5179533605</v>
      </c>
      <c r="L45" s="128">
        <f t="shared" si="11"/>
        <v>1303251.5179533605</v>
      </c>
      <c r="M45" s="128">
        <f t="shared" si="11"/>
        <v>1303251.5179533605</v>
      </c>
      <c r="N45" s="262"/>
    </row>
    <row r="46" spans="2:14">
      <c r="B46" s="351"/>
      <c r="C46" s="22" t="s">
        <v>118</v>
      </c>
      <c r="D46" s="127">
        <f>1/((1+$C$3)^(D12-1))</f>
        <v>1</v>
      </c>
      <c r="E46" s="127">
        <f t="shared" ref="E46:M46" si="12">1/((1+$C$3)^(E12-1))</f>
        <v>0.96618357487922713</v>
      </c>
      <c r="F46" s="127">
        <f t="shared" si="12"/>
        <v>0.93351070036640305</v>
      </c>
      <c r="G46" s="127">
        <f t="shared" si="12"/>
        <v>0.90194270566802237</v>
      </c>
      <c r="H46" s="127">
        <f t="shared" si="12"/>
        <v>0.87144222769857238</v>
      </c>
      <c r="I46" s="127">
        <f t="shared" si="12"/>
        <v>0.84197316685852419</v>
      </c>
      <c r="J46" s="127">
        <f t="shared" si="12"/>
        <v>0.81350064430775282</v>
      </c>
      <c r="K46" s="127">
        <f t="shared" si="12"/>
        <v>0.78599096068381913</v>
      </c>
      <c r="L46" s="127">
        <f t="shared" si="12"/>
        <v>0.75941155621625056</v>
      </c>
      <c r="M46" s="127">
        <f t="shared" si="12"/>
        <v>0.73373097218961414</v>
      </c>
      <c r="N46" s="263"/>
    </row>
    <row r="47" spans="2:14">
      <c r="B47" s="351"/>
      <c r="C47" s="30" t="s">
        <v>115</v>
      </c>
      <c r="D47" s="128">
        <f>D45*D46</f>
        <v>31438251.517953359</v>
      </c>
      <c r="E47" s="128">
        <f>IF(E12&gt;$C$6,"",E45*E46)</f>
        <v>1259180.2105829571</v>
      </c>
      <c r="F47" s="128">
        <f t="shared" ref="F47:M47" si="13">IF(F12&gt;$C$6,"",F45*F46)</f>
        <v>1216599.2372782193</v>
      </c>
      <c r="G47" s="128">
        <f t="shared" si="13"/>
        <v>1175458.2002688111</v>
      </c>
      <c r="H47" s="128">
        <f t="shared" si="13"/>
        <v>1135708.4060568225</v>
      </c>
      <c r="I47" s="128">
        <f t="shared" si="13"/>
        <v>1097302.8077843697</v>
      </c>
      <c r="J47" s="128">
        <f t="shared" si="13"/>
        <v>1060195.9495501155</v>
      </c>
      <c r="K47" s="128">
        <f t="shared" si="13"/>
        <v>1024343.9126088073</v>
      </c>
      <c r="L47" s="128">
        <f t="shared" si="13"/>
        <v>989704.26339015225</v>
      </c>
      <c r="M47" s="128">
        <f t="shared" si="13"/>
        <v>956236.00327550957</v>
      </c>
      <c r="N47" s="264">
        <f>SUM(D47:M47)</f>
        <v>41352980.50874912</v>
      </c>
    </row>
    <row r="49" spans="2:14">
      <c r="D49" s="49"/>
      <c r="E49" s="49"/>
      <c r="F49" s="49"/>
      <c r="G49" s="49"/>
      <c r="H49" s="49"/>
      <c r="I49" s="49"/>
      <c r="J49" s="49"/>
      <c r="K49" s="49"/>
      <c r="L49" s="49"/>
      <c r="M49" s="49"/>
      <c r="N49" s="265"/>
    </row>
    <row r="50" spans="2:14">
      <c r="N50" s="265"/>
    </row>
    <row r="51" spans="2:14" ht="15.9" customHeight="1">
      <c r="B51" s="351" t="s">
        <v>204</v>
      </c>
      <c r="C51" s="22" t="s">
        <v>111</v>
      </c>
      <c r="D51" s="128">
        <f>'Annual costs'!B35-'Annual costs'!C35</f>
        <v>15875000</v>
      </c>
      <c r="E51" s="128"/>
      <c r="F51" s="128"/>
      <c r="G51" s="128"/>
      <c r="H51" s="128"/>
      <c r="I51" s="128"/>
      <c r="J51" s="128"/>
      <c r="K51" s="128"/>
      <c r="L51" s="128"/>
      <c r="M51" s="128"/>
      <c r="N51" s="262"/>
    </row>
    <row r="52" spans="2:14" ht="15.9" customHeight="1">
      <c r="B52" s="351"/>
      <c r="C52" s="22" t="s">
        <v>113</v>
      </c>
      <c r="D52" s="128">
        <f>-PMT($C$4,$C$6,$D$51)</f>
        <v>2260242.855796915</v>
      </c>
      <c r="E52" s="128">
        <f>IF(E12&gt;$C$6,"",-PMT($C$4,$C$6,$D$51))</f>
        <v>2260242.855796915</v>
      </c>
      <c r="F52" s="128">
        <f t="shared" ref="F52:M52" si="14">IF(F12&gt;$C$6,"",-PMT($C$4,$C$6,$D$51))</f>
        <v>2260242.855796915</v>
      </c>
      <c r="G52" s="128">
        <f t="shared" si="14"/>
        <v>2260242.855796915</v>
      </c>
      <c r="H52" s="128">
        <f t="shared" si="14"/>
        <v>2260242.855796915</v>
      </c>
      <c r="I52" s="128">
        <f t="shared" si="14"/>
        <v>2260242.855796915</v>
      </c>
      <c r="J52" s="128">
        <f t="shared" si="14"/>
        <v>2260242.855796915</v>
      </c>
      <c r="K52" s="128">
        <f t="shared" si="14"/>
        <v>2260242.855796915</v>
      </c>
      <c r="L52" s="128">
        <f t="shared" si="14"/>
        <v>2260242.855796915</v>
      </c>
      <c r="M52" s="128">
        <f t="shared" si="14"/>
        <v>2260242.855796915</v>
      </c>
      <c r="N52" s="262"/>
    </row>
    <row r="53" spans="2:14" ht="15.9" customHeight="1">
      <c r="B53" s="351"/>
      <c r="C53" s="22" t="s">
        <v>112</v>
      </c>
      <c r="D53" s="128">
        <f>'Annual costs'!B35-'Cost differences NPC'!D51</f>
        <v>2050000</v>
      </c>
      <c r="E53" s="128">
        <f>IF(E12&gt;$C$6,"",'Annual costs'!C35)</f>
        <v>2050000</v>
      </c>
      <c r="F53" s="128">
        <f>IF(F12&gt;$C$6,"",'Annual costs'!D35)</f>
        <v>2050000</v>
      </c>
      <c r="G53" s="128">
        <f>IF(G12&gt;$C$6,"",'Annual costs'!E35)</f>
        <v>2050000</v>
      </c>
      <c r="H53" s="128">
        <f>IF(H12&gt;$C$6,"",'Annual costs'!F35)</f>
        <v>2050000</v>
      </c>
      <c r="I53" s="128">
        <f>IF(I12&gt;$C$6,"",'Annual costs'!G35)</f>
        <v>2050000</v>
      </c>
      <c r="J53" s="128">
        <f>IF(J12&gt;$C$6,"",'Annual costs'!H35)</f>
        <v>2050000</v>
      </c>
      <c r="K53" s="128">
        <f>IF(K12&gt;$C$6,"",'Annual costs'!I35)</f>
        <v>2050000</v>
      </c>
      <c r="L53" s="128">
        <f>IF(L12&gt;$C$6,"",'Annual costs'!J35)</f>
        <v>2050000</v>
      </c>
      <c r="M53" s="128">
        <f>IF(M12&gt;$C$6,"",'Annual costs'!K35)</f>
        <v>2050000</v>
      </c>
      <c r="N53" s="262"/>
    </row>
    <row r="54" spans="2:14" ht="15.9" customHeight="1">
      <c r="B54" s="351"/>
      <c r="C54" s="22" t="s">
        <v>55</v>
      </c>
      <c r="D54" s="128">
        <f>'Annual cost savings'!B21-'Annual cost savings'!B11</f>
        <v>567768.60610602843</v>
      </c>
      <c r="E54" s="128">
        <f>IF(E12&gt;$C$6,"",'Annual cost savings'!C21-'Annual cost savings'!C11)</f>
        <v>567768.60610602843</v>
      </c>
      <c r="F54" s="128">
        <f>IF(F12&gt;$C$6,"",'Annual cost savings'!D21-'Annual cost savings'!D11)</f>
        <v>567768.60610602843</v>
      </c>
      <c r="G54" s="128">
        <f>IF(G12&gt;$C$6,"",'Annual cost savings'!E21-'Annual cost savings'!E11)</f>
        <v>567768.60610602843</v>
      </c>
      <c r="H54" s="128">
        <f>IF(H12&gt;$C$6,"",'Annual cost savings'!F21-'Annual cost savings'!F11)</f>
        <v>567768.60610602843</v>
      </c>
      <c r="I54" s="128">
        <f>IF(I12&gt;$C$6,"",'Annual cost savings'!G21-'Annual cost savings'!G11)</f>
        <v>567768.60610602843</v>
      </c>
      <c r="J54" s="128">
        <f>IF(J12&gt;$C$6,"",'Annual cost savings'!H21-'Annual cost savings'!H11)</f>
        <v>567768.60610602843</v>
      </c>
      <c r="K54" s="128">
        <f>IF(K12&gt;$C$6,"",'Annual cost savings'!I21-'Annual cost savings'!I11)</f>
        <v>567768.60610602843</v>
      </c>
      <c r="L54" s="128">
        <f>IF(L12&gt;$C$6,"",'Annual cost savings'!J21-'Annual cost savings'!J11)</f>
        <v>567768.60610602843</v>
      </c>
      <c r="M54" s="128">
        <f>IF(M12&gt;$C$6,"",'Annual cost savings'!K21-'Annual cost savings'!K11)</f>
        <v>567768.60610602843</v>
      </c>
      <c r="N54" s="262"/>
    </row>
    <row r="55" spans="2:14" ht="15.9" customHeight="1">
      <c r="B55" s="351"/>
      <c r="C55" s="22" t="s">
        <v>114</v>
      </c>
      <c r="D55" s="128">
        <f>IF($C$5="Spackman",D52+D53-D54,D51+D53-D54)</f>
        <v>17357231.393893972</v>
      </c>
      <c r="E55" s="128">
        <f>IF(E12&gt;$C$6,"",(IF($C$5="Spackman",E52+E53-E54,E51+E53-E54)))</f>
        <v>1482231.3938939716</v>
      </c>
      <c r="F55" s="128">
        <f t="shared" ref="F55:M55" si="15">IF(F12&gt;$C$6,"",(IF($C$5="Spackman",F52+F53-F54,F51+F53-F54)))</f>
        <v>1482231.3938939716</v>
      </c>
      <c r="G55" s="128">
        <f t="shared" si="15"/>
        <v>1482231.3938939716</v>
      </c>
      <c r="H55" s="128">
        <f t="shared" si="15"/>
        <v>1482231.3938939716</v>
      </c>
      <c r="I55" s="128">
        <f t="shared" si="15"/>
        <v>1482231.3938939716</v>
      </c>
      <c r="J55" s="128">
        <f t="shared" si="15"/>
        <v>1482231.3938939716</v>
      </c>
      <c r="K55" s="128">
        <f t="shared" si="15"/>
        <v>1482231.3938939716</v>
      </c>
      <c r="L55" s="128">
        <f t="shared" si="15"/>
        <v>1482231.3938939716</v>
      </c>
      <c r="M55" s="128">
        <f t="shared" si="15"/>
        <v>1482231.3938939716</v>
      </c>
      <c r="N55" s="262"/>
    </row>
    <row r="56" spans="2:14" ht="15.9" customHeight="1">
      <c r="B56" s="351"/>
      <c r="C56" s="22" t="s">
        <v>118</v>
      </c>
      <c r="D56" s="127">
        <f>1/((1+$C$3)^(D12-1))</f>
        <v>1</v>
      </c>
      <c r="E56" s="127">
        <f t="shared" ref="E56:M56" si="16">1/((1+$C$3)^(E12-1))</f>
        <v>0.96618357487922713</v>
      </c>
      <c r="F56" s="127">
        <f t="shared" si="16"/>
        <v>0.93351070036640305</v>
      </c>
      <c r="G56" s="127">
        <f t="shared" si="16"/>
        <v>0.90194270566802237</v>
      </c>
      <c r="H56" s="127">
        <f t="shared" si="16"/>
        <v>0.87144222769857238</v>
      </c>
      <c r="I56" s="127">
        <f t="shared" si="16"/>
        <v>0.84197316685852419</v>
      </c>
      <c r="J56" s="127">
        <f t="shared" si="16"/>
        <v>0.81350064430775282</v>
      </c>
      <c r="K56" s="127">
        <f t="shared" si="16"/>
        <v>0.78599096068381913</v>
      </c>
      <c r="L56" s="127">
        <f t="shared" si="16"/>
        <v>0.75941155621625056</v>
      </c>
      <c r="M56" s="127">
        <f t="shared" si="16"/>
        <v>0.73373097218961414</v>
      </c>
      <c r="N56" s="263"/>
    </row>
    <row r="57" spans="2:14" ht="15.9" customHeight="1">
      <c r="B57" s="351"/>
      <c r="C57" s="30" t="s">
        <v>115</v>
      </c>
      <c r="D57" s="128">
        <f>D55*D56</f>
        <v>17357231.393893972</v>
      </c>
      <c r="E57" s="128">
        <f>IF(E12&gt;$C$6,"",E55*E56)</f>
        <v>1432107.6269506973</v>
      </c>
      <c r="F57" s="128">
        <f t="shared" ref="F57:M57" si="17">IF(F12&gt;$C$6,"",F55*F56)</f>
        <v>1383678.8666190312</v>
      </c>
      <c r="G57" s="128">
        <f t="shared" si="17"/>
        <v>1336887.7938348129</v>
      </c>
      <c r="H57" s="128">
        <f t="shared" si="17"/>
        <v>1291679.0278597227</v>
      </c>
      <c r="I57" s="128">
        <f t="shared" si="17"/>
        <v>1247999.0607340317</v>
      </c>
      <c r="J57" s="128">
        <f t="shared" si="17"/>
        <v>1205796.1939459245</v>
      </c>
      <c r="K57" s="128">
        <f t="shared" si="17"/>
        <v>1165020.4772424391</v>
      </c>
      <c r="L57" s="128">
        <f t="shared" si="17"/>
        <v>1125623.6495096032</v>
      </c>
      <c r="M57" s="128">
        <f t="shared" si="17"/>
        <v>1087559.0816517908</v>
      </c>
      <c r="N57" s="264">
        <f>SUM(D57:M57)</f>
        <v>28633583.172242031</v>
      </c>
    </row>
    <row r="58" spans="2:14" ht="11.4">
      <c r="B58" s="19"/>
      <c r="C58" s="19"/>
      <c r="D58" s="19"/>
      <c r="E58" s="19"/>
      <c r="F58" s="19"/>
      <c r="G58" s="19"/>
      <c r="H58" s="19"/>
      <c r="I58" s="19"/>
      <c r="J58" s="19"/>
      <c r="K58" s="19"/>
      <c r="L58" s="19"/>
      <c r="M58" s="61" t="s">
        <v>6</v>
      </c>
      <c r="N58" s="60">
        <f>N38-N20</f>
        <v>28633583.172242031</v>
      </c>
    </row>
    <row r="59" spans="2:14">
      <c r="B59" s="19"/>
      <c r="C59" s="19"/>
      <c r="D59" s="19"/>
      <c r="E59" s="19"/>
      <c r="F59" s="19"/>
      <c r="G59" s="19"/>
      <c r="H59" s="19"/>
      <c r="I59" s="19"/>
      <c r="J59" s="19"/>
      <c r="K59" s="19"/>
      <c r="L59" s="19"/>
      <c r="M59" s="19"/>
      <c r="N59" s="266" t="str">
        <f>IF(N57=N58,"Correct","Incorrect")</f>
        <v>Correct</v>
      </c>
    </row>
    <row r="61" spans="2:14" ht="15.9" customHeight="1">
      <c r="B61" s="351" t="s">
        <v>205</v>
      </c>
      <c r="C61" s="22" t="s">
        <v>111</v>
      </c>
      <c r="D61" s="128">
        <f>D51</f>
        <v>15875000</v>
      </c>
      <c r="E61" s="128"/>
      <c r="F61" s="128"/>
      <c r="G61" s="128"/>
      <c r="H61" s="128"/>
      <c r="I61" s="128"/>
      <c r="J61" s="128"/>
      <c r="K61" s="128"/>
      <c r="L61" s="128"/>
      <c r="M61" s="128"/>
      <c r="N61" s="262"/>
    </row>
    <row r="62" spans="2:14" ht="15.9" customHeight="1">
      <c r="B62" s="351"/>
      <c r="C62" s="22" t="s">
        <v>113</v>
      </c>
      <c r="D62" s="128">
        <f>D52</f>
        <v>2260242.855796915</v>
      </c>
      <c r="E62" s="128">
        <f>E52</f>
        <v>2260242.855796915</v>
      </c>
      <c r="F62" s="128">
        <f t="shared" ref="F62:M62" si="18">F52</f>
        <v>2260242.855796915</v>
      </c>
      <c r="G62" s="128">
        <f t="shared" si="18"/>
        <v>2260242.855796915</v>
      </c>
      <c r="H62" s="128">
        <f t="shared" si="18"/>
        <v>2260242.855796915</v>
      </c>
      <c r="I62" s="128">
        <f t="shared" si="18"/>
        <v>2260242.855796915</v>
      </c>
      <c r="J62" s="128">
        <f t="shared" si="18"/>
        <v>2260242.855796915</v>
      </c>
      <c r="K62" s="128">
        <f t="shared" si="18"/>
        <v>2260242.855796915</v>
      </c>
      <c r="L62" s="128">
        <f t="shared" si="18"/>
        <v>2260242.855796915</v>
      </c>
      <c r="M62" s="128">
        <f t="shared" si="18"/>
        <v>2260242.855796915</v>
      </c>
      <c r="N62" s="262"/>
    </row>
    <row r="63" spans="2:14" ht="15.9" customHeight="1">
      <c r="B63" s="351"/>
      <c r="C63" s="22" t="s">
        <v>112</v>
      </c>
      <c r="D63" s="128">
        <f>D53</f>
        <v>2050000</v>
      </c>
      <c r="E63" s="128">
        <f>E53</f>
        <v>2050000</v>
      </c>
      <c r="F63" s="128">
        <f t="shared" ref="F63:M63" si="19">F53</f>
        <v>2050000</v>
      </c>
      <c r="G63" s="128">
        <f t="shared" si="19"/>
        <v>2050000</v>
      </c>
      <c r="H63" s="128">
        <f t="shared" si="19"/>
        <v>2050000</v>
      </c>
      <c r="I63" s="128">
        <f t="shared" si="19"/>
        <v>2050000</v>
      </c>
      <c r="J63" s="128">
        <f t="shared" si="19"/>
        <v>2050000</v>
      </c>
      <c r="K63" s="128">
        <f t="shared" si="19"/>
        <v>2050000</v>
      </c>
      <c r="L63" s="128">
        <f t="shared" si="19"/>
        <v>2050000</v>
      </c>
      <c r="M63" s="128">
        <f t="shared" si="19"/>
        <v>2050000</v>
      </c>
      <c r="N63" s="262"/>
    </row>
    <row r="64" spans="2:14" ht="15.9" customHeight="1">
      <c r="B64" s="351"/>
      <c r="C64" s="22" t="s">
        <v>55</v>
      </c>
      <c r="D64" s="128">
        <f>'Annual cost savings'!B22-'Annual cost savings'!B12</f>
        <v>533113.35039253719</v>
      </c>
      <c r="E64" s="128">
        <f>IF(E12&gt;$C$6,"",'Annual cost savings'!C22-'Annual cost savings'!C12)</f>
        <v>533113.35039253719</v>
      </c>
      <c r="F64" s="128">
        <f>IF(F12&gt;$C$6,"",'Annual cost savings'!D22-'Annual cost savings'!D12)</f>
        <v>533113.35039253719</v>
      </c>
      <c r="G64" s="128">
        <f>IF(G12&gt;$C$6,"",'Annual cost savings'!E22-'Annual cost savings'!E12)</f>
        <v>533113.35039253719</v>
      </c>
      <c r="H64" s="128">
        <f>IF(H12&gt;$C$6,"",'Annual cost savings'!F22-'Annual cost savings'!F12)</f>
        <v>533113.35039253719</v>
      </c>
      <c r="I64" s="128">
        <f>IF(I12&gt;$C$6,"",'Annual cost savings'!G22-'Annual cost savings'!G12)</f>
        <v>533113.35039253719</v>
      </c>
      <c r="J64" s="128">
        <f>IF(J12&gt;$C$6,"",'Annual cost savings'!H22-'Annual cost savings'!H12)</f>
        <v>533113.35039253719</v>
      </c>
      <c r="K64" s="128">
        <f>IF(K12&gt;$C$6,"",'Annual cost savings'!I22-'Annual cost savings'!I12)</f>
        <v>533113.35039253719</v>
      </c>
      <c r="L64" s="128">
        <f>IF(L12&gt;$C$6,"",'Annual cost savings'!J22-'Annual cost savings'!J12)</f>
        <v>533113.35039253719</v>
      </c>
      <c r="M64" s="128">
        <f>IF(M12&gt;$C$6,"",'Annual cost savings'!K22-'Annual cost savings'!K12)</f>
        <v>533113.35039253719</v>
      </c>
      <c r="N64" s="262"/>
    </row>
    <row r="65" spans="2:14" ht="15.9" customHeight="1">
      <c r="B65" s="351"/>
      <c r="C65" s="22" t="s">
        <v>114</v>
      </c>
      <c r="D65" s="128">
        <f>IF($C$5="Spackman",D62+D63-D64,D61+D63-D64)</f>
        <v>17391886.649607465</v>
      </c>
      <c r="E65" s="128">
        <f>IF(E12&gt;$C$6,"",(IF($C$5="Spackman",E62+E63-E64,E61+E63-E64)))</f>
        <v>1516886.6496074628</v>
      </c>
      <c r="F65" s="128">
        <f t="shared" ref="F65:M65" si="20">IF(F12&gt;$C$6,"",(IF($C$5="Spackman",F62+F63-F64,F61+F63-F64)))</f>
        <v>1516886.6496074628</v>
      </c>
      <c r="G65" s="128">
        <f t="shared" si="20"/>
        <v>1516886.6496074628</v>
      </c>
      <c r="H65" s="128">
        <f t="shared" si="20"/>
        <v>1516886.6496074628</v>
      </c>
      <c r="I65" s="128">
        <f t="shared" si="20"/>
        <v>1516886.6496074628</v>
      </c>
      <c r="J65" s="128">
        <f t="shared" si="20"/>
        <v>1516886.6496074628</v>
      </c>
      <c r="K65" s="128">
        <f t="shared" si="20"/>
        <v>1516886.6496074628</v>
      </c>
      <c r="L65" s="128">
        <f t="shared" si="20"/>
        <v>1516886.6496074628</v>
      </c>
      <c r="M65" s="128">
        <f t="shared" si="20"/>
        <v>1516886.6496074628</v>
      </c>
      <c r="N65" s="262"/>
    </row>
    <row r="66" spans="2:14" ht="15.9" customHeight="1">
      <c r="B66" s="351"/>
      <c r="C66" s="22" t="s">
        <v>118</v>
      </c>
      <c r="D66" s="127">
        <f>1/((1+$C$3)^(D12-1))</f>
        <v>1</v>
      </c>
      <c r="E66" s="127">
        <f t="shared" ref="E66:M66" si="21">1/((1+$C$3)^(E12-1))</f>
        <v>0.96618357487922713</v>
      </c>
      <c r="F66" s="127">
        <f t="shared" si="21"/>
        <v>0.93351070036640305</v>
      </c>
      <c r="G66" s="127">
        <f t="shared" si="21"/>
        <v>0.90194270566802237</v>
      </c>
      <c r="H66" s="127">
        <f t="shared" si="21"/>
        <v>0.87144222769857238</v>
      </c>
      <c r="I66" s="127">
        <f t="shared" si="21"/>
        <v>0.84197316685852419</v>
      </c>
      <c r="J66" s="127">
        <f t="shared" si="21"/>
        <v>0.81350064430775282</v>
      </c>
      <c r="K66" s="127">
        <f t="shared" si="21"/>
        <v>0.78599096068381913</v>
      </c>
      <c r="L66" s="127">
        <f t="shared" si="21"/>
        <v>0.75941155621625056</v>
      </c>
      <c r="M66" s="127">
        <f t="shared" si="21"/>
        <v>0.73373097218961414</v>
      </c>
      <c r="N66" s="263"/>
    </row>
    <row r="67" spans="2:14" ht="15.9" customHeight="1">
      <c r="B67" s="351"/>
      <c r="C67" s="30" t="s">
        <v>115</v>
      </c>
      <c r="D67" s="128">
        <f>D65*D66</f>
        <v>17391886.649607465</v>
      </c>
      <c r="E67" s="128">
        <f>IF(E12&gt;$C$6,"",E65*E66)</f>
        <v>1465590.9658043119</v>
      </c>
      <c r="F67" s="128">
        <f t="shared" ref="F67:M67" si="22">IF(F12&gt;$C$6,"",F65*F66)</f>
        <v>1416029.9186515093</v>
      </c>
      <c r="G67" s="128">
        <f t="shared" si="22"/>
        <v>1368144.8489386565</v>
      </c>
      <c r="H67" s="128">
        <f t="shared" si="22"/>
        <v>1321879.0811001512</v>
      </c>
      <c r="I67" s="128">
        <f t="shared" si="22"/>
        <v>1277177.8561354119</v>
      </c>
      <c r="J67" s="128">
        <f t="shared" si="22"/>
        <v>1233988.2667974995</v>
      </c>
      <c r="K67" s="128">
        <f t="shared" si="22"/>
        <v>1192259.1949734294</v>
      </c>
      <c r="L67" s="128">
        <f t="shared" si="22"/>
        <v>1151941.2511820577</v>
      </c>
      <c r="M67" s="128">
        <f t="shared" si="22"/>
        <v>1112986.7161179304</v>
      </c>
      <c r="N67" s="264">
        <f>SUM(D67:M67)</f>
        <v>28931884.749308418</v>
      </c>
    </row>
    <row r="68" spans="2:14" ht="11.4">
      <c r="B68" s="19"/>
      <c r="C68" s="19"/>
      <c r="D68" s="19"/>
      <c r="E68" s="19"/>
      <c r="F68" s="19"/>
      <c r="G68" s="19"/>
      <c r="H68" s="19"/>
      <c r="I68" s="19"/>
      <c r="J68" s="19"/>
      <c r="K68" s="19"/>
      <c r="L68" s="19"/>
      <c r="M68" s="61" t="s">
        <v>6</v>
      </c>
      <c r="N68" s="60">
        <f>N47-N29</f>
        <v>28931884.749308415</v>
      </c>
    </row>
    <row r="69" spans="2:14">
      <c r="B69" s="19"/>
      <c r="C69" s="19"/>
      <c r="D69" s="19"/>
      <c r="E69" s="19"/>
      <c r="F69" s="19"/>
      <c r="G69" s="19"/>
      <c r="H69" s="19"/>
      <c r="I69" s="19"/>
      <c r="J69" s="19"/>
      <c r="K69" s="19"/>
      <c r="L69" s="19"/>
      <c r="M69" s="19"/>
      <c r="N69" s="266" t="str">
        <f>IF(N67=N68,"Correct","Incorrect")</f>
        <v>Correct</v>
      </c>
    </row>
  </sheetData>
  <mergeCells count="6">
    <mergeCell ref="B51:B57"/>
    <mergeCell ref="B61:B67"/>
    <mergeCell ref="B23:B29"/>
    <mergeCell ref="B14:B20"/>
    <mergeCell ref="B32:B38"/>
    <mergeCell ref="B41:B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AD139"/>
  <sheetViews>
    <sheetView showGridLines="0" defaultGridColor="0" colorId="22" zoomScaleNormal="100" workbookViewId="0">
      <pane ySplit="1" topLeftCell="A2" activePane="bottomLeft" state="frozen"/>
      <selection pane="bottomLeft" activeCell="C28" sqref="C28"/>
    </sheetView>
  </sheetViews>
  <sheetFormatPr defaultColWidth="0" defaultRowHeight="12" customHeight="1" zeroHeight="1"/>
  <cols>
    <col min="1" max="1" width="5.375" style="19" customWidth="1"/>
    <col min="2" max="2" width="49" style="19" customWidth="1"/>
    <col min="3" max="3" width="36.375" style="19" customWidth="1"/>
    <col min="4" max="4" width="14.75" style="19" customWidth="1"/>
    <col min="5" max="5" width="13.375" style="19" customWidth="1"/>
    <col min="6" max="6" width="15" style="19" customWidth="1"/>
    <col min="7" max="12" width="8.875" style="19" customWidth="1"/>
    <col min="13" max="13" width="11.125" style="19" customWidth="1"/>
    <col min="14" max="14" width="16" style="19" customWidth="1"/>
    <col min="15" max="30" width="9.125" style="19" customWidth="1"/>
    <col min="31" max="16384" width="12.75" style="19" hidden="1"/>
  </cols>
  <sheetData>
    <row r="1" spans="1:4" s="11" customFormat="1" ht="40.5" customHeight="1">
      <c r="A1" s="232" t="s">
        <v>18</v>
      </c>
    </row>
    <row r="2" spans="1:4" ht="11.4">
      <c r="C2" s="21"/>
    </row>
    <row r="3" spans="1:4" ht="15.6">
      <c r="B3" s="36" t="s">
        <v>20</v>
      </c>
      <c r="C3" s="21"/>
    </row>
    <row r="4" spans="1:4" ht="13.5" customHeight="1"/>
    <row r="5" spans="1:4" ht="15" customHeight="1">
      <c r="B5" s="32" t="s">
        <v>19</v>
      </c>
      <c r="C5" s="34">
        <f>'Scenario choice'!C7</f>
        <v>3.5000000000000003E-2</v>
      </c>
      <c r="D5" s="164" t="s">
        <v>119</v>
      </c>
    </row>
    <row r="6" spans="1:4" ht="15" customHeight="1">
      <c r="B6" s="32" t="s">
        <v>131</v>
      </c>
      <c r="C6" s="34">
        <f>'Scenario choice'!C8</f>
        <v>7.0000000000000007E-2</v>
      </c>
      <c r="D6" s="164" t="s">
        <v>110</v>
      </c>
    </row>
    <row r="7" spans="1:4" ht="15" customHeight="1">
      <c r="B7" s="32" t="s">
        <v>49</v>
      </c>
      <c r="C7" s="34" t="str">
        <f>'Scenario choice'!C9</f>
        <v>Standard</v>
      </c>
    </row>
    <row r="8" spans="1:4" ht="15" customHeight="1">
      <c r="B8" s="32" t="s">
        <v>50</v>
      </c>
      <c r="C8" s="35">
        <f>'Scenario choice'!C10</f>
        <v>10</v>
      </c>
    </row>
    <row r="9" spans="1:4" ht="11.25" customHeight="1"/>
    <row r="10" spans="1:4" ht="15" customHeight="1">
      <c r="B10" s="30" t="s">
        <v>52</v>
      </c>
      <c r="C10" s="35" t="str">
        <f>'Scenario choice'!C11</f>
        <v>No</v>
      </c>
    </row>
    <row r="11" spans="1:4" ht="15" customHeight="1">
      <c r="B11" s="30" t="s">
        <v>120</v>
      </c>
      <c r="C11" s="35" t="str">
        <f>'Scenario choice'!C12</f>
        <v>Yes</v>
      </c>
    </row>
    <row r="12" spans="1:4" ht="15" customHeight="1">
      <c r="B12" s="30" t="s">
        <v>198</v>
      </c>
      <c r="C12" s="255">
        <f>'Scenario choice'!C13</f>
        <v>0.4</v>
      </c>
    </row>
    <row r="13" spans="1:4" ht="15" customHeight="1"/>
    <row r="14" spans="1:4" ht="15" customHeight="1">
      <c r="B14" s="46" t="s">
        <v>51</v>
      </c>
      <c r="C14" s="98" t="str">
        <f>'Scenario choice'!C14</f>
        <v>Weighted average</v>
      </c>
    </row>
    <row r="15" spans="1:4" ht="15" customHeight="1">
      <c r="B15" s="46" t="s">
        <v>85</v>
      </c>
      <c r="C15" s="98" t="str">
        <f>'Scenario choice'!C15</f>
        <v>Mix</v>
      </c>
    </row>
    <row r="16" spans="1:4" ht="15" customHeight="1">
      <c r="B16" s="46" t="s">
        <v>53</v>
      </c>
      <c r="C16" s="98" t="str">
        <f>'Scenario choice'!C16</f>
        <v>Central case</v>
      </c>
    </row>
    <row r="17" spans="2:4" ht="15" customHeight="1"/>
    <row r="18" spans="2:4" ht="15" customHeight="1"/>
    <row r="19" spans="2:4" ht="11.25" customHeight="1"/>
    <row r="20" spans="2:4" ht="11.25" customHeight="1"/>
    <row r="21" spans="2:4" ht="15.75" customHeight="1">
      <c r="B21" s="36" t="s">
        <v>199</v>
      </c>
    </row>
    <row r="22" spans="2:4" ht="11.25" customHeight="1">
      <c r="B22" s="36"/>
    </row>
    <row r="23" spans="2:4" ht="20.25" customHeight="1">
      <c r="B23" s="33" t="s">
        <v>133</v>
      </c>
      <c r="C23" s="162" t="s">
        <v>122</v>
      </c>
    </row>
    <row r="24" spans="2:4" ht="20.100000000000001" customHeight="1">
      <c r="B24" s="30" t="s">
        <v>132</v>
      </c>
      <c r="C24" s="79">
        <f>IF($C$23="Option 1",'Cost differences NPC'!N20,'Cost differences NPC'!N29)</f>
        <v>10901946.453879669</v>
      </c>
      <c r="D24" s="165" t="s">
        <v>134</v>
      </c>
    </row>
    <row r="25" spans="2:4" ht="15" customHeight="1">
      <c r="B25" s="30"/>
      <c r="C25" s="30"/>
    </row>
    <row r="26" spans="2:4" ht="12" customHeight="1"/>
    <row r="27" spans="2:4" ht="12" customHeight="1"/>
    <row r="28" spans="2:4" ht="12" customHeight="1"/>
    <row r="29" spans="2:4" ht="12" customHeight="1">
      <c r="B29" s="259"/>
    </row>
    <row r="30" spans="2:4" ht="12" customHeight="1">
      <c r="B30" s="259"/>
    </row>
    <row r="31" spans="2:4" ht="12" customHeight="1">
      <c r="B31" s="259"/>
    </row>
    <row r="32" spans="2:4" ht="12" customHeight="1">
      <c r="B32" s="259"/>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sheetData>
  <dataValidations count="2">
    <dataValidation type="list" allowBlank="1" showInputMessage="1" showErrorMessage="1" sqref="C23">
      <formula1>"Option 1, Option 2"</formula1>
    </dataValidation>
    <dataValidation type="list" allowBlank="1" showInputMessage="1" showErrorMessage="1" sqref="C7">
      <formula1>"Standard, Spackman"</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9"/>
  <sheetViews>
    <sheetView showGridLines="0" workbookViewId="0">
      <selection activeCell="E15" sqref="E15"/>
    </sheetView>
  </sheetViews>
  <sheetFormatPr defaultRowHeight="11.4"/>
  <cols>
    <col min="1" max="1" width="44.125" customWidth="1"/>
    <col min="2" max="2" width="6.25" customWidth="1"/>
    <col min="3" max="3" width="32.25" customWidth="1"/>
    <col min="5" max="5" width="12.75" style="94" customWidth="1"/>
    <col min="6" max="16" width="12.75" style="20" customWidth="1"/>
  </cols>
  <sheetData>
    <row r="1" spans="1:16" ht="48" customHeight="1">
      <c r="A1" s="325" t="s">
        <v>121</v>
      </c>
      <c r="B1" s="325"/>
      <c r="C1" s="325"/>
      <c r="E1" s="237" t="s">
        <v>97</v>
      </c>
      <c r="F1" s="237"/>
      <c r="G1" s="237"/>
    </row>
    <row r="2" spans="1:16" s="19" customFormat="1" ht="15.75" customHeight="1">
      <c r="A2" s="88"/>
      <c r="B2" s="88"/>
      <c r="C2" s="88"/>
      <c r="E2" s="20"/>
      <c r="F2" s="20"/>
      <c r="G2" s="20"/>
      <c r="H2" s="20"/>
      <c r="I2" s="20"/>
      <c r="J2" s="20"/>
      <c r="K2" s="20"/>
      <c r="L2" s="20"/>
      <c r="M2" s="20"/>
      <c r="N2" s="20"/>
      <c r="O2" s="20"/>
      <c r="P2" s="20"/>
    </row>
    <row r="3" spans="1:16" s="19" customFormat="1" ht="13.5" customHeight="1">
      <c r="A3" s="88"/>
      <c r="B3" s="88"/>
      <c r="C3" s="91" t="s">
        <v>78</v>
      </c>
      <c r="E3" s="20"/>
      <c r="F3" s="20"/>
      <c r="G3" s="20"/>
      <c r="H3" s="20"/>
      <c r="I3" s="20"/>
      <c r="J3" s="20"/>
      <c r="K3" s="20"/>
      <c r="L3" s="20"/>
      <c r="M3" s="20"/>
      <c r="N3" s="20"/>
      <c r="O3" s="20"/>
      <c r="P3" s="20"/>
    </row>
    <row r="4" spans="1:16" s="19" customFormat="1" ht="12.75" customHeight="1">
      <c r="A4" s="88"/>
      <c r="B4" s="88"/>
      <c r="C4" s="93">
        <v>1</v>
      </c>
      <c r="E4" s="20"/>
      <c r="F4" s="20"/>
      <c r="G4" s="20"/>
      <c r="H4" s="20"/>
      <c r="I4" s="20"/>
      <c r="J4" s="20"/>
      <c r="K4" s="20"/>
      <c r="L4" s="20"/>
      <c r="M4" s="20"/>
      <c r="N4" s="20"/>
      <c r="O4" s="20"/>
      <c r="P4" s="20"/>
    </row>
    <row r="5" spans="1:16" ht="13.2">
      <c r="E5" s="302" t="str">
        <f>IF($C$4=E6,"Active", "")</f>
        <v>Active</v>
      </c>
      <c r="F5" s="302" t="str">
        <f t="shared" ref="F5:P5" si="0">IF($C$4=F6,"Active", "")</f>
        <v/>
      </c>
      <c r="G5" s="302" t="str">
        <f t="shared" si="0"/>
        <v/>
      </c>
      <c r="H5" s="302" t="str">
        <f t="shared" si="0"/>
        <v/>
      </c>
      <c r="I5" s="302" t="str">
        <f t="shared" si="0"/>
        <v/>
      </c>
      <c r="J5" s="302" t="str">
        <f t="shared" si="0"/>
        <v/>
      </c>
      <c r="K5" s="302" t="str">
        <f t="shared" si="0"/>
        <v/>
      </c>
      <c r="L5" s="302" t="str">
        <f t="shared" si="0"/>
        <v/>
      </c>
      <c r="M5" s="302" t="str">
        <f t="shared" si="0"/>
        <v/>
      </c>
      <c r="N5" s="302" t="str">
        <f t="shared" si="0"/>
        <v/>
      </c>
      <c r="O5" s="302" t="str">
        <f t="shared" si="0"/>
        <v/>
      </c>
      <c r="P5" s="302" t="str">
        <f t="shared" si="0"/>
        <v/>
      </c>
    </row>
    <row r="6" spans="1:16" ht="12">
      <c r="A6" s="91" t="s">
        <v>8</v>
      </c>
      <c r="B6" s="87"/>
      <c r="C6" s="101" t="s">
        <v>77</v>
      </c>
      <c r="D6" s="87"/>
      <c r="E6" s="238">
        <v>1</v>
      </c>
      <c r="F6" s="102">
        <v>2</v>
      </c>
      <c r="G6" s="102">
        <v>3</v>
      </c>
      <c r="H6" s="102">
        <v>4</v>
      </c>
      <c r="I6" s="102">
        <v>5</v>
      </c>
      <c r="J6" s="102">
        <v>6</v>
      </c>
      <c r="K6" s="102">
        <v>7</v>
      </c>
      <c r="L6" s="102">
        <v>8</v>
      </c>
      <c r="M6" s="102">
        <v>9</v>
      </c>
      <c r="N6" s="102">
        <v>10</v>
      </c>
      <c r="O6" s="102">
        <v>11</v>
      </c>
      <c r="P6" s="102">
        <v>12</v>
      </c>
    </row>
    <row r="7" spans="1:16">
      <c r="A7" t="s">
        <v>79</v>
      </c>
      <c r="C7" s="97">
        <f t="shared" ref="C7:C16" si="1">INDEX(E7:P7,$C$4)</f>
        <v>3.5000000000000003E-2</v>
      </c>
      <c r="E7" s="99">
        <v>3.5000000000000003E-2</v>
      </c>
      <c r="F7" s="99"/>
      <c r="G7" s="99"/>
      <c r="H7" s="99"/>
      <c r="I7" s="99"/>
      <c r="J7" s="99"/>
      <c r="K7" s="99"/>
      <c r="L7" s="99"/>
      <c r="M7" s="99"/>
      <c r="N7" s="99"/>
      <c r="O7" s="99"/>
      <c r="P7" s="99"/>
    </row>
    <row r="8" spans="1:16" s="19" customFormat="1">
      <c r="A8" s="19" t="s">
        <v>135</v>
      </c>
      <c r="C8" s="97">
        <f t="shared" si="1"/>
        <v>7.0000000000000007E-2</v>
      </c>
      <c r="E8" s="99">
        <v>7.0000000000000007E-2</v>
      </c>
      <c r="F8" s="99"/>
      <c r="G8" s="99"/>
      <c r="H8" s="99"/>
      <c r="I8" s="99"/>
      <c r="J8" s="99"/>
      <c r="K8" s="99"/>
      <c r="L8" s="99"/>
      <c r="M8" s="99"/>
      <c r="N8" s="99"/>
      <c r="O8" s="99"/>
      <c r="P8" s="99"/>
    </row>
    <row r="9" spans="1:16">
      <c r="A9" t="s">
        <v>80</v>
      </c>
      <c r="C9" s="97" t="str">
        <f t="shared" si="1"/>
        <v>Standard</v>
      </c>
      <c r="E9" s="106" t="s">
        <v>116</v>
      </c>
      <c r="F9" s="106"/>
      <c r="G9" s="106"/>
      <c r="H9" s="106"/>
      <c r="I9" s="106"/>
      <c r="J9" s="106"/>
      <c r="K9" s="106"/>
      <c r="L9" s="106"/>
      <c r="M9" s="106"/>
      <c r="N9" s="106"/>
      <c r="O9" s="106"/>
      <c r="P9" s="106"/>
    </row>
    <row r="10" spans="1:16">
      <c r="A10" s="95" t="s">
        <v>50</v>
      </c>
      <c r="C10" s="111">
        <f t="shared" si="1"/>
        <v>10</v>
      </c>
      <c r="E10" s="100">
        <v>10</v>
      </c>
      <c r="F10" s="303"/>
      <c r="G10" s="292"/>
      <c r="H10" s="163"/>
      <c r="I10" s="163"/>
      <c r="J10" s="163"/>
      <c r="K10" s="163"/>
      <c r="L10" s="163"/>
      <c r="M10" s="163"/>
      <c r="N10" s="163"/>
      <c r="O10" s="163"/>
      <c r="P10" s="163"/>
    </row>
    <row r="11" spans="1:16">
      <c r="A11" s="92" t="s">
        <v>52</v>
      </c>
      <c r="C11" s="97" t="str">
        <f t="shared" si="1"/>
        <v>No</v>
      </c>
      <c r="E11" s="100" t="s">
        <v>21</v>
      </c>
      <c r="F11" s="106"/>
      <c r="G11" s="292"/>
      <c r="H11" s="163"/>
      <c r="I11" s="163"/>
      <c r="J11" s="106"/>
      <c r="K11" s="163"/>
      <c r="L11" s="163"/>
      <c r="M11" s="163"/>
      <c r="N11" s="163"/>
      <c r="O11" s="163"/>
      <c r="P11" s="163"/>
    </row>
    <row r="12" spans="1:16" s="19" customFormat="1">
      <c r="A12" s="92" t="s">
        <v>94</v>
      </c>
      <c r="C12" s="97" t="str">
        <f t="shared" si="1"/>
        <v>Yes</v>
      </c>
      <c r="E12" s="106" t="s">
        <v>95</v>
      </c>
      <c r="F12" s="106"/>
      <c r="G12" s="106"/>
      <c r="H12" s="106"/>
      <c r="I12" s="106"/>
      <c r="J12" s="106"/>
      <c r="K12" s="106"/>
      <c r="L12" s="106"/>
      <c r="M12" s="106"/>
      <c r="N12" s="106"/>
      <c r="O12" s="106"/>
      <c r="P12" s="106"/>
    </row>
    <row r="13" spans="1:16" s="19" customFormat="1">
      <c r="A13" s="92" t="s">
        <v>198</v>
      </c>
      <c r="C13" s="97">
        <f t="shared" si="1"/>
        <v>0.4</v>
      </c>
      <c r="E13" s="254">
        <v>0.4</v>
      </c>
      <c r="F13" s="254"/>
      <c r="G13" s="254"/>
      <c r="H13" s="254"/>
      <c r="I13" s="254"/>
      <c r="J13" s="254"/>
      <c r="K13" s="254"/>
      <c r="L13" s="254"/>
      <c r="M13" s="254"/>
      <c r="N13" s="254"/>
      <c r="O13" s="254"/>
      <c r="P13" s="254"/>
    </row>
    <row r="14" spans="1:16" ht="39.75" customHeight="1">
      <c r="A14" s="96" t="s">
        <v>81</v>
      </c>
      <c r="C14" s="97" t="str">
        <f t="shared" si="1"/>
        <v>Weighted average</v>
      </c>
      <c r="E14" s="103" t="s">
        <v>106</v>
      </c>
      <c r="F14" s="103"/>
      <c r="G14" s="103"/>
      <c r="H14" s="103"/>
      <c r="I14" s="103"/>
      <c r="J14" s="103"/>
      <c r="K14" s="103"/>
      <c r="L14" s="103"/>
      <c r="M14" s="103"/>
      <c r="N14" s="103"/>
      <c r="O14" s="103"/>
      <c r="P14" s="103"/>
    </row>
    <row r="15" spans="1:16">
      <c r="A15" s="96" t="s">
        <v>82</v>
      </c>
      <c r="C15" s="97" t="str">
        <f t="shared" si="1"/>
        <v>Mix</v>
      </c>
      <c r="E15" s="100" t="s">
        <v>30</v>
      </c>
      <c r="F15" s="106"/>
      <c r="G15" s="292"/>
      <c r="H15" s="163"/>
      <c r="I15" s="163"/>
      <c r="J15" s="163"/>
      <c r="K15" s="106"/>
      <c r="L15" s="106"/>
      <c r="M15" s="106"/>
      <c r="N15" s="163"/>
      <c r="O15" s="163"/>
      <c r="P15" s="106"/>
    </row>
    <row r="16" spans="1:16">
      <c r="A16" s="96" t="s">
        <v>83</v>
      </c>
      <c r="C16" s="97" t="str">
        <f t="shared" si="1"/>
        <v>Central case</v>
      </c>
      <c r="E16" s="100" t="s">
        <v>22</v>
      </c>
      <c r="F16" s="106"/>
      <c r="G16" s="292"/>
      <c r="H16" s="163"/>
      <c r="I16" s="163"/>
      <c r="J16" s="163"/>
      <c r="K16" s="106"/>
      <c r="L16" s="106"/>
      <c r="M16" s="163"/>
      <c r="N16" s="106"/>
      <c r="O16" s="163"/>
      <c r="P16" s="106"/>
    </row>
    <row r="17" spans="3:16">
      <c r="C17" s="90"/>
      <c r="E17" s="100"/>
      <c r="F17" s="292"/>
      <c r="G17" s="292"/>
      <c r="H17" s="89"/>
      <c r="I17" s="89"/>
      <c r="J17" s="89"/>
      <c r="K17" s="89"/>
      <c r="L17" s="89"/>
      <c r="M17" s="89"/>
      <c r="N17" s="89"/>
      <c r="O17" s="89"/>
      <c r="P17" s="89"/>
    </row>
    <row r="18" spans="3:16">
      <c r="C18" s="90"/>
      <c r="E18" s="100"/>
      <c r="F18" s="292"/>
      <c r="G18" s="292"/>
      <c r="H18" s="89"/>
      <c r="I18" s="89"/>
      <c r="J18" s="89"/>
      <c r="K18" s="89"/>
      <c r="L18" s="89"/>
      <c r="M18" s="89"/>
      <c r="N18" s="89"/>
      <c r="O18" s="89"/>
      <c r="P18" s="89"/>
    </row>
    <row r="19" spans="3:16">
      <c r="C19" s="90"/>
      <c r="E19" s="100"/>
      <c r="F19" s="292"/>
      <c r="G19" s="292"/>
      <c r="H19" s="89"/>
      <c r="I19" s="89"/>
      <c r="J19" s="89"/>
      <c r="K19" s="89"/>
      <c r="L19" s="89"/>
      <c r="M19" s="89"/>
      <c r="N19" s="89"/>
      <c r="O19" s="89"/>
      <c r="P19" s="89"/>
    </row>
    <row r="20" spans="3:16">
      <c r="C20" s="90"/>
      <c r="E20" s="100"/>
      <c r="F20" s="292"/>
      <c r="G20" s="292"/>
      <c r="H20" s="89"/>
      <c r="I20" s="89"/>
      <c r="J20" s="89"/>
      <c r="K20" s="89"/>
      <c r="L20" s="89"/>
      <c r="M20" s="89"/>
      <c r="N20" s="89"/>
      <c r="O20" s="89"/>
      <c r="P20" s="89"/>
    </row>
    <row r="21" spans="3:16">
      <c r="C21" s="90"/>
      <c r="E21" s="100"/>
      <c r="F21" s="292"/>
      <c r="G21" s="292"/>
      <c r="H21" s="89"/>
      <c r="I21" s="89"/>
      <c r="J21" s="89"/>
      <c r="K21" s="89"/>
      <c r="L21" s="89"/>
      <c r="M21" s="89"/>
      <c r="N21" s="89"/>
      <c r="O21" s="89"/>
      <c r="P21" s="89"/>
    </row>
    <row r="22" spans="3:16">
      <c r="C22" s="90"/>
      <c r="E22" s="100"/>
      <c r="F22" s="292"/>
      <c r="G22" s="292"/>
      <c r="H22" s="89"/>
      <c r="I22" s="89"/>
      <c r="J22" s="89"/>
      <c r="K22" s="89"/>
      <c r="L22" s="89"/>
      <c r="M22" s="89"/>
      <c r="N22" s="89"/>
      <c r="O22" s="89"/>
      <c r="P22" s="89"/>
    </row>
    <row r="23" spans="3:16">
      <c r="C23" s="90"/>
      <c r="E23" s="100"/>
      <c r="F23" s="292"/>
      <c r="G23" s="292"/>
      <c r="H23" s="89"/>
      <c r="I23" s="89"/>
      <c r="J23" s="89"/>
      <c r="K23" s="89"/>
      <c r="L23" s="89"/>
      <c r="M23" s="89"/>
      <c r="N23" s="89"/>
      <c r="O23" s="89"/>
      <c r="P23" s="89"/>
    </row>
    <row r="24" spans="3:16">
      <c r="C24" s="90"/>
      <c r="E24" s="100"/>
      <c r="F24" s="292"/>
      <c r="G24" s="292"/>
      <c r="H24" s="89"/>
      <c r="I24" s="89"/>
      <c r="J24" s="89"/>
      <c r="K24" s="89"/>
      <c r="L24" s="89"/>
      <c r="M24" s="89"/>
      <c r="N24" s="89"/>
      <c r="O24" s="89"/>
      <c r="P24" s="89"/>
    </row>
    <row r="25" spans="3:16">
      <c r="C25" s="90"/>
      <c r="E25" s="100"/>
      <c r="F25" s="292"/>
      <c r="G25" s="292"/>
      <c r="H25" s="89"/>
      <c r="I25" s="89"/>
      <c r="J25" s="89"/>
      <c r="K25" s="89"/>
      <c r="L25" s="89"/>
      <c r="M25" s="89"/>
      <c r="N25" s="89"/>
      <c r="O25" s="89"/>
      <c r="P25" s="89"/>
    </row>
    <row r="26" spans="3:16">
      <c r="C26" s="90"/>
      <c r="E26" s="100"/>
      <c r="F26" s="292"/>
      <c r="G26" s="292"/>
      <c r="H26" s="89"/>
      <c r="I26" s="89"/>
      <c r="J26" s="89"/>
      <c r="K26" s="89"/>
      <c r="L26" s="89"/>
      <c r="M26" s="89"/>
      <c r="N26" s="89"/>
      <c r="O26" s="89"/>
      <c r="P26" s="89"/>
    </row>
    <row r="27" spans="3:16">
      <c r="C27" s="90"/>
      <c r="E27" s="100"/>
      <c r="F27" s="292"/>
      <c r="G27" s="292"/>
      <c r="H27" s="89"/>
      <c r="I27" s="89"/>
      <c r="J27" s="89"/>
      <c r="K27" s="89"/>
      <c r="L27" s="89"/>
      <c r="M27" s="89"/>
      <c r="N27" s="89"/>
      <c r="O27" s="89"/>
      <c r="P27" s="89"/>
    </row>
    <row r="28" spans="3:16">
      <c r="C28" s="90"/>
      <c r="E28" s="100"/>
      <c r="F28" s="292"/>
      <c r="G28" s="292"/>
      <c r="H28" s="89"/>
      <c r="I28" s="89"/>
      <c r="J28" s="89"/>
      <c r="K28" s="89"/>
      <c r="L28" s="89"/>
      <c r="M28" s="89"/>
      <c r="N28" s="89"/>
      <c r="O28" s="89"/>
      <c r="P28" s="89"/>
    </row>
    <row r="29" spans="3:16">
      <c r="C29" s="90"/>
      <c r="E29" s="100"/>
      <c r="F29" s="292"/>
      <c r="G29" s="292"/>
      <c r="H29" s="89"/>
      <c r="I29" s="89"/>
      <c r="J29" s="89"/>
      <c r="K29" s="89"/>
      <c r="L29" s="89"/>
      <c r="M29" s="89"/>
      <c r="N29" s="89"/>
      <c r="O29" s="89"/>
      <c r="P29" s="89"/>
    </row>
    <row r="30" spans="3:16">
      <c r="C30" s="90"/>
      <c r="E30" s="100"/>
      <c r="F30" s="292"/>
      <c r="G30" s="292"/>
      <c r="H30" s="89"/>
      <c r="I30" s="89"/>
      <c r="J30" s="89"/>
      <c r="K30" s="89"/>
      <c r="L30" s="89"/>
      <c r="M30" s="89"/>
      <c r="N30" s="89"/>
      <c r="O30" s="89"/>
      <c r="P30" s="89"/>
    </row>
    <row r="31" spans="3:16">
      <c r="C31" s="90"/>
      <c r="E31" s="100"/>
      <c r="F31" s="292"/>
      <c r="G31" s="292"/>
      <c r="H31" s="89"/>
      <c r="I31" s="89"/>
      <c r="J31" s="89"/>
      <c r="K31" s="89"/>
      <c r="L31" s="89"/>
      <c r="M31" s="89"/>
      <c r="N31" s="89"/>
      <c r="O31" s="89"/>
      <c r="P31" s="89"/>
    </row>
    <row r="32" spans="3:16">
      <c r="C32" s="90"/>
      <c r="E32" s="100"/>
      <c r="F32" s="292"/>
      <c r="G32" s="292"/>
      <c r="H32" s="89"/>
      <c r="I32" s="89"/>
      <c r="J32" s="89"/>
      <c r="K32" s="89"/>
      <c r="L32" s="89"/>
      <c r="M32" s="89"/>
      <c r="N32" s="89"/>
      <c r="O32" s="89"/>
      <c r="P32" s="89"/>
    </row>
    <row r="33" spans="3:16">
      <c r="C33" s="90"/>
      <c r="E33" s="100"/>
      <c r="F33" s="292"/>
      <c r="G33" s="292"/>
      <c r="H33" s="89"/>
      <c r="I33" s="89"/>
      <c r="J33" s="89"/>
      <c r="K33" s="89"/>
      <c r="L33" s="89"/>
      <c r="M33" s="89"/>
      <c r="N33" s="89"/>
      <c r="O33" s="89"/>
      <c r="P33" s="89"/>
    </row>
    <row r="34" spans="3:16">
      <c r="C34" s="90"/>
      <c r="E34" s="100"/>
      <c r="F34" s="292"/>
      <c r="G34" s="292"/>
      <c r="H34" s="89"/>
      <c r="I34" s="89"/>
      <c r="J34" s="89"/>
      <c r="K34" s="89"/>
      <c r="L34" s="89"/>
      <c r="M34" s="89"/>
      <c r="N34" s="89"/>
      <c r="O34" s="89"/>
      <c r="P34" s="89"/>
    </row>
    <row r="35" spans="3:16">
      <c r="C35" s="90"/>
      <c r="E35" s="100"/>
      <c r="F35" s="292"/>
      <c r="G35" s="292"/>
      <c r="H35" s="89"/>
      <c r="I35" s="89"/>
      <c r="J35" s="89"/>
      <c r="K35" s="89"/>
      <c r="L35" s="89"/>
      <c r="M35" s="89"/>
      <c r="N35" s="89"/>
      <c r="O35" s="89"/>
      <c r="P35" s="89"/>
    </row>
    <row r="36" spans="3:16">
      <c r="C36" s="90"/>
      <c r="E36" s="100"/>
      <c r="F36" s="292"/>
      <c r="G36" s="292"/>
      <c r="H36" s="89"/>
      <c r="I36" s="89"/>
      <c r="J36" s="89"/>
      <c r="K36" s="89"/>
      <c r="L36" s="89"/>
      <c r="M36" s="89"/>
      <c r="N36" s="89"/>
      <c r="O36" s="89"/>
      <c r="P36" s="89"/>
    </row>
    <row r="37" spans="3:16">
      <c r="C37" s="90"/>
      <c r="E37" s="100"/>
      <c r="F37" s="292"/>
      <c r="G37" s="292"/>
      <c r="H37" s="89"/>
      <c r="I37" s="89"/>
      <c r="J37" s="89"/>
      <c r="K37" s="89"/>
      <c r="L37" s="89"/>
      <c r="M37" s="89"/>
      <c r="N37" s="89"/>
      <c r="O37" s="89"/>
      <c r="P37" s="89"/>
    </row>
    <row r="38" spans="3:16">
      <c r="C38" s="90"/>
      <c r="E38" s="100"/>
      <c r="F38" s="292"/>
      <c r="G38" s="292"/>
      <c r="H38" s="89"/>
      <c r="I38" s="89"/>
      <c r="J38" s="89"/>
      <c r="K38" s="89"/>
      <c r="L38" s="89"/>
      <c r="M38" s="89"/>
      <c r="N38" s="89"/>
      <c r="O38" s="89"/>
      <c r="P38" s="89"/>
    </row>
    <row r="39" spans="3:16">
      <c r="C39" s="90"/>
      <c r="E39" s="100"/>
      <c r="F39" s="292"/>
      <c r="G39" s="292"/>
      <c r="H39" s="89"/>
      <c r="I39" s="89"/>
      <c r="J39" s="89"/>
      <c r="K39" s="89"/>
      <c r="L39" s="89"/>
      <c r="M39" s="89"/>
      <c r="N39" s="89"/>
      <c r="O39" s="89"/>
      <c r="P39" s="89"/>
    </row>
  </sheetData>
  <mergeCells count="1">
    <mergeCell ref="A1:C1"/>
  </mergeCells>
  <dataValidations count="1">
    <dataValidation type="list" allowBlank="1" showInputMessage="1" showErrorMessage="1" sqref="C4">
      <formula1>$E$6:$P$6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
  <sheetViews>
    <sheetView workbookViewId="0">
      <selection activeCell="D43" sqref="D43"/>
    </sheetView>
  </sheetViews>
  <sheetFormatPr defaultRowHeight="11.4"/>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33"/>
  <sheetViews>
    <sheetView showGridLines="0" workbookViewId="0">
      <selection activeCell="C2" sqref="C2"/>
    </sheetView>
  </sheetViews>
  <sheetFormatPr defaultRowHeight="11.4"/>
  <cols>
    <col min="1" max="1" width="22.25" style="19" customWidth="1"/>
    <col min="2" max="2" width="15.25" style="19" customWidth="1"/>
    <col min="3" max="3" width="70" customWidth="1"/>
    <col min="4" max="4" width="10" customWidth="1"/>
    <col min="5" max="5" width="3" style="19" customWidth="1"/>
    <col min="6" max="7" width="25.375" customWidth="1"/>
    <col min="8" max="8" width="4.875" style="19" customWidth="1"/>
    <col min="9" max="11" width="10.75" customWidth="1"/>
  </cols>
  <sheetData>
    <row r="1" spans="1:8" ht="31.5" customHeight="1">
      <c r="A1" s="233" t="s">
        <v>86</v>
      </c>
    </row>
    <row r="2" spans="1:8" s="19" customFormat="1" ht="11.25" customHeight="1">
      <c r="A2" s="164" t="s">
        <v>220</v>
      </c>
      <c r="C2" s="27"/>
    </row>
    <row r="3" spans="1:8" s="19" customFormat="1" ht="11.25" customHeight="1">
      <c r="A3" s="164" t="s">
        <v>242</v>
      </c>
      <c r="C3" s="27"/>
    </row>
    <row r="4" spans="1:8" s="19" customFormat="1" ht="11.25" customHeight="1">
      <c r="C4" s="151"/>
    </row>
    <row r="5" spans="1:8" s="19" customFormat="1" ht="45.75" customHeight="1">
      <c r="A5" s="123"/>
      <c r="B5" s="166" t="s">
        <v>137</v>
      </c>
      <c r="C5" s="167" t="s">
        <v>47</v>
      </c>
      <c r="D5" s="53" t="s">
        <v>44</v>
      </c>
      <c r="E5" s="56"/>
      <c r="F5" s="54" t="s">
        <v>33</v>
      </c>
      <c r="G5" s="217" t="s">
        <v>36</v>
      </c>
      <c r="H5" s="227"/>
    </row>
    <row r="6" spans="1:8" s="19" customFormat="1" ht="15.9" customHeight="1">
      <c r="A6" s="335" t="s">
        <v>209</v>
      </c>
      <c r="B6" s="337" t="s">
        <v>35</v>
      </c>
      <c r="C6" s="168" t="s">
        <v>217</v>
      </c>
      <c r="D6" s="169">
        <v>1</v>
      </c>
      <c r="E6" s="170"/>
      <c r="F6" s="171">
        <v>630000</v>
      </c>
      <c r="G6" s="218">
        <v>80000</v>
      </c>
      <c r="H6" s="228"/>
    </row>
    <row r="7" spans="1:8" s="19" customFormat="1" ht="15.9" customHeight="1">
      <c r="A7" s="336"/>
      <c r="B7" s="338"/>
      <c r="C7" s="173" t="s">
        <v>151</v>
      </c>
      <c r="D7" s="174">
        <v>1</v>
      </c>
      <c r="E7" s="175"/>
      <c r="F7" s="176">
        <v>80000</v>
      </c>
      <c r="G7" s="219">
        <v>0</v>
      </c>
      <c r="H7" s="228"/>
    </row>
    <row r="8" spans="1:8" s="19" customFormat="1" ht="15.9" customHeight="1">
      <c r="A8" s="336"/>
      <c r="B8" s="338"/>
      <c r="C8" s="177" t="s">
        <v>126</v>
      </c>
      <c r="D8" s="178">
        <v>1</v>
      </c>
      <c r="E8" s="179"/>
      <c r="F8" s="180">
        <v>310000</v>
      </c>
      <c r="G8" s="220">
        <v>60000</v>
      </c>
      <c r="H8" s="228"/>
    </row>
    <row r="9" spans="1:8" s="19" customFormat="1" ht="15.9" customHeight="1">
      <c r="A9" s="336"/>
      <c r="B9" s="339"/>
      <c r="C9" s="198" t="s">
        <v>150</v>
      </c>
      <c r="D9" s="199">
        <v>1</v>
      </c>
      <c r="E9" s="200"/>
      <c r="F9" s="201">
        <v>200000</v>
      </c>
      <c r="G9" s="221">
        <f>24000</f>
        <v>24000</v>
      </c>
      <c r="H9" s="228"/>
    </row>
    <row r="10" spans="1:8" s="19" customFormat="1" ht="15.9" customHeight="1">
      <c r="A10" s="336"/>
      <c r="B10" s="337" t="s">
        <v>40</v>
      </c>
      <c r="C10" s="207" t="s">
        <v>149</v>
      </c>
      <c r="D10" s="208">
        <v>4</v>
      </c>
      <c r="E10" s="209"/>
      <c r="F10" s="210">
        <v>80000</v>
      </c>
      <c r="G10" s="267">
        <v>10000</v>
      </c>
      <c r="H10" s="229"/>
    </row>
    <row r="11" spans="1:8" s="19" customFormat="1" ht="15.9" customHeight="1">
      <c r="A11" s="336"/>
      <c r="B11" s="338"/>
      <c r="C11" s="177" t="s">
        <v>152</v>
      </c>
      <c r="D11" s="178">
        <v>4</v>
      </c>
      <c r="E11" s="179"/>
      <c r="F11" s="180">
        <v>200000</v>
      </c>
      <c r="G11" s="271">
        <v>40000</v>
      </c>
      <c r="H11" s="229"/>
    </row>
    <row r="12" spans="1:8" s="19" customFormat="1" ht="15.9" customHeight="1">
      <c r="A12" s="336"/>
      <c r="B12" s="338"/>
      <c r="C12" s="173" t="s">
        <v>153</v>
      </c>
      <c r="D12" s="174">
        <v>4</v>
      </c>
      <c r="E12" s="175"/>
      <c r="F12" s="176">
        <v>125000</v>
      </c>
      <c r="G12" s="219">
        <v>40000</v>
      </c>
      <c r="H12" s="228"/>
    </row>
    <row r="13" spans="1:8" s="19" customFormat="1" ht="15.9" customHeight="1">
      <c r="A13" s="336"/>
      <c r="B13" s="338"/>
      <c r="C13" s="173" t="s">
        <v>154</v>
      </c>
      <c r="D13" s="174">
        <v>4</v>
      </c>
      <c r="E13" s="175"/>
      <c r="F13" s="176">
        <v>50000</v>
      </c>
      <c r="G13" s="219">
        <v>20000</v>
      </c>
      <c r="H13" s="228"/>
    </row>
    <row r="14" spans="1:8" s="19" customFormat="1" ht="15.9" customHeight="1">
      <c r="A14" s="336"/>
      <c r="B14" s="339"/>
      <c r="C14" s="173" t="s">
        <v>148</v>
      </c>
      <c r="D14" s="202">
        <v>4</v>
      </c>
      <c r="E14" s="179"/>
      <c r="F14" s="204">
        <v>75000</v>
      </c>
      <c r="G14" s="222">
        <v>15000</v>
      </c>
      <c r="H14" s="229"/>
    </row>
    <row r="15" spans="1:8" s="19" customFormat="1" ht="15.9" customHeight="1">
      <c r="A15" s="336"/>
      <c r="B15" s="337" t="s">
        <v>41</v>
      </c>
      <c r="C15" s="207" t="s">
        <v>149</v>
      </c>
      <c r="D15" s="169">
        <v>15</v>
      </c>
      <c r="E15" s="170"/>
      <c r="F15" s="211">
        <v>50000</v>
      </c>
      <c r="G15" s="267">
        <v>5000</v>
      </c>
      <c r="H15" s="229"/>
    </row>
    <row r="16" spans="1:8" s="19" customFormat="1" ht="15.9" customHeight="1">
      <c r="A16" s="336"/>
      <c r="B16" s="338"/>
      <c r="C16" s="177" t="s">
        <v>152</v>
      </c>
      <c r="D16" s="174">
        <v>15</v>
      </c>
      <c r="E16" s="175"/>
      <c r="F16" s="270">
        <v>120000</v>
      </c>
      <c r="G16" s="271">
        <v>25000</v>
      </c>
      <c r="H16" s="229"/>
    </row>
    <row r="17" spans="1:8" s="19" customFormat="1" ht="15.9" customHeight="1">
      <c r="A17" s="336"/>
      <c r="B17" s="338"/>
      <c r="C17" s="173" t="s">
        <v>153</v>
      </c>
      <c r="D17" s="174">
        <v>15</v>
      </c>
      <c r="E17" s="175"/>
      <c r="F17" s="176">
        <v>70000</v>
      </c>
      <c r="G17" s="272">
        <v>25000</v>
      </c>
      <c r="H17" s="228"/>
    </row>
    <row r="18" spans="1:8" s="19" customFormat="1" ht="15.9" customHeight="1">
      <c r="A18" s="336"/>
      <c r="B18" s="338"/>
      <c r="C18" s="173" t="s">
        <v>154</v>
      </c>
      <c r="D18" s="202">
        <v>15</v>
      </c>
      <c r="E18" s="203"/>
      <c r="F18" s="273">
        <v>25000</v>
      </c>
      <c r="G18" s="274">
        <v>12500</v>
      </c>
      <c r="H18" s="229"/>
    </row>
    <row r="19" spans="1:8" s="19" customFormat="1" ht="15.9" customHeight="1">
      <c r="A19" s="336"/>
      <c r="B19" s="338"/>
      <c r="C19" s="173" t="s">
        <v>148</v>
      </c>
      <c r="D19" s="205">
        <v>15</v>
      </c>
      <c r="E19" s="206"/>
      <c r="F19" s="268">
        <v>45000</v>
      </c>
      <c r="G19" s="269">
        <v>7500</v>
      </c>
      <c r="H19" s="229"/>
    </row>
    <row r="20" spans="1:8" s="19" customFormat="1" ht="15.9" customHeight="1">
      <c r="A20" s="336"/>
      <c r="B20" s="337" t="s">
        <v>42</v>
      </c>
      <c r="C20" s="207" t="s">
        <v>149</v>
      </c>
      <c r="D20" s="169">
        <v>16</v>
      </c>
      <c r="E20" s="170"/>
      <c r="F20" s="211">
        <v>35000</v>
      </c>
      <c r="G20" s="267">
        <v>5000</v>
      </c>
      <c r="H20" s="229"/>
    </row>
    <row r="21" spans="1:8" s="19" customFormat="1" ht="15.9" customHeight="1">
      <c r="A21" s="336"/>
      <c r="B21" s="338"/>
      <c r="C21" s="177" t="s">
        <v>152</v>
      </c>
      <c r="D21" s="174">
        <v>16</v>
      </c>
      <c r="E21" s="175"/>
      <c r="F21" s="270">
        <v>65000</v>
      </c>
      <c r="G21" s="271">
        <v>15000</v>
      </c>
      <c r="H21" s="229"/>
    </row>
    <row r="22" spans="1:8" s="19" customFormat="1" ht="15.9" customHeight="1">
      <c r="A22" s="336"/>
      <c r="B22" s="338"/>
      <c r="C22" s="173" t="s">
        <v>153</v>
      </c>
      <c r="D22" s="174">
        <v>16</v>
      </c>
      <c r="E22" s="175"/>
      <c r="F22" s="176">
        <v>40000</v>
      </c>
      <c r="G22" s="272">
        <v>15000</v>
      </c>
      <c r="H22" s="228"/>
    </row>
    <row r="23" spans="1:8" s="19" customFormat="1" ht="15.9" customHeight="1">
      <c r="A23" s="336"/>
      <c r="B23" s="338"/>
      <c r="C23" s="173" t="s">
        <v>154</v>
      </c>
      <c r="D23" s="202">
        <v>16</v>
      </c>
      <c r="E23" s="203"/>
      <c r="F23" s="273">
        <v>10000</v>
      </c>
      <c r="G23" s="274">
        <v>10000</v>
      </c>
      <c r="H23" s="229"/>
    </row>
    <row r="24" spans="1:8" s="19" customFormat="1" ht="15.9" customHeight="1">
      <c r="A24" s="336"/>
      <c r="B24" s="338"/>
      <c r="C24" s="173" t="s">
        <v>148</v>
      </c>
      <c r="D24" s="205">
        <v>16</v>
      </c>
      <c r="E24" s="206"/>
      <c r="F24" s="268">
        <v>20000</v>
      </c>
      <c r="G24" s="269">
        <v>5000</v>
      </c>
      <c r="H24" s="229"/>
    </row>
    <row r="25" spans="1:8" s="19" customFormat="1" ht="15.9" customHeight="1">
      <c r="A25" s="336"/>
      <c r="B25" s="337" t="s">
        <v>124</v>
      </c>
      <c r="C25" s="207" t="s">
        <v>149</v>
      </c>
      <c r="D25" s="169">
        <v>33</v>
      </c>
      <c r="E25" s="170"/>
      <c r="F25" s="211">
        <v>10000</v>
      </c>
      <c r="G25" s="267">
        <v>0</v>
      </c>
      <c r="H25" s="229"/>
    </row>
    <row r="26" spans="1:8" s="19" customFormat="1" ht="15.9" customHeight="1">
      <c r="A26" s="336"/>
      <c r="B26" s="338"/>
      <c r="C26" s="177" t="s">
        <v>152</v>
      </c>
      <c r="D26" s="174">
        <v>33</v>
      </c>
      <c r="E26" s="175"/>
      <c r="F26" s="270">
        <v>30000</v>
      </c>
      <c r="G26" s="271">
        <v>10000</v>
      </c>
      <c r="H26" s="229"/>
    </row>
    <row r="27" spans="1:8" s="19" customFormat="1" ht="15.9" customHeight="1">
      <c r="A27" s="336"/>
      <c r="B27" s="338"/>
      <c r="C27" s="173" t="s">
        <v>153</v>
      </c>
      <c r="D27" s="174">
        <v>33</v>
      </c>
      <c r="E27" s="175"/>
      <c r="F27" s="176">
        <v>20000</v>
      </c>
      <c r="G27" s="219">
        <v>10000</v>
      </c>
      <c r="H27" s="228"/>
    </row>
    <row r="28" spans="1:8" s="19" customFormat="1" ht="15.9" customHeight="1">
      <c r="A28" s="336"/>
      <c r="B28" s="338"/>
      <c r="C28" s="173" t="s">
        <v>154</v>
      </c>
      <c r="D28" s="202">
        <v>33</v>
      </c>
      <c r="E28" s="203"/>
      <c r="F28" s="204">
        <v>3000</v>
      </c>
      <c r="G28" s="223">
        <v>5000</v>
      </c>
      <c r="H28" s="228"/>
    </row>
    <row r="29" spans="1:8" s="19" customFormat="1" ht="15.9" customHeight="1">
      <c r="A29" s="336"/>
      <c r="B29" s="338"/>
      <c r="C29" s="173" t="s">
        <v>148</v>
      </c>
      <c r="D29" s="205">
        <v>33</v>
      </c>
      <c r="E29" s="206"/>
      <c r="F29" s="181">
        <v>7000</v>
      </c>
      <c r="G29" s="224">
        <v>2000</v>
      </c>
      <c r="H29" s="228"/>
    </row>
    <row r="30" spans="1:8" s="19" customFormat="1" ht="15.9" customHeight="1">
      <c r="A30" s="182"/>
      <c r="B30" s="150"/>
      <c r="C30" s="183"/>
      <c r="D30" s="184"/>
      <c r="E30" s="185"/>
      <c r="F30" s="186"/>
      <c r="G30" s="186"/>
      <c r="H30" s="228"/>
    </row>
    <row r="31" spans="1:8" s="19" customFormat="1" ht="15.9" customHeight="1">
      <c r="A31" s="336" t="s">
        <v>210</v>
      </c>
      <c r="B31" s="338" t="s">
        <v>35</v>
      </c>
      <c r="C31" s="168" t="s">
        <v>217</v>
      </c>
      <c r="D31" s="178">
        <v>1</v>
      </c>
      <c r="E31" s="172"/>
      <c r="F31" s="180">
        <v>630000</v>
      </c>
      <c r="G31" s="220">
        <v>80000</v>
      </c>
      <c r="H31" s="228"/>
    </row>
    <row r="32" spans="1:8" s="19" customFormat="1" ht="15.9" customHeight="1">
      <c r="A32" s="336"/>
      <c r="B32" s="338"/>
      <c r="C32" s="213" t="s">
        <v>155</v>
      </c>
      <c r="D32" s="214">
        <v>1</v>
      </c>
      <c r="E32" s="170"/>
      <c r="F32" s="215">
        <v>80000</v>
      </c>
      <c r="G32" s="225">
        <v>0</v>
      </c>
      <c r="H32" s="228"/>
    </row>
    <row r="33" spans="1:8" s="19" customFormat="1" ht="15.9" customHeight="1">
      <c r="A33" s="336"/>
      <c r="B33" s="338"/>
      <c r="C33" s="173" t="s">
        <v>126</v>
      </c>
      <c r="D33" s="174">
        <v>1</v>
      </c>
      <c r="E33" s="175"/>
      <c r="F33" s="176">
        <v>310000</v>
      </c>
      <c r="G33" s="219">
        <f>60000</f>
        <v>60000</v>
      </c>
      <c r="H33" s="228"/>
    </row>
    <row r="34" spans="1:8" s="19" customFormat="1" ht="15.9" customHeight="1">
      <c r="A34" s="336"/>
      <c r="B34" s="338"/>
      <c r="C34" s="173" t="s">
        <v>150</v>
      </c>
      <c r="D34" s="174">
        <v>1</v>
      </c>
      <c r="E34" s="175"/>
      <c r="F34" s="176">
        <v>200000</v>
      </c>
      <c r="G34" s="219">
        <f>24000</f>
        <v>24000</v>
      </c>
      <c r="H34" s="228"/>
    </row>
    <row r="35" spans="1:8" s="19" customFormat="1" ht="15.9" customHeight="1">
      <c r="A35" s="336"/>
      <c r="B35" s="338"/>
      <c r="C35" s="173" t="s">
        <v>156</v>
      </c>
      <c r="D35" s="174">
        <v>1</v>
      </c>
      <c r="E35" s="175"/>
      <c r="F35" s="176">
        <v>0</v>
      </c>
      <c r="G35" s="219">
        <v>0</v>
      </c>
      <c r="H35" s="228"/>
    </row>
    <row r="36" spans="1:8" s="19" customFormat="1" ht="27.75" customHeight="1">
      <c r="A36" s="336"/>
      <c r="B36" s="339"/>
      <c r="C36" s="212" t="s">
        <v>157</v>
      </c>
      <c r="D36" s="199">
        <v>1</v>
      </c>
      <c r="E36" s="200"/>
      <c r="F36" s="201">
        <v>0</v>
      </c>
      <c r="G36" s="221">
        <v>0</v>
      </c>
      <c r="H36" s="228"/>
    </row>
    <row r="37" spans="1:8" s="19" customFormat="1" ht="15.9" customHeight="1">
      <c r="A37" s="336"/>
      <c r="B37" s="337" t="s">
        <v>40</v>
      </c>
      <c r="C37" s="207" t="s">
        <v>219</v>
      </c>
      <c r="D37" s="291">
        <v>4</v>
      </c>
      <c r="E37" s="170"/>
      <c r="F37" s="211">
        <v>150000</v>
      </c>
      <c r="G37" s="267">
        <v>0</v>
      </c>
      <c r="H37" s="229"/>
    </row>
    <row r="38" spans="1:8" s="19" customFormat="1" ht="15.9" customHeight="1">
      <c r="A38" s="336"/>
      <c r="B38" s="338"/>
      <c r="C38" s="177" t="s">
        <v>152</v>
      </c>
      <c r="D38" s="275">
        <v>4</v>
      </c>
      <c r="E38" s="276"/>
      <c r="F38" s="289">
        <v>200000</v>
      </c>
      <c r="G38" s="290">
        <v>40000</v>
      </c>
      <c r="H38" s="229"/>
    </row>
    <row r="39" spans="1:8" s="19" customFormat="1" ht="15.9" customHeight="1">
      <c r="A39" s="336"/>
      <c r="B39" s="338"/>
      <c r="C39" s="173" t="s">
        <v>153</v>
      </c>
      <c r="D39" s="174">
        <v>4</v>
      </c>
      <c r="E39" s="175"/>
      <c r="F39" s="278">
        <v>125000</v>
      </c>
      <c r="G39" s="283">
        <v>40000</v>
      </c>
      <c r="H39" s="228"/>
    </row>
    <row r="40" spans="1:8" s="19" customFormat="1" ht="15.9" customHeight="1">
      <c r="A40" s="336"/>
      <c r="B40" s="338"/>
      <c r="C40" s="173" t="s">
        <v>154</v>
      </c>
      <c r="D40" s="174">
        <v>4</v>
      </c>
      <c r="E40" s="175"/>
      <c r="F40" s="278">
        <v>50000</v>
      </c>
      <c r="G40" s="283">
        <v>20000</v>
      </c>
      <c r="H40" s="228"/>
    </row>
    <row r="41" spans="1:8" s="19" customFormat="1" ht="15.9" customHeight="1">
      <c r="A41" s="336"/>
      <c r="B41" s="338"/>
      <c r="C41" s="173" t="s">
        <v>148</v>
      </c>
      <c r="D41" s="202">
        <v>4</v>
      </c>
      <c r="E41" s="179"/>
      <c r="F41" s="279">
        <v>75000</v>
      </c>
      <c r="G41" s="284">
        <v>15000</v>
      </c>
      <c r="H41" s="229"/>
    </row>
    <row r="42" spans="1:8" s="19" customFormat="1" ht="15.9" customHeight="1">
      <c r="A42" s="336"/>
      <c r="B42" s="337" t="s">
        <v>41</v>
      </c>
      <c r="C42" s="207" t="s">
        <v>219</v>
      </c>
      <c r="D42" s="208">
        <v>15</v>
      </c>
      <c r="E42" s="170"/>
      <c r="F42" s="280">
        <v>70000</v>
      </c>
      <c r="G42" s="285">
        <v>0</v>
      </c>
      <c r="H42" s="229"/>
    </row>
    <row r="43" spans="1:8" s="19" customFormat="1" ht="15.9" customHeight="1">
      <c r="A43" s="336"/>
      <c r="B43" s="338"/>
      <c r="C43" s="277" t="s">
        <v>152</v>
      </c>
      <c r="D43" s="275">
        <v>15</v>
      </c>
      <c r="E43" s="276"/>
      <c r="F43" s="289">
        <v>120000</v>
      </c>
      <c r="G43" s="290">
        <v>25000</v>
      </c>
      <c r="H43" s="229"/>
    </row>
    <row r="44" spans="1:8" s="19" customFormat="1" ht="15.9" customHeight="1">
      <c r="A44" s="336"/>
      <c r="B44" s="338"/>
      <c r="C44" s="173" t="s">
        <v>153</v>
      </c>
      <c r="D44" s="174">
        <v>15</v>
      </c>
      <c r="E44" s="175"/>
      <c r="F44" s="278">
        <v>70000</v>
      </c>
      <c r="G44" s="286">
        <v>25000</v>
      </c>
      <c r="H44" s="228"/>
    </row>
    <row r="45" spans="1:8" s="19" customFormat="1" ht="15.9" customHeight="1">
      <c r="A45" s="336"/>
      <c r="B45" s="338"/>
      <c r="C45" s="173" t="s">
        <v>154</v>
      </c>
      <c r="D45" s="202">
        <v>15</v>
      </c>
      <c r="E45" s="203"/>
      <c r="F45" s="281">
        <v>25000</v>
      </c>
      <c r="G45" s="287">
        <v>12500</v>
      </c>
      <c r="H45" s="229"/>
    </row>
    <row r="46" spans="1:8" s="19" customFormat="1" ht="15.9" customHeight="1">
      <c r="A46" s="336"/>
      <c r="B46" s="338"/>
      <c r="C46" s="173" t="s">
        <v>148</v>
      </c>
      <c r="D46" s="205">
        <v>15</v>
      </c>
      <c r="E46" s="206"/>
      <c r="F46" s="282">
        <v>45000</v>
      </c>
      <c r="G46" s="288">
        <v>7500</v>
      </c>
      <c r="H46" s="229"/>
    </row>
    <row r="47" spans="1:8" s="19" customFormat="1" ht="15.9" customHeight="1">
      <c r="A47" s="336"/>
      <c r="B47" s="337" t="s">
        <v>42</v>
      </c>
      <c r="C47" s="207" t="s">
        <v>219</v>
      </c>
      <c r="D47" s="291">
        <v>16</v>
      </c>
      <c r="E47" s="170"/>
      <c r="F47" s="280">
        <v>35000</v>
      </c>
      <c r="G47" s="285">
        <v>0</v>
      </c>
      <c r="H47" s="229"/>
    </row>
    <row r="48" spans="1:8" s="19" customFormat="1" ht="15.9" customHeight="1">
      <c r="A48" s="336"/>
      <c r="B48" s="338"/>
      <c r="C48" s="277" t="s">
        <v>152</v>
      </c>
      <c r="D48" s="275">
        <v>16</v>
      </c>
      <c r="E48" s="276"/>
      <c r="F48" s="289">
        <v>65000</v>
      </c>
      <c r="G48" s="290">
        <v>15000</v>
      </c>
      <c r="H48" s="229"/>
    </row>
    <row r="49" spans="1:8" s="19" customFormat="1" ht="15.9" customHeight="1">
      <c r="A49" s="336"/>
      <c r="B49" s="338"/>
      <c r="C49" s="173" t="s">
        <v>153</v>
      </c>
      <c r="D49" s="174">
        <v>16</v>
      </c>
      <c r="E49" s="175"/>
      <c r="F49" s="278">
        <v>40000</v>
      </c>
      <c r="G49" s="286">
        <v>15000</v>
      </c>
      <c r="H49" s="228"/>
    </row>
    <row r="50" spans="1:8" s="19" customFormat="1" ht="15.9" customHeight="1">
      <c r="A50" s="336"/>
      <c r="B50" s="338"/>
      <c r="C50" s="173" t="s">
        <v>154</v>
      </c>
      <c r="D50" s="202">
        <v>16</v>
      </c>
      <c r="E50" s="203"/>
      <c r="F50" s="281">
        <v>10000</v>
      </c>
      <c r="G50" s="287">
        <v>10000</v>
      </c>
      <c r="H50" s="229"/>
    </row>
    <row r="51" spans="1:8" s="19" customFormat="1" ht="15.9" customHeight="1">
      <c r="A51" s="336"/>
      <c r="B51" s="338"/>
      <c r="C51" s="173" t="s">
        <v>148</v>
      </c>
      <c r="D51" s="205">
        <v>16</v>
      </c>
      <c r="E51" s="206"/>
      <c r="F51" s="282">
        <v>20000</v>
      </c>
      <c r="G51" s="288">
        <v>5000</v>
      </c>
      <c r="H51" s="229"/>
    </row>
    <row r="52" spans="1:8" s="19" customFormat="1" ht="15.9" customHeight="1">
      <c r="A52" s="336"/>
      <c r="B52" s="337" t="s">
        <v>124</v>
      </c>
      <c r="C52" s="207" t="s">
        <v>219</v>
      </c>
      <c r="D52" s="291">
        <v>33</v>
      </c>
      <c r="E52" s="170"/>
      <c r="F52" s="280">
        <v>30000</v>
      </c>
      <c r="G52" s="285">
        <v>0</v>
      </c>
      <c r="H52" s="229"/>
    </row>
    <row r="53" spans="1:8" s="19" customFormat="1" ht="15.9" customHeight="1">
      <c r="A53" s="336"/>
      <c r="B53" s="338"/>
      <c r="C53" s="277" t="s">
        <v>152</v>
      </c>
      <c r="D53" s="275">
        <v>33</v>
      </c>
      <c r="E53" s="276"/>
      <c r="F53" s="289">
        <v>30000</v>
      </c>
      <c r="G53" s="290">
        <v>10000</v>
      </c>
      <c r="H53" s="229"/>
    </row>
    <row r="54" spans="1:8" s="19" customFormat="1" ht="15.9" customHeight="1">
      <c r="A54" s="336"/>
      <c r="B54" s="338"/>
      <c r="C54" s="173" t="s">
        <v>153</v>
      </c>
      <c r="D54" s="174">
        <v>33</v>
      </c>
      <c r="E54" s="175"/>
      <c r="F54" s="176">
        <v>20000</v>
      </c>
      <c r="G54" s="272">
        <v>10000</v>
      </c>
      <c r="H54" s="228"/>
    </row>
    <row r="55" spans="1:8" s="19" customFormat="1" ht="15.9" customHeight="1">
      <c r="A55" s="336"/>
      <c r="B55" s="338"/>
      <c r="C55" s="173" t="s">
        <v>154</v>
      </c>
      <c r="D55" s="202">
        <v>33</v>
      </c>
      <c r="E55" s="203"/>
      <c r="F55" s="204">
        <v>3000</v>
      </c>
      <c r="G55" s="223">
        <v>5000</v>
      </c>
      <c r="H55" s="228"/>
    </row>
    <row r="56" spans="1:8" s="19" customFormat="1" ht="15.9" customHeight="1">
      <c r="A56" s="340"/>
      <c r="B56" s="339"/>
      <c r="C56" s="173" t="s">
        <v>148</v>
      </c>
      <c r="D56" s="205">
        <v>33</v>
      </c>
      <c r="E56" s="206"/>
      <c r="F56" s="181">
        <v>7000</v>
      </c>
      <c r="G56" s="224">
        <v>2000</v>
      </c>
      <c r="H56" s="228"/>
    </row>
    <row r="57" spans="1:8" s="19" customFormat="1" ht="15.9" customHeight="1">
      <c r="A57" s="143"/>
      <c r="B57" s="144"/>
      <c r="C57" s="145"/>
      <c r="D57" s="146"/>
      <c r="E57" s="148"/>
      <c r="F57" s="147"/>
      <c r="G57" s="147"/>
      <c r="H57" s="228"/>
    </row>
    <row r="58" spans="1:8" s="19" customFormat="1" ht="15.9" customHeight="1">
      <c r="A58" s="335" t="s">
        <v>136</v>
      </c>
      <c r="B58" s="141" t="s">
        <v>35</v>
      </c>
      <c r="C58" s="122" t="s">
        <v>138</v>
      </c>
      <c r="D58" s="51">
        <v>1</v>
      </c>
      <c r="E58" s="57"/>
      <c r="F58" s="55">
        <v>0</v>
      </c>
      <c r="G58" s="226">
        <v>0</v>
      </c>
      <c r="H58" s="228"/>
    </row>
    <row r="59" spans="1:8" s="19" customFormat="1" ht="15.9" customHeight="1">
      <c r="A59" s="336"/>
      <c r="B59" s="141" t="s">
        <v>40</v>
      </c>
      <c r="C59" s="122" t="s">
        <v>139</v>
      </c>
      <c r="D59" s="51">
        <v>4</v>
      </c>
      <c r="E59" s="57"/>
      <c r="F59" s="55">
        <v>20000</v>
      </c>
      <c r="G59" s="226">
        <v>30000</v>
      </c>
      <c r="H59" s="228"/>
    </row>
    <row r="60" spans="1:8" ht="15.9" customHeight="1">
      <c r="A60" s="336"/>
      <c r="B60" s="141" t="s">
        <v>41</v>
      </c>
      <c r="C60" s="122" t="s">
        <v>139</v>
      </c>
      <c r="D60" s="51">
        <v>15</v>
      </c>
      <c r="E60" s="57"/>
      <c r="F60" s="55">
        <v>10000</v>
      </c>
      <c r="G60" s="226">
        <v>15000</v>
      </c>
      <c r="H60" s="228"/>
    </row>
    <row r="61" spans="1:8" ht="15.9" customHeight="1">
      <c r="A61" s="336"/>
      <c r="B61" s="141" t="s">
        <v>42</v>
      </c>
      <c r="C61" s="122" t="s">
        <v>139</v>
      </c>
      <c r="D61" s="51">
        <v>16</v>
      </c>
      <c r="E61" s="57"/>
      <c r="F61" s="55">
        <v>5000</v>
      </c>
      <c r="G61" s="226">
        <v>5000</v>
      </c>
      <c r="H61" s="228"/>
    </row>
    <row r="62" spans="1:8" s="19" customFormat="1" ht="15.9" customHeight="1">
      <c r="A62" s="340"/>
      <c r="B62" s="141" t="s">
        <v>124</v>
      </c>
      <c r="C62" s="122" t="s">
        <v>139</v>
      </c>
      <c r="D62" s="51">
        <v>33</v>
      </c>
      <c r="E62" s="57"/>
      <c r="F62" s="55">
        <v>2000</v>
      </c>
      <c r="G62" s="226">
        <v>2000</v>
      </c>
      <c r="H62" s="228"/>
    </row>
    <row r="63" spans="1:8" s="19" customFormat="1" ht="15.9" customHeight="1">
      <c r="A63" s="140"/>
      <c r="B63" s="150"/>
      <c r="C63" s="145"/>
      <c r="D63" s="146"/>
      <c r="E63" s="148"/>
      <c r="F63" s="147"/>
      <c r="G63" s="147"/>
      <c r="H63" s="228"/>
    </row>
    <row r="64" spans="1:8" ht="15.9" customHeight="1">
      <c r="A64" s="335" t="s">
        <v>230</v>
      </c>
      <c r="B64" s="141" t="s">
        <v>35</v>
      </c>
      <c r="C64" s="122" t="s">
        <v>158</v>
      </c>
      <c r="D64" s="51">
        <v>1</v>
      </c>
      <c r="E64" s="57"/>
      <c r="F64" s="55">
        <v>470000</v>
      </c>
      <c r="G64" s="226">
        <v>40000</v>
      </c>
      <c r="H64" s="228"/>
    </row>
    <row r="65" spans="1:8" s="19" customFormat="1" ht="15.9" customHeight="1">
      <c r="A65" s="336"/>
      <c r="B65" s="141" t="s">
        <v>35</v>
      </c>
      <c r="C65" s="122" t="s">
        <v>159</v>
      </c>
      <c r="D65" s="51">
        <v>1</v>
      </c>
      <c r="E65" s="57"/>
      <c r="F65" s="55">
        <v>200000</v>
      </c>
      <c r="G65" s="226">
        <v>120000</v>
      </c>
      <c r="H65" s="228"/>
    </row>
    <row r="66" spans="1:8" ht="15.9" customHeight="1">
      <c r="A66" s="336"/>
      <c r="B66" s="141" t="s">
        <v>39</v>
      </c>
      <c r="C66" s="122" t="s">
        <v>160</v>
      </c>
      <c r="D66" s="51">
        <v>4</v>
      </c>
      <c r="E66" s="57"/>
      <c r="F66" s="55">
        <v>550000</v>
      </c>
      <c r="G66" s="226">
        <v>60000</v>
      </c>
      <c r="H66" s="228"/>
    </row>
    <row r="67" spans="1:8" s="19" customFormat="1" ht="15.9" customHeight="1">
      <c r="A67" s="336"/>
      <c r="B67" s="141" t="s">
        <v>39</v>
      </c>
      <c r="C67" s="122" t="s">
        <v>161</v>
      </c>
      <c r="D67" s="51">
        <v>4</v>
      </c>
      <c r="E67" s="57"/>
      <c r="F67" s="55">
        <v>45000</v>
      </c>
      <c r="G67" s="226">
        <v>20000</v>
      </c>
      <c r="H67" s="228"/>
    </row>
    <row r="68" spans="1:8" s="19" customFormat="1" ht="15.9" customHeight="1">
      <c r="A68" s="336"/>
      <c r="B68" s="141" t="s">
        <v>39</v>
      </c>
      <c r="C68" s="122" t="s">
        <v>162</v>
      </c>
      <c r="D68" s="51">
        <v>4</v>
      </c>
      <c r="E68" s="57"/>
      <c r="F68" s="55">
        <v>150000</v>
      </c>
      <c r="G68" s="226">
        <v>0</v>
      </c>
      <c r="H68" s="228"/>
    </row>
    <row r="69" spans="1:8" s="19" customFormat="1" ht="15.9" customHeight="1">
      <c r="A69" s="336"/>
      <c r="B69" s="141" t="s">
        <v>37</v>
      </c>
      <c r="C69" s="122" t="s">
        <v>160</v>
      </c>
      <c r="D69" s="51">
        <v>15</v>
      </c>
      <c r="E69" s="57"/>
      <c r="F69" s="55">
        <v>260000</v>
      </c>
      <c r="G69" s="226">
        <v>30000</v>
      </c>
      <c r="H69" s="228"/>
    </row>
    <row r="70" spans="1:8" s="19" customFormat="1" ht="15.9" customHeight="1">
      <c r="A70" s="336"/>
      <c r="B70" s="141" t="s">
        <v>37</v>
      </c>
      <c r="C70" s="122" t="s">
        <v>161</v>
      </c>
      <c r="D70" s="51">
        <v>15</v>
      </c>
      <c r="E70" s="57"/>
      <c r="F70" s="55">
        <v>30000</v>
      </c>
      <c r="G70" s="226">
        <v>15000</v>
      </c>
      <c r="H70" s="228"/>
    </row>
    <row r="71" spans="1:8" s="19" customFormat="1" ht="15.9" customHeight="1">
      <c r="A71" s="336"/>
      <c r="B71" s="141" t="s">
        <v>37</v>
      </c>
      <c r="C71" s="122" t="s">
        <v>162</v>
      </c>
      <c r="D71" s="51">
        <v>15</v>
      </c>
      <c r="E71" s="57"/>
      <c r="F71" s="55">
        <v>75000</v>
      </c>
      <c r="G71" s="226">
        <v>0</v>
      </c>
      <c r="H71" s="228"/>
    </row>
    <row r="72" spans="1:8" s="19" customFormat="1" ht="15.9" customHeight="1">
      <c r="A72" s="336"/>
      <c r="B72" s="141" t="s">
        <v>38</v>
      </c>
      <c r="C72" s="122" t="s">
        <v>160</v>
      </c>
      <c r="D72" s="51">
        <v>16</v>
      </c>
      <c r="E72" s="57"/>
      <c r="F72" s="55">
        <v>130000</v>
      </c>
      <c r="G72" s="226">
        <v>15000</v>
      </c>
      <c r="H72" s="228"/>
    </row>
    <row r="73" spans="1:8" s="19" customFormat="1" ht="15.9" customHeight="1">
      <c r="A73" s="336"/>
      <c r="B73" s="141" t="s">
        <v>38</v>
      </c>
      <c r="C73" s="122" t="s">
        <v>161</v>
      </c>
      <c r="D73" s="51">
        <v>16</v>
      </c>
      <c r="E73" s="57"/>
      <c r="F73" s="55">
        <v>15000</v>
      </c>
      <c r="G73" s="226">
        <v>10000</v>
      </c>
      <c r="H73" s="228"/>
    </row>
    <row r="74" spans="1:8" s="19" customFormat="1" ht="15.9" customHeight="1">
      <c r="A74" s="336"/>
      <c r="B74" s="141" t="s">
        <v>38</v>
      </c>
      <c r="C74" s="122" t="s">
        <v>162</v>
      </c>
      <c r="D74" s="51">
        <v>16</v>
      </c>
      <c r="E74" s="57"/>
      <c r="F74" s="55">
        <v>50000</v>
      </c>
      <c r="G74" s="226">
        <v>0</v>
      </c>
      <c r="H74" s="228"/>
    </row>
    <row r="75" spans="1:8" s="19" customFormat="1" ht="15.9" customHeight="1">
      <c r="A75" s="336"/>
      <c r="B75" s="141" t="s">
        <v>123</v>
      </c>
      <c r="C75" s="122" t="s">
        <v>160</v>
      </c>
      <c r="D75" s="51">
        <v>33</v>
      </c>
      <c r="E75" s="57"/>
      <c r="F75" s="55">
        <v>85000</v>
      </c>
      <c r="G75" s="226">
        <v>10000</v>
      </c>
      <c r="H75" s="228"/>
    </row>
    <row r="76" spans="1:8" s="19" customFormat="1" ht="15.9" customHeight="1">
      <c r="A76" s="336"/>
      <c r="B76" s="141" t="s">
        <v>123</v>
      </c>
      <c r="C76" s="122" t="s">
        <v>161</v>
      </c>
      <c r="D76" s="51">
        <v>33</v>
      </c>
      <c r="E76" s="57"/>
      <c r="F76" s="55">
        <v>5000</v>
      </c>
      <c r="G76" s="226">
        <v>5000</v>
      </c>
      <c r="H76" s="228"/>
    </row>
    <row r="77" spans="1:8" s="19" customFormat="1" ht="15.9" customHeight="1">
      <c r="A77" s="340"/>
      <c r="B77" s="141" t="s">
        <v>123</v>
      </c>
      <c r="C77" s="122" t="s">
        <v>162</v>
      </c>
      <c r="D77" s="51">
        <v>33</v>
      </c>
      <c r="E77" s="57"/>
      <c r="F77" s="55">
        <v>20000</v>
      </c>
      <c r="G77" s="226">
        <v>0</v>
      </c>
      <c r="H77" s="228"/>
    </row>
    <row r="78" spans="1:8">
      <c r="A78" s="142"/>
      <c r="B78" s="230"/>
      <c r="C78" s="43"/>
      <c r="D78" s="120"/>
      <c r="E78" s="149"/>
      <c r="F78" s="121"/>
      <c r="G78" s="121"/>
      <c r="H78" s="121"/>
    </row>
    <row r="79" spans="1:8" s="19" customFormat="1">
      <c r="A79" s="20"/>
      <c r="B79" s="20"/>
      <c r="C79" s="43"/>
      <c r="D79" s="120"/>
      <c r="E79" s="149"/>
      <c r="F79" s="121"/>
      <c r="G79" s="121"/>
      <c r="H79" s="121"/>
    </row>
    <row r="80" spans="1:8" s="19" customFormat="1">
      <c r="C80"/>
      <c r="D80"/>
      <c r="F80" s="187" t="s">
        <v>33</v>
      </c>
      <c r="G80" s="187" t="s">
        <v>142</v>
      </c>
      <c r="H80" s="187"/>
    </row>
    <row r="81" spans="1:8" s="19" customFormat="1">
      <c r="A81" s="341" t="s">
        <v>208</v>
      </c>
      <c r="B81" s="342"/>
      <c r="C81" s="188" t="s">
        <v>35</v>
      </c>
      <c r="D81" s="152"/>
      <c r="E81" s="155"/>
      <c r="F81" s="189">
        <f>SUMPRODUCT($D$6:$D$9,F6:F9)</f>
        <v>1220000</v>
      </c>
      <c r="G81" s="189">
        <f>SUMPRODUCT($D$6:$D$9,G6:G9)</f>
        <v>164000</v>
      </c>
      <c r="H81" s="293"/>
    </row>
    <row r="82" spans="1:8" s="19" customFormat="1">
      <c r="A82" s="343"/>
      <c r="B82" s="344"/>
      <c r="C82" s="188" t="s">
        <v>39</v>
      </c>
      <c r="D82" s="152"/>
      <c r="E82" s="155"/>
      <c r="F82" s="189">
        <f>SUMPRODUCT($D$10:$D$14,F10:F14)</f>
        <v>2120000</v>
      </c>
      <c r="G82" s="189">
        <f>SUMPRODUCT($D$10:$D$14,G10:G14)</f>
        <v>500000</v>
      </c>
      <c r="H82" s="293"/>
    </row>
    <row r="83" spans="1:8" s="19" customFormat="1">
      <c r="A83" s="343"/>
      <c r="B83" s="344"/>
      <c r="C83" s="188" t="s">
        <v>125</v>
      </c>
      <c r="D83" s="152"/>
      <c r="E83" s="155"/>
      <c r="F83" s="189">
        <f>SUMPRODUCT($D$15:$D$29,F15:F29)</f>
        <v>9680000</v>
      </c>
      <c r="G83" s="189">
        <f>SUMPRODUCT($D$15:$D$29,G15:G29)</f>
        <v>2816000</v>
      </c>
      <c r="H83" s="293"/>
    </row>
    <row r="84" spans="1:8" s="19" customFormat="1" ht="12">
      <c r="A84" s="345"/>
      <c r="B84" s="346"/>
      <c r="C84" s="188" t="s">
        <v>103</v>
      </c>
      <c r="D84" s="152"/>
      <c r="E84" s="155"/>
      <c r="F84" s="301">
        <f>SUM(F81:F83)</f>
        <v>13020000</v>
      </c>
      <c r="G84" s="301">
        <f>SUM(G81:G83)</f>
        <v>3480000</v>
      </c>
      <c r="H84" s="293"/>
    </row>
    <row r="85" spans="1:8" s="19" customFormat="1" ht="12">
      <c r="A85" s="315"/>
      <c r="B85" s="316"/>
      <c r="C85" s="318"/>
      <c r="D85" s="319"/>
      <c r="E85" s="320"/>
      <c r="F85" s="321"/>
      <c r="G85" s="321"/>
      <c r="H85" s="293"/>
    </row>
    <row r="86" spans="1:8" s="19" customFormat="1">
      <c r="A86" s="341" t="s">
        <v>207</v>
      </c>
      <c r="B86" s="342"/>
      <c r="C86" s="188" t="s">
        <v>35</v>
      </c>
      <c r="D86" s="152"/>
      <c r="E86" s="155"/>
      <c r="F86" s="189">
        <f>SUMPRODUCT($D$31:$D$36,F31:F36)</f>
        <v>1220000</v>
      </c>
      <c r="G86" s="189">
        <f>SUMPRODUCT($D$31:$D$36,G31:G36)</f>
        <v>164000</v>
      </c>
      <c r="H86" s="293"/>
    </row>
    <row r="87" spans="1:8">
      <c r="A87" s="343"/>
      <c r="B87" s="344"/>
      <c r="C87" s="188" t="s">
        <v>39</v>
      </c>
      <c r="D87" s="152"/>
      <c r="E87" s="155"/>
      <c r="F87" s="189">
        <f>SUMPRODUCT($D$37:$D$41,F37:F41)</f>
        <v>2400000</v>
      </c>
      <c r="G87" s="189">
        <f>SUMPRODUCT($D$37:$D$41,G37:G41)</f>
        <v>460000</v>
      </c>
      <c r="H87" s="293"/>
    </row>
    <row r="88" spans="1:8">
      <c r="A88" s="343"/>
      <c r="B88" s="344"/>
      <c r="C88" s="188" t="s">
        <v>125</v>
      </c>
      <c r="D88" s="152"/>
      <c r="E88" s="155"/>
      <c r="F88" s="189">
        <f>SUMPRODUCT($D$42:$D$56,F42:F56)</f>
        <v>10640000</v>
      </c>
      <c r="G88" s="189">
        <f>SUMPRODUCT($D$42:$D$56,G42:G56)</f>
        <v>2661000</v>
      </c>
      <c r="H88" s="293"/>
    </row>
    <row r="89" spans="1:8" s="19" customFormat="1" ht="12">
      <c r="A89" s="345"/>
      <c r="B89" s="346"/>
      <c r="C89" s="188" t="s">
        <v>103</v>
      </c>
      <c r="D89" s="152"/>
      <c r="E89" s="155"/>
      <c r="F89" s="301">
        <f>SUM(F86:F88)</f>
        <v>14260000</v>
      </c>
      <c r="G89" s="301">
        <f>SUM(G86:G88)</f>
        <v>3285000</v>
      </c>
      <c r="H89" s="293"/>
    </row>
    <row r="90" spans="1:8" s="19" customFormat="1" ht="12">
      <c r="A90" s="315"/>
      <c r="B90" s="294"/>
      <c r="C90" s="295"/>
      <c r="D90" s="317"/>
      <c r="E90" s="320"/>
      <c r="F90" s="321"/>
      <c r="G90" s="321"/>
      <c r="H90" s="293"/>
    </row>
    <row r="91" spans="1:8">
      <c r="A91" s="341" t="s">
        <v>140</v>
      </c>
      <c r="B91" s="342"/>
      <c r="C91" s="188" t="s">
        <v>35</v>
      </c>
      <c r="D91" s="152"/>
      <c r="E91" s="155"/>
      <c r="F91" s="189">
        <f>F58</f>
        <v>0</v>
      </c>
      <c r="G91" s="189">
        <f>G58</f>
        <v>0</v>
      </c>
      <c r="H91" s="293"/>
    </row>
    <row r="92" spans="1:8">
      <c r="A92" s="343"/>
      <c r="B92" s="344"/>
      <c r="C92" s="188" t="s">
        <v>39</v>
      </c>
      <c r="D92" s="152"/>
      <c r="E92" s="155"/>
      <c r="F92" s="189">
        <f>$D$59*F59</f>
        <v>80000</v>
      </c>
      <c r="G92" s="189">
        <f>$D$59*G59</f>
        <v>120000</v>
      </c>
      <c r="H92" s="293"/>
    </row>
    <row r="93" spans="1:8">
      <c r="A93" s="343"/>
      <c r="B93" s="344"/>
      <c r="C93" s="188" t="s">
        <v>125</v>
      </c>
      <c r="D93" s="152"/>
      <c r="E93" s="155"/>
      <c r="F93" s="189">
        <f>SUMPRODUCT($D$60:$D$62,F60:F62)</f>
        <v>296000</v>
      </c>
      <c r="G93" s="189">
        <f>SUMPRODUCT($D$60:$D$62,G60:G62)</f>
        <v>371000</v>
      </c>
      <c r="H93" s="293"/>
    </row>
    <row r="94" spans="1:8" s="19" customFormat="1" ht="12">
      <c r="A94" s="345"/>
      <c r="B94" s="346"/>
      <c r="C94" s="188" t="s">
        <v>103</v>
      </c>
      <c r="D94" s="152"/>
      <c r="E94" s="155"/>
      <c r="F94" s="301">
        <f>SUM(F91:F93)</f>
        <v>376000</v>
      </c>
      <c r="G94" s="301">
        <f>SUM(G91:G93)</f>
        <v>491000</v>
      </c>
      <c r="H94" s="293"/>
    </row>
    <row r="95" spans="1:8" s="19" customFormat="1" ht="12">
      <c r="A95" s="315"/>
      <c r="B95" s="322"/>
      <c r="C95" s="318"/>
      <c r="D95" s="319"/>
      <c r="E95" s="320"/>
      <c r="F95" s="321"/>
      <c r="G95" s="321"/>
      <c r="H95" s="293"/>
    </row>
    <row r="96" spans="1:8">
      <c r="A96" s="341" t="s">
        <v>141</v>
      </c>
      <c r="B96" s="342"/>
      <c r="C96" s="188" t="s">
        <v>35</v>
      </c>
      <c r="D96" s="152"/>
      <c r="E96" s="155"/>
      <c r="F96" s="189">
        <f>SUMPRODUCT($D$64:$D$65,F64:F65)</f>
        <v>670000</v>
      </c>
      <c r="G96" s="189">
        <f>SUMPRODUCT($D$64:$D$65,G64:G65)</f>
        <v>160000</v>
      </c>
      <c r="H96" s="293"/>
    </row>
    <row r="97" spans="1:8">
      <c r="A97" s="343"/>
      <c r="B97" s="344"/>
      <c r="C97" s="188" t="s">
        <v>39</v>
      </c>
      <c r="D97" s="152"/>
      <c r="E97" s="155"/>
      <c r="F97" s="189">
        <f>SUMPRODUCT($D$66:$D$68,F66:F68)</f>
        <v>2980000</v>
      </c>
      <c r="G97" s="189">
        <f>SUMPRODUCT($D$66:$D$68,G66:G68)</f>
        <v>320000</v>
      </c>
      <c r="H97" s="293"/>
    </row>
    <row r="98" spans="1:8">
      <c r="A98" s="343"/>
      <c r="B98" s="344"/>
      <c r="C98" s="188" t="s">
        <v>125</v>
      </c>
      <c r="D98" s="152"/>
      <c r="E98" s="155"/>
      <c r="F98" s="189">
        <f>SUMPRODUCT($D$69:$D$77,F69:F77)</f>
        <v>12225000</v>
      </c>
      <c r="G98" s="189">
        <f>SUMPRODUCT($D$69:$D$77,G69:G77)</f>
        <v>1570000</v>
      </c>
      <c r="H98" s="293"/>
    </row>
    <row r="99" spans="1:8" s="19" customFormat="1" ht="12">
      <c r="A99" s="345"/>
      <c r="B99" s="346"/>
      <c r="C99" s="188" t="s">
        <v>103</v>
      </c>
      <c r="D99" s="152"/>
      <c r="E99" s="155"/>
      <c r="F99" s="301">
        <f>SUM(F96:F98)</f>
        <v>15875000</v>
      </c>
      <c r="G99" s="301">
        <f>SUM(G96:G98)</f>
        <v>2050000</v>
      </c>
      <c r="H99" s="293"/>
    </row>
    <row r="100" spans="1:8" s="19" customFormat="1" ht="12">
      <c r="A100" s="294"/>
      <c r="B100" s="294"/>
      <c r="C100" s="295"/>
      <c r="D100" s="296"/>
      <c r="E100" s="297"/>
      <c r="F100" s="298"/>
      <c r="G100" s="298"/>
      <c r="H100" s="293"/>
    </row>
    <row r="101" spans="1:8" ht="12" customHeight="1">
      <c r="A101" s="326" t="s">
        <v>211</v>
      </c>
      <c r="B101" s="327"/>
      <c r="C101" s="188" t="s">
        <v>35</v>
      </c>
      <c r="D101" s="152"/>
      <c r="E101" s="155"/>
      <c r="F101" s="189">
        <f t="shared" ref="F101:G103" si="0">F81+F96</f>
        <v>1890000</v>
      </c>
      <c r="G101" s="189">
        <f t="shared" si="0"/>
        <v>324000</v>
      </c>
      <c r="H101" s="293"/>
    </row>
    <row r="102" spans="1:8">
      <c r="A102" s="328"/>
      <c r="B102" s="329"/>
      <c r="C102" s="188" t="s">
        <v>39</v>
      </c>
      <c r="D102" s="152"/>
      <c r="E102" s="155"/>
      <c r="F102" s="189">
        <f t="shared" si="0"/>
        <v>5100000</v>
      </c>
      <c r="G102" s="189">
        <f t="shared" si="0"/>
        <v>820000</v>
      </c>
      <c r="H102" s="293"/>
    </row>
    <row r="103" spans="1:8">
      <c r="A103" s="328"/>
      <c r="B103" s="329"/>
      <c r="C103" s="188" t="s">
        <v>125</v>
      </c>
      <c r="D103" s="152"/>
      <c r="E103" s="155"/>
      <c r="F103" s="189">
        <f t="shared" si="0"/>
        <v>21905000</v>
      </c>
      <c r="G103" s="189">
        <f t="shared" si="0"/>
        <v>4386000</v>
      </c>
      <c r="H103" s="293"/>
    </row>
    <row r="104" spans="1:8" s="19" customFormat="1" ht="12">
      <c r="A104" s="330"/>
      <c r="B104" s="331"/>
      <c r="C104" s="188" t="s">
        <v>103</v>
      </c>
      <c r="D104" s="152"/>
      <c r="E104" s="155"/>
      <c r="F104" s="301">
        <f>SUM(F101:F103)</f>
        <v>28895000</v>
      </c>
      <c r="G104" s="301">
        <f>SUM(G101:G103)</f>
        <v>5530000</v>
      </c>
      <c r="H104" s="293"/>
    </row>
    <row r="105" spans="1:8" s="19" customFormat="1" ht="12">
      <c r="A105" s="314"/>
      <c r="B105" s="323"/>
      <c r="C105" s="318"/>
      <c r="D105" s="319"/>
      <c r="E105" s="320"/>
      <c r="F105" s="321"/>
      <c r="G105" s="321"/>
      <c r="H105" s="293"/>
    </row>
    <row r="106" spans="1:8" ht="12" customHeight="1">
      <c r="A106" s="332" t="s">
        <v>212</v>
      </c>
      <c r="B106" s="332"/>
      <c r="C106" s="188" t="s">
        <v>35</v>
      </c>
      <c r="D106" s="152"/>
      <c r="E106" s="155"/>
      <c r="F106" s="189">
        <f t="shared" ref="F106:G108" si="1">F86+F96</f>
        <v>1890000</v>
      </c>
      <c r="G106" s="189">
        <f t="shared" si="1"/>
        <v>324000</v>
      </c>
      <c r="H106" s="293"/>
    </row>
    <row r="107" spans="1:8">
      <c r="A107" s="333"/>
      <c r="B107" s="333"/>
      <c r="C107" s="188" t="s">
        <v>39</v>
      </c>
      <c r="D107" s="152"/>
      <c r="E107" s="155"/>
      <c r="F107" s="189">
        <f t="shared" si="1"/>
        <v>5380000</v>
      </c>
      <c r="G107" s="189">
        <f t="shared" si="1"/>
        <v>780000</v>
      </c>
      <c r="H107" s="293"/>
    </row>
    <row r="108" spans="1:8">
      <c r="A108" s="333"/>
      <c r="B108" s="333"/>
      <c r="C108" s="188" t="s">
        <v>125</v>
      </c>
      <c r="D108" s="152"/>
      <c r="E108" s="155"/>
      <c r="F108" s="189">
        <f t="shared" si="1"/>
        <v>22865000</v>
      </c>
      <c r="G108" s="189">
        <f t="shared" si="1"/>
        <v>4231000</v>
      </c>
      <c r="H108" s="293"/>
    </row>
    <row r="109" spans="1:8" s="19" customFormat="1" ht="12">
      <c r="A109" s="334"/>
      <c r="B109" s="334"/>
      <c r="C109" s="188" t="s">
        <v>103</v>
      </c>
      <c r="D109" s="299"/>
      <c r="E109" s="300"/>
      <c r="F109" s="301">
        <f>SUM(F106:F108)</f>
        <v>30135000</v>
      </c>
      <c r="G109" s="301">
        <f>SUM(G106:G108)</f>
        <v>5335000</v>
      </c>
      <c r="H109" s="293"/>
    </row>
    <row r="110" spans="1:8">
      <c r="D110" s="49"/>
      <c r="E110" s="49"/>
    </row>
    <row r="111" spans="1:8">
      <c r="A111" s="326" t="s">
        <v>213</v>
      </c>
      <c r="B111" s="327"/>
      <c r="C111" s="188" t="s">
        <v>35</v>
      </c>
      <c r="D111" s="152"/>
      <c r="E111" s="155"/>
      <c r="F111" s="189">
        <f t="shared" ref="F111:G113" si="2">F81+F91+F96</f>
        <v>1890000</v>
      </c>
      <c r="G111" s="189">
        <f t="shared" si="2"/>
        <v>324000</v>
      </c>
    </row>
    <row r="112" spans="1:8">
      <c r="A112" s="328"/>
      <c r="B112" s="329"/>
      <c r="C112" s="188" t="s">
        <v>39</v>
      </c>
      <c r="D112" s="152"/>
      <c r="E112" s="155"/>
      <c r="F112" s="189">
        <f t="shared" si="2"/>
        <v>5180000</v>
      </c>
      <c r="G112" s="189">
        <f t="shared" si="2"/>
        <v>940000</v>
      </c>
    </row>
    <row r="113" spans="1:7">
      <c r="A113" s="328"/>
      <c r="B113" s="329"/>
      <c r="C113" s="188" t="s">
        <v>125</v>
      </c>
      <c r="D113" s="152"/>
      <c r="E113" s="155"/>
      <c r="F113" s="189">
        <f t="shared" si="2"/>
        <v>22201000</v>
      </c>
      <c r="G113" s="189">
        <f t="shared" si="2"/>
        <v>4757000</v>
      </c>
    </row>
    <row r="114" spans="1:7" ht="12">
      <c r="A114" s="330"/>
      <c r="B114" s="331"/>
      <c r="C114" s="188" t="s">
        <v>103</v>
      </c>
      <c r="D114" s="152"/>
      <c r="E114" s="155"/>
      <c r="F114" s="301">
        <f>SUM(F111:F113)</f>
        <v>29271000</v>
      </c>
      <c r="G114" s="301">
        <f>SUM(G111:G113)</f>
        <v>6021000</v>
      </c>
    </row>
    <row r="115" spans="1:7" s="19" customFormat="1" ht="12">
      <c r="A115" s="314"/>
      <c r="B115" s="323"/>
      <c r="C115" s="318"/>
      <c r="D115" s="319"/>
      <c r="E115" s="320"/>
      <c r="F115" s="321"/>
      <c r="G115" s="321"/>
    </row>
    <row r="116" spans="1:7">
      <c r="A116" s="332" t="s">
        <v>214</v>
      </c>
      <c r="B116" s="332"/>
      <c r="C116" s="188" t="s">
        <v>35</v>
      </c>
      <c r="D116" s="152"/>
      <c r="E116" s="155"/>
      <c r="F116" s="189">
        <f t="shared" ref="F116:G118" si="3">F86+F91+F96</f>
        <v>1890000</v>
      </c>
      <c r="G116" s="189">
        <f t="shared" si="3"/>
        <v>324000</v>
      </c>
    </row>
    <row r="117" spans="1:7">
      <c r="A117" s="333"/>
      <c r="B117" s="333"/>
      <c r="C117" s="188" t="s">
        <v>39</v>
      </c>
      <c r="D117" s="152"/>
      <c r="E117" s="155"/>
      <c r="F117" s="189">
        <f t="shared" si="3"/>
        <v>5460000</v>
      </c>
      <c r="G117" s="189">
        <f t="shared" si="3"/>
        <v>900000</v>
      </c>
    </row>
    <row r="118" spans="1:7">
      <c r="A118" s="333"/>
      <c r="B118" s="333"/>
      <c r="C118" s="188" t="s">
        <v>125</v>
      </c>
      <c r="D118" s="152"/>
      <c r="E118" s="155"/>
      <c r="F118" s="189">
        <f t="shared" si="3"/>
        <v>23161000</v>
      </c>
      <c r="G118" s="189">
        <f t="shared" si="3"/>
        <v>4602000</v>
      </c>
    </row>
    <row r="119" spans="1:7" ht="12">
      <c r="A119" s="334"/>
      <c r="B119" s="334"/>
      <c r="C119" s="188" t="s">
        <v>103</v>
      </c>
      <c r="D119" s="299"/>
      <c r="E119" s="300"/>
      <c r="F119" s="301">
        <f>SUM(F116:F118)</f>
        <v>30511000</v>
      </c>
      <c r="G119" s="301">
        <f>SUM(G116:G118)</f>
        <v>5826000</v>
      </c>
    </row>
    <row r="120" spans="1:7">
      <c r="D120" s="49"/>
    </row>
    <row r="121" spans="1:7">
      <c r="D121" s="49"/>
      <c r="F121" s="49"/>
      <c r="G121" s="49"/>
    </row>
    <row r="122" spans="1:7">
      <c r="D122" s="49"/>
      <c r="F122" s="49"/>
    </row>
    <row r="123" spans="1:7">
      <c r="D123" s="49"/>
      <c r="F123" s="49"/>
    </row>
    <row r="124" spans="1:7">
      <c r="D124" s="49"/>
    </row>
    <row r="125" spans="1:7">
      <c r="D125" s="49"/>
    </row>
    <row r="126" spans="1:7">
      <c r="D126" s="49"/>
    </row>
    <row r="127" spans="1:7">
      <c r="D127" s="49"/>
    </row>
    <row r="128" spans="1:7">
      <c r="D128" s="49"/>
    </row>
    <row r="129" spans="4:6">
      <c r="D129" s="49"/>
    </row>
    <row r="130" spans="4:6">
      <c r="D130" s="49"/>
    </row>
    <row r="131" spans="4:6">
      <c r="D131" s="49"/>
    </row>
    <row r="133" spans="4:6">
      <c r="D133" s="49"/>
      <c r="F133" s="49"/>
    </row>
  </sheetData>
  <mergeCells count="22">
    <mergeCell ref="A106:B109"/>
    <mergeCell ref="A81:B84"/>
    <mergeCell ref="A86:B89"/>
    <mergeCell ref="A91:B94"/>
    <mergeCell ref="A96:B99"/>
    <mergeCell ref="A101:B104"/>
    <mergeCell ref="A111:B114"/>
    <mergeCell ref="A116:B119"/>
    <mergeCell ref="A6:A29"/>
    <mergeCell ref="B15:B19"/>
    <mergeCell ref="B20:B24"/>
    <mergeCell ref="B25:B29"/>
    <mergeCell ref="B6:B9"/>
    <mergeCell ref="B10:B14"/>
    <mergeCell ref="B37:B41"/>
    <mergeCell ref="B42:B46"/>
    <mergeCell ref="B47:B51"/>
    <mergeCell ref="B52:B56"/>
    <mergeCell ref="A64:A77"/>
    <mergeCell ref="A58:A62"/>
    <mergeCell ref="A31:A56"/>
    <mergeCell ref="B31:B3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showGridLines="0" workbookViewId="0">
      <selection activeCell="D34" sqref="D34"/>
    </sheetView>
  </sheetViews>
  <sheetFormatPr defaultRowHeight="11.4"/>
  <cols>
    <col min="1" max="1" width="28" customWidth="1"/>
    <col min="2" max="5" width="12.75" customWidth="1"/>
    <col min="6" max="6" width="12.75" style="49" customWidth="1"/>
    <col min="7" max="12" width="12.75" customWidth="1"/>
  </cols>
  <sheetData>
    <row r="1" spans="1:12" ht="38.25" customHeight="1">
      <c r="A1" s="234" t="s">
        <v>57</v>
      </c>
      <c r="L1" s="49"/>
    </row>
    <row r="2" spans="1:12" ht="36.75" customHeight="1">
      <c r="A2" s="40" t="s">
        <v>122</v>
      </c>
      <c r="B2" s="195" t="s">
        <v>228</v>
      </c>
      <c r="C2" s="65"/>
      <c r="D2" s="65"/>
      <c r="E2" s="65"/>
      <c r="F2" s="65"/>
      <c r="G2" s="65"/>
    </row>
    <row r="4" spans="1:12" s="19" customFormat="1" ht="12">
      <c r="A4" s="50" t="s">
        <v>34</v>
      </c>
      <c r="B4" s="58">
        <v>1</v>
      </c>
      <c r="C4" s="58">
        <f t="shared" ref="C4:K4" si="0">B4+1</f>
        <v>2</v>
      </c>
      <c r="D4" s="58">
        <f t="shared" si="0"/>
        <v>3</v>
      </c>
      <c r="E4" s="58">
        <f t="shared" si="0"/>
        <v>4</v>
      </c>
      <c r="F4" s="64">
        <v>5</v>
      </c>
      <c r="G4" s="58">
        <f t="shared" si="0"/>
        <v>6</v>
      </c>
      <c r="H4" s="58">
        <f t="shared" si="0"/>
        <v>7</v>
      </c>
      <c r="I4" s="58">
        <f t="shared" si="0"/>
        <v>8</v>
      </c>
      <c r="J4" s="58">
        <f t="shared" si="0"/>
        <v>9</v>
      </c>
      <c r="K4" s="58">
        <f t="shared" si="0"/>
        <v>10</v>
      </c>
      <c r="L4" s="59" t="s">
        <v>45</v>
      </c>
    </row>
    <row r="5" spans="1:12" s="19" customFormat="1">
      <c r="A5" s="41" t="s">
        <v>35</v>
      </c>
      <c r="B5" s="52">
        <f>'Additional costs'!F81+'Additional costs'!G81</f>
        <v>1384000</v>
      </c>
      <c r="C5" s="52">
        <f>'Additional costs'!G81</f>
        <v>164000</v>
      </c>
      <c r="D5" s="52">
        <f>C5</f>
        <v>164000</v>
      </c>
      <c r="E5" s="52">
        <f t="shared" ref="E5:K5" si="1">D5</f>
        <v>164000</v>
      </c>
      <c r="F5" s="52">
        <f t="shared" si="1"/>
        <v>164000</v>
      </c>
      <c r="G5" s="52">
        <f t="shared" si="1"/>
        <v>164000</v>
      </c>
      <c r="H5" s="52">
        <f t="shared" si="1"/>
        <v>164000</v>
      </c>
      <c r="I5" s="52">
        <f t="shared" si="1"/>
        <v>164000</v>
      </c>
      <c r="J5" s="52">
        <f t="shared" si="1"/>
        <v>164000</v>
      </c>
      <c r="K5" s="52">
        <f t="shared" si="1"/>
        <v>164000</v>
      </c>
      <c r="L5" s="52">
        <f>SUM(B5:K5)</f>
        <v>2860000</v>
      </c>
    </row>
    <row r="6" spans="1:12" s="19" customFormat="1">
      <c r="A6" s="41" t="s">
        <v>40</v>
      </c>
      <c r="B6" s="52">
        <f>'Additional costs'!F82+'Additional costs'!G82</f>
        <v>2620000</v>
      </c>
      <c r="C6" s="52">
        <f>'Additional costs'!G82</f>
        <v>500000</v>
      </c>
      <c r="D6" s="52">
        <f t="shared" ref="D6:K7" si="2">C6</f>
        <v>500000</v>
      </c>
      <c r="E6" s="52">
        <f t="shared" si="2"/>
        <v>500000</v>
      </c>
      <c r="F6" s="52">
        <f t="shared" si="2"/>
        <v>500000</v>
      </c>
      <c r="G6" s="52">
        <f t="shared" si="2"/>
        <v>500000</v>
      </c>
      <c r="H6" s="52">
        <f t="shared" si="2"/>
        <v>500000</v>
      </c>
      <c r="I6" s="52">
        <f t="shared" si="2"/>
        <v>500000</v>
      </c>
      <c r="J6" s="52">
        <f t="shared" si="2"/>
        <v>500000</v>
      </c>
      <c r="K6" s="52">
        <f t="shared" si="2"/>
        <v>500000</v>
      </c>
      <c r="L6" s="52">
        <f t="shared" ref="L6:L7" si="3">SUM(B6:K6)</f>
        <v>7120000</v>
      </c>
    </row>
    <row r="7" spans="1:12" s="19" customFormat="1">
      <c r="A7" s="41" t="s">
        <v>125</v>
      </c>
      <c r="B7" s="52">
        <f>'Additional costs'!F83+'Additional costs'!G83</f>
        <v>12496000</v>
      </c>
      <c r="C7" s="52">
        <f>'Additional costs'!G83</f>
        <v>2816000</v>
      </c>
      <c r="D7" s="52">
        <f t="shared" si="2"/>
        <v>2816000</v>
      </c>
      <c r="E7" s="52">
        <f t="shared" si="2"/>
        <v>2816000</v>
      </c>
      <c r="F7" s="52">
        <f t="shared" si="2"/>
        <v>2816000</v>
      </c>
      <c r="G7" s="52">
        <f t="shared" si="2"/>
        <v>2816000</v>
      </c>
      <c r="H7" s="52">
        <f t="shared" si="2"/>
        <v>2816000</v>
      </c>
      <c r="I7" s="52">
        <f t="shared" si="2"/>
        <v>2816000</v>
      </c>
      <c r="J7" s="52">
        <f t="shared" si="2"/>
        <v>2816000</v>
      </c>
      <c r="K7" s="52">
        <f t="shared" si="2"/>
        <v>2816000</v>
      </c>
      <c r="L7" s="52">
        <f t="shared" si="3"/>
        <v>37840000</v>
      </c>
    </row>
    <row r="8" spans="1:12" s="19" customFormat="1">
      <c r="A8" s="85" t="s">
        <v>43</v>
      </c>
      <c r="B8" s="86">
        <f>SUM(B5:B7)</f>
        <v>16500000</v>
      </c>
      <c r="C8" s="86">
        <f t="shared" ref="C8:K8" si="4">SUM(C5:C7)</f>
        <v>3480000</v>
      </c>
      <c r="D8" s="86">
        <f t="shared" si="4"/>
        <v>3480000</v>
      </c>
      <c r="E8" s="86">
        <f t="shared" si="4"/>
        <v>3480000</v>
      </c>
      <c r="F8" s="86">
        <f t="shared" si="4"/>
        <v>3480000</v>
      </c>
      <c r="G8" s="86">
        <f t="shared" si="4"/>
        <v>3480000</v>
      </c>
      <c r="H8" s="86">
        <f t="shared" si="4"/>
        <v>3480000</v>
      </c>
      <c r="I8" s="86">
        <f t="shared" si="4"/>
        <v>3480000</v>
      </c>
      <c r="J8" s="86">
        <f t="shared" si="4"/>
        <v>3480000</v>
      </c>
      <c r="K8" s="86">
        <f t="shared" si="4"/>
        <v>3480000</v>
      </c>
      <c r="L8" s="86">
        <f>SUM(B5:K7)</f>
        <v>47820000</v>
      </c>
    </row>
    <row r="9" spans="1:12">
      <c r="B9" s="49"/>
      <c r="F9" s="60"/>
      <c r="G9" s="61"/>
      <c r="K9" s="153"/>
      <c r="L9" s="154" t="str">
        <f>IF(SUM(B8:K8)=SUM(L5:L7), "Yes", "No")</f>
        <v>Yes</v>
      </c>
    </row>
    <row r="10" spans="1:12" s="19" customFormat="1">
      <c r="F10" s="60"/>
      <c r="G10" s="61"/>
      <c r="J10" s="49"/>
    </row>
    <row r="11" spans="1:12" s="78" customFormat="1" ht="36" customHeight="1">
      <c r="A11" s="40" t="s">
        <v>46</v>
      </c>
      <c r="B11" s="196" t="s">
        <v>227</v>
      </c>
      <c r="F11" s="197"/>
      <c r="J11" s="197"/>
      <c r="L11" s="197"/>
    </row>
    <row r="13" spans="1:12" ht="12">
      <c r="A13" s="50" t="s">
        <v>34</v>
      </c>
      <c r="B13" s="58">
        <v>1</v>
      </c>
      <c r="C13" s="58">
        <f t="shared" ref="C13:K13" si="5">B13+1</f>
        <v>2</v>
      </c>
      <c r="D13" s="58">
        <f t="shared" si="5"/>
        <v>3</v>
      </c>
      <c r="E13" s="58">
        <f t="shared" si="5"/>
        <v>4</v>
      </c>
      <c r="F13" s="64">
        <f t="shared" si="5"/>
        <v>5</v>
      </c>
      <c r="G13" s="58">
        <f t="shared" si="5"/>
        <v>6</v>
      </c>
      <c r="H13" s="58">
        <f t="shared" si="5"/>
        <v>7</v>
      </c>
      <c r="I13" s="58">
        <f t="shared" si="5"/>
        <v>8</v>
      </c>
      <c r="J13" s="58">
        <f t="shared" si="5"/>
        <v>9</v>
      </c>
      <c r="K13" s="58">
        <f t="shared" si="5"/>
        <v>10</v>
      </c>
      <c r="L13" s="59" t="s">
        <v>45</v>
      </c>
    </row>
    <row r="14" spans="1:12">
      <c r="A14" s="41" t="s">
        <v>35</v>
      </c>
      <c r="B14" s="52">
        <f>'Additional costs'!F86+'Additional costs'!G86</f>
        <v>1384000</v>
      </c>
      <c r="C14" s="52">
        <f>'Additional costs'!G86</f>
        <v>164000</v>
      </c>
      <c r="D14" s="52">
        <f>C14</f>
        <v>164000</v>
      </c>
      <c r="E14" s="52">
        <f t="shared" ref="E14:K14" si="6">D14</f>
        <v>164000</v>
      </c>
      <c r="F14" s="52">
        <f t="shared" si="6"/>
        <v>164000</v>
      </c>
      <c r="G14" s="52">
        <f t="shared" si="6"/>
        <v>164000</v>
      </c>
      <c r="H14" s="52">
        <f t="shared" si="6"/>
        <v>164000</v>
      </c>
      <c r="I14" s="52">
        <f t="shared" si="6"/>
        <v>164000</v>
      </c>
      <c r="J14" s="52">
        <f t="shared" si="6"/>
        <v>164000</v>
      </c>
      <c r="K14" s="52">
        <f t="shared" si="6"/>
        <v>164000</v>
      </c>
      <c r="L14" s="52">
        <f>SUM(B14:K14)</f>
        <v>2860000</v>
      </c>
    </row>
    <row r="15" spans="1:12">
      <c r="A15" s="41" t="s">
        <v>40</v>
      </c>
      <c r="B15" s="52">
        <f>'Additional costs'!F87+'Additional costs'!G87</f>
        <v>2860000</v>
      </c>
      <c r="C15" s="52">
        <f>'Additional costs'!G87</f>
        <v>460000</v>
      </c>
      <c r="D15" s="52">
        <f t="shared" ref="D15:K16" si="7">C15</f>
        <v>460000</v>
      </c>
      <c r="E15" s="52">
        <f t="shared" si="7"/>
        <v>460000</v>
      </c>
      <c r="F15" s="52">
        <f t="shared" si="7"/>
        <v>460000</v>
      </c>
      <c r="G15" s="52">
        <f t="shared" si="7"/>
        <v>460000</v>
      </c>
      <c r="H15" s="52">
        <f t="shared" si="7"/>
        <v>460000</v>
      </c>
      <c r="I15" s="52">
        <f t="shared" si="7"/>
        <v>460000</v>
      </c>
      <c r="J15" s="52">
        <f t="shared" si="7"/>
        <v>460000</v>
      </c>
      <c r="K15" s="52">
        <f t="shared" si="7"/>
        <v>460000</v>
      </c>
      <c r="L15" s="52">
        <f t="shared" ref="L15:L16" si="8">SUM(B15:K15)</f>
        <v>7000000</v>
      </c>
    </row>
    <row r="16" spans="1:12">
      <c r="A16" s="41" t="s">
        <v>125</v>
      </c>
      <c r="B16" s="52">
        <f>'Additional costs'!F88+'Additional costs'!G88</f>
        <v>13301000</v>
      </c>
      <c r="C16" s="52">
        <f>'Additional costs'!G88</f>
        <v>2661000</v>
      </c>
      <c r="D16" s="52">
        <f t="shared" si="7"/>
        <v>2661000</v>
      </c>
      <c r="E16" s="52">
        <f t="shared" si="7"/>
        <v>2661000</v>
      </c>
      <c r="F16" s="52">
        <f t="shared" si="7"/>
        <v>2661000</v>
      </c>
      <c r="G16" s="52">
        <f t="shared" si="7"/>
        <v>2661000</v>
      </c>
      <c r="H16" s="52">
        <f t="shared" si="7"/>
        <v>2661000</v>
      </c>
      <c r="I16" s="52">
        <f t="shared" si="7"/>
        <v>2661000</v>
      </c>
      <c r="J16" s="52">
        <f t="shared" si="7"/>
        <v>2661000</v>
      </c>
      <c r="K16" s="52">
        <f t="shared" si="7"/>
        <v>2661000</v>
      </c>
      <c r="L16" s="52">
        <f t="shared" si="8"/>
        <v>37250000</v>
      </c>
    </row>
    <row r="17" spans="1:12">
      <c r="A17" s="83" t="s">
        <v>43</v>
      </c>
      <c r="B17" s="84">
        <f>SUM(B14:B16)</f>
        <v>17545000</v>
      </c>
      <c r="C17" s="84">
        <f t="shared" ref="C17:K17" si="9">SUM(C14:C16)</f>
        <v>3285000</v>
      </c>
      <c r="D17" s="84">
        <f t="shared" si="9"/>
        <v>3285000</v>
      </c>
      <c r="E17" s="84">
        <f t="shared" si="9"/>
        <v>3285000</v>
      </c>
      <c r="F17" s="84">
        <f t="shared" si="9"/>
        <v>3285000</v>
      </c>
      <c r="G17" s="84">
        <f t="shared" si="9"/>
        <v>3285000</v>
      </c>
      <c r="H17" s="84">
        <f t="shared" si="9"/>
        <v>3285000</v>
      </c>
      <c r="I17" s="84">
        <f t="shared" si="9"/>
        <v>3285000</v>
      </c>
      <c r="J17" s="84">
        <f t="shared" si="9"/>
        <v>3285000</v>
      </c>
      <c r="K17" s="84">
        <f t="shared" si="9"/>
        <v>3285000</v>
      </c>
      <c r="L17" s="84">
        <f>SUM(B14:K16)</f>
        <v>47110000</v>
      </c>
    </row>
    <row r="18" spans="1:12">
      <c r="B18" s="49"/>
      <c r="C18" s="49"/>
      <c r="D18" s="49"/>
      <c r="E18" s="49"/>
      <c r="F18" s="60"/>
      <c r="G18" s="61"/>
      <c r="L18" s="154" t="str">
        <f>IF(SUM(B17:K17)=SUM(L14:L16),"Yes","No")</f>
        <v>Yes</v>
      </c>
    </row>
    <row r="19" spans="1:12" s="19" customFormat="1">
      <c r="F19" s="190"/>
      <c r="G19" s="164"/>
    </row>
    <row r="20" spans="1:12" s="78" customFormat="1" ht="25.5" customHeight="1">
      <c r="A20" s="40" t="s">
        <v>143</v>
      </c>
      <c r="B20" s="196" t="s">
        <v>206</v>
      </c>
      <c r="F20" s="197"/>
      <c r="K20" s="197"/>
      <c r="L20" s="197"/>
    </row>
    <row r="21" spans="1:12">
      <c r="A21" s="19"/>
      <c r="B21" s="19"/>
      <c r="C21" s="19"/>
      <c r="D21" s="19"/>
      <c r="E21" s="19"/>
      <c r="G21" s="19"/>
      <c r="H21" s="19"/>
      <c r="I21" s="19"/>
      <c r="J21" s="19"/>
      <c r="K21" s="19"/>
      <c r="L21" s="19"/>
    </row>
    <row r="22" spans="1:12" ht="12">
      <c r="A22" s="50" t="s">
        <v>34</v>
      </c>
      <c r="B22" s="58">
        <v>1</v>
      </c>
      <c r="C22" s="58">
        <f t="shared" ref="C22" si="10">B22+1</f>
        <v>2</v>
      </c>
      <c r="D22" s="58">
        <f t="shared" ref="D22" si="11">C22+1</f>
        <v>3</v>
      </c>
      <c r="E22" s="58">
        <f t="shared" ref="E22" si="12">D22+1</f>
        <v>4</v>
      </c>
      <c r="F22" s="64">
        <f t="shared" ref="F22" si="13">E22+1</f>
        <v>5</v>
      </c>
      <c r="G22" s="58">
        <f t="shared" ref="G22" si="14">F22+1</f>
        <v>6</v>
      </c>
      <c r="H22" s="58">
        <f t="shared" ref="H22" si="15">G22+1</f>
        <v>7</v>
      </c>
      <c r="I22" s="58">
        <f t="shared" ref="I22" si="16">H22+1</f>
        <v>8</v>
      </c>
      <c r="J22" s="58">
        <f t="shared" ref="J22" si="17">I22+1</f>
        <v>9</v>
      </c>
      <c r="K22" s="58">
        <f t="shared" ref="K22" si="18">J22+1</f>
        <v>10</v>
      </c>
      <c r="L22" s="59" t="s">
        <v>45</v>
      </c>
    </row>
    <row r="23" spans="1:12">
      <c r="A23" s="41" t="s">
        <v>35</v>
      </c>
      <c r="B23" s="52">
        <f>'Additional costs'!F91+'Additional costs'!G91</f>
        <v>0</v>
      </c>
      <c r="C23" s="52">
        <f>'Additional costs'!G91</f>
        <v>0</v>
      </c>
      <c r="D23" s="52">
        <f>C23</f>
        <v>0</v>
      </c>
      <c r="E23" s="52">
        <f t="shared" ref="E23:K23" si="19">D23</f>
        <v>0</v>
      </c>
      <c r="F23" s="52">
        <f t="shared" si="19"/>
        <v>0</v>
      </c>
      <c r="G23" s="52">
        <f t="shared" si="19"/>
        <v>0</v>
      </c>
      <c r="H23" s="52">
        <f t="shared" si="19"/>
        <v>0</v>
      </c>
      <c r="I23" s="52">
        <f t="shared" si="19"/>
        <v>0</v>
      </c>
      <c r="J23" s="52">
        <f t="shared" si="19"/>
        <v>0</v>
      </c>
      <c r="K23" s="52">
        <f t="shared" si="19"/>
        <v>0</v>
      </c>
      <c r="L23" s="52">
        <f>SUM(B23:K23)</f>
        <v>0</v>
      </c>
    </row>
    <row r="24" spans="1:12">
      <c r="A24" s="41" t="s">
        <v>40</v>
      </c>
      <c r="B24" s="52">
        <f>'Additional costs'!F92+'Additional costs'!G92</f>
        <v>200000</v>
      </c>
      <c r="C24" s="52">
        <f>'Additional costs'!G92</f>
        <v>120000</v>
      </c>
      <c r="D24" s="52">
        <f t="shared" ref="D24:K24" si="20">C24</f>
        <v>120000</v>
      </c>
      <c r="E24" s="52">
        <f t="shared" si="20"/>
        <v>120000</v>
      </c>
      <c r="F24" s="52">
        <f t="shared" si="20"/>
        <v>120000</v>
      </c>
      <c r="G24" s="52">
        <f t="shared" si="20"/>
        <v>120000</v>
      </c>
      <c r="H24" s="52">
        <f t="shared" si="20"/>
        <v>120000</v>
      </c>
      <c r="I24" s="52">
        <f t="shared" si="20"/>
        <v>120000</v>
      </c>
      <c r="J24" s="52">
        <f t="shared" si="20"/>
        <v>120000</v>
      </c>
      <c r="K24" s="52">
        <f t="shared" si="20"/>
        <v>120000</v>
      </c>
      <c r="L24" s="52">
        <f t="shared" ref="L24:L25" si="21">SUM(B24:K24)</f>
        <v>1280000</v>
      </c>
    </row>
    <row r="25" spans="1:12">
      <c r="A25" s="41" t="s">
        <v>125</v>
      </c>
      <c r="B25" s="52">
        <f>'Additional costs'!F93+'Additional costs'!G93</f>
        <v>667000</v>
      </c>
      <c r="C25" s="52">
        <f>'Additional costs'!G93</f>
        <v>371000</v>
      </c>
      <c r="D25" s="52">
        <f t="shared" ref="D25:K25" si="22">C25</f>
        <v>371000</v>
      </c>
      <c r="E25" s="52">
        <f t="shared" si="22"/>
        <v>371000</v>
      </c>
      <c r="F25" s="52">
        <f t="shared" si="22"/>
        <v>371000</v>
      </c>
      <c r="G25" s="52">
        <f t="shared" si="22"/>
        <v>371000</v>
      </c>
      <c r="H25" s="52">
        <f t="shared" si="22"/>
        <v>371000</v>
      </c>
      <c r="I25" s="52">
        <f t="shared" si="22"/>
        <v>371000</v>
      </c>
      <c r="J25" s="52">
        <f t="shared" si="22"/>
        <v>371000</v>
      </c>
      <c r="K25" s="52">
        <f t="shared" si="22"/>
        <v>371000</v>
      </c>
      <c r="L25" s="52">
        <f t="shared" si="21"/>
        <v>4006000</v>
      </c>
    </row>
    <row r="26" spans="1:12">
      <c r="A26" s="83" t="s">
        <v>43</v>
      </c>
      <c r="B26" s="84">
        <f>SUM(B23:B25)</f>
        <v>867000</v>
      </c>
      <c r="C26" s="84">
        <f t="shared" ref="C26:K26" si="23">SUM(C23:C25)</f>
        <v>491000</v>
      </c>
      <c r="D26" s="84">
        <f t="shared" si="23"/>
        <v>491000</v>
      </c>
      <c r="E26" s="84">
        <f t="shared" si="23"/>
        <v>491000</v>
      </c>
      <c r="F26" s="84">
        <f t="shared" si="23"/>
        <v>491000</v>
      </c>
      <c r="G26" s="84">
        <f t="shared" si="23"/>
        <v>491000</v>
      </c>
      <c r="H26" s="84">
        <f t="shared" si="23"/>
        <v>491000</v>
      </c>
      <c r="I26" s="84">
        <f t="shared" si="23"/>
        <v>491000</v>
      </c>
      <c r="J26" s="84">
        <f t="shared" si="23"/>
        <v>491000</v>
      </c>
      <c r="K26" s="84">
        <f t="shared" si="23"/>
        <v>491000</v>
      </c>
      <c r="L26" s="84">
        <f>SUM(B23:K25)</f>
        <v>5286000</v>
      </c>
    </row>
    <row r="29" spans="1:12" s="78" customFormat="1" ht="15.6">
      <c r="A29" s="40" t="s">
        <v>144</v>
      </c>
      <c r="B29" s="196" t="s">
        <v>229</v>
      </c>
      <c r="F29" s="197"/>
    </row>
    <row r="30" spans="1:12">
      <c r="A30" s="19"/>
      <c r="B30" s="19"/>
      <c r="C30" s="19"/>
      <c r="D30" s="19"/>
      <c r="E30" s="19"/>
      <c r="G30" s="19"/>
      <c r="H30" s="19"/>
      <c r="I30" s="19"/>
      <c r="J30" s="19"/>
      <c r="K30" s="19"/>
      <c r="L30" s="19"/>
    </row>
    <row r="31" spans="1:12" ht="12">
      <c r="A31" s="50" t="s">
        <v>34</v>
      </c>
      <c r="B31" s="58">
        <v>1</v>
      </c>
      <c r="C31" s="58">
        <f t="shared" ref="C31" si="24">B31+1</f>
        <v>2</v>
      </c>
      <c r="D31" s="58">
        <f t="shared" ref="D31" si="25">C31+1</f>
        <v>3</v>
      </c>
      <c r="E31" s="58">
        <f t="shared" ref="E31" si="26">D31+1</f>
        <v>4</v>
      </c>
      <c r="F31" s="64">
        <f t="shared" ref="F31" si="27">E31+1</f>
        <v>5</v>
      </c>
      <c r="G31" s="58">
        <f t="shared" ref="G31" si="28">F31+1</f>
        <v>6</v>
      </c>
      <c r="H31" s="58">
        <f t="shared" ref="H31" si="29">G31+1</f>
        <v>7</v>
      </c>
      <c r="I31" s="58">
        <f t="shared" ref="I31" si="30">H31+1</f>
        <v>8</v>
      </c>
      <c r="J31" s="58">
        <f t="shared" ref="J31" si="31">I31+1</f>
        <v>9</v>
      </c>
      <c r="K31" s="58">
        <f t="shared" ref="K31" si="32">J31+1</f>
        <v>10</v>
      </c>
      <c r="L31" s="59" t="s">
        <v>45</v>
      </c>
    </row>
    <row r="32" spans="1:12">
      <c r="A32" s="41" t="s">
        <v>35</v>
      </c>
      <c r="B32" s="52">
        <f>'Additional costs'!F96+'Additional costs'!G96</f>
        <v>830000</v>
      </c>
      <c r="C32" s="52">
        <f>'Additional costs'!G96</f>
        <v>160000</v>
      </c>
      <c r="D32" s="52">
        <f>C32</f>
        <v>160000</v>
      </c>
      <c r="E32" s="52">
        <f t="shared" ref="E32:K32" si="33">D32</f>
        <v>160000</v>
      </c>
      <c r="F32" s="52">
        <f t="shared" si="33"/>
        <v>160000</v>
      </c>
      <c r="G32" s="52">
        <f t="shared" si="33"/>
        <v>160000</v>
      </c>
      <c r="H32" s="52">
        <f t="shared" si="33"/>
        <v>160000</v>
      </c>
      <c r="I32" s="52">
        <f t="shared" si="33"/>
        <v>160000</v>
      </c>
      <c r="J32" s="52">
        <f t="shared" si="33"/>
        <v>160000</v>
      </c>
      <c r="K32" s="52">
        <f t="shared" si="33"/>
        <v>160000</v>
      </c>
      <c r="L32" s="52">
        <f>SUM(B32:K32)</f>
        <v>2270000</v>
      </c>
    </row>
    <row r="33" spans="1:12">
      <c r="A33" s="41" t="s">
        <v>40</v>
      </c>
      <c r="B33" s="52">
        <f>'Additional costs'!F97+'Additional costs'!G97</f>
        <v>3300000</v>
      </c>
      <c r="C33" s="52">
        <f>'Additional costs'!G97</f>
        <v>320000</v>
      </c>
      <c r="D33" s="52">
        <f t="shared" ref="D33:K33" si="34">C33</f>
        <v>320000</v>
      </c>
      <c r="E33" s="52">
        <f t="shared" si="34"/>
        <v>320000</v>
      </c>
      <c r="F33" s="52">
        <f t="shared" si="34"/>
        <v>320000</v>
      </c>
      <c r="G33" s="52">
        <f t="shared" si="34"/>
        <v>320000</v>
      </c>
      <c r="H33" s="52">
        <f t="shared" si="34"/>
        <v>320000</v>
      </c>
      <c r="I33" s="52">
        <f t="shared" si="34"/>
        <v>320000</v>
      </c>
      <c r="J33" s="52">
        <f t="shared" si="34"/>
        <v>320000</v>
      </c>
      <c r="K33" s="52">
        <f t="shared" si="34"/>
        <v>320000</v>
      </c>
      <c r="L33" s="52">
        <f t="shared" ref="L33:L34" si="35">SUM(B33:K33)</f>
        <v>6180000</v>
      </c>
    </row>
    <row r="34" spans="1:12">
      <c r="A34" s="41" t="s">
        <v>125</v>
      </c>
      <c r="B34" s="52">
        <f>'Additional costs'!F98+'Additional costs'!G98</f>
        <v>13795000</v>
      </c>
      <c r="C34" s="52">
        <f>'Additional costs'!G98</f>
        <v>1570000</v>
      </c>
      <c r="D34" s="52">
        <f t="shared" ref="D34:K34" si="36">C34</f>
        <v>1570000</v>
      </c>
      <c r="E34" s="52">
        <f t="shared" si="36"/>
        <v>1570000</v>
      </c>
      <c r="F34" s="52">
        <f t="shared" si="36"/>
        <v>1570000</v>
      </c>
      <c r="G34" s="52">
        <f t="shared" si="36"/>
        <v>1570000</v>
      </c>
      <c r="H34" s="52">
        <f t="shared" si="36"/>
        <v>1570000</v>
      </c>
      <c r="I34" s="52">
        <f t="shared" si="36"/>
        <v>1570000</v>
      </c>
      <c r="J34" s="52">
        <f t="shared" si="36"/>
        <v>1570000</v>
      </c>
      <c r="K34" s="52">
        <f t="shared" si="36"/>
        <v>1570000</v>
      </c>
      <c r="L34" s="52">
        <f t="shared" si="35"/>
        <v>27925000</v>
      </c>
    </row>
    <row r="35" spans="1:12">
      <c r="A35" s="83" t="s">
        <v>43</v>
      </c>
      <c r="B35" s="84">
        <f>SUM(B32:B34)</f>
        <v>17925000</v>
      </c>
      <c r="C35" s="84">
        <f t="shared" ref="C35:K35" si="37">SUM(C32:C34)</f>
        <v>2050000</v>
      </c>
      <c r="D35" s="84">
        <f t="shared" si="37"/>
        <v>2050000</v>
      </c>
      <c r="E35" s="84">
        <f t="shared" si="37"/>
        <v>2050000</v>
      </c>
      <c r="F35" s="84">
        <f t="shared" si="37"/>
        <v>2050000</v>
      </c>
      <c r="G35" s="84">
        <f t="shared" si="37"/>
        <v>2050000</v>
      </c>
      <c r="H35" s="84">
        <f t="shared" si="37"/>
        <v>2050000</v>
      </c>
      <c r="I35" s="84">
        <f t="shared" si="37"/>
        <v>2050000</v>
      </c>
      <c r="J35" s="84">
        <f t="shared" si="37"/>
        <v>2050000</v>
      </c>
      <c r="K35" s="84">
        <f t="shared" si="37"/>
        <v>2050000</v>
      </c>
      <c r="L35" s="84">
        <f>SUM(B32:K34)</f>
        <v>36375000</v>
      </c>
    </row>
    <row r="36" spans="1:12">
      <c r="B36" s="49"/>
      <c r="F36" s="231"/>
      <c r="G36" s="80"/>
    </row>
    <row r="37" spans="1:12">
      <c r="F37" s="231"/>
      <c r="G37" s="80"/>
    </row>
    <row r="38" spans="1:12">
      <c r="F38" s="239"/>
      <c r="G38" s="80"/>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
  <sheetViews>
    <sheetView workbookViewId="0"/>
  </sheetViews>
  <sheetFormatPr defaultRowHeight="11.4"/>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7"/>
  <sheetViews>
    <sheetView showGridLines="0" workbookViewId="0">
      <selection activeCell="C6" sqref="C6"/>
    </sheetView>
  </sheetViews>
  <sheetFormatPr defaultRowHeight="11.4"/>
  <cols>
    <col min="1" max="1" width="45.625" customWidth="1"/>
    <col min="2" max="2" width="12" customWidth="1"/>
    <col min="3" max="3" width="45.625" customWidth="1"/>
  </cols>
  <sheetData>
    <row r="1" spans="1:3" ht="30" customHeight="1">
      <c r="A1" s="234" t="s">
        <v>183</v>
      </c>
    </row>
    <row r="3" spans="1:3" ht="24.9" customHeight="1"/>
    <row r="4" spans="1:3" ht="24.9" customHeight="1">
      <c r="A4" s="22" t="s">
        <v>186</v>
      </c>
      <c r="B4" s="31">
        <f>IF('Control Panel'!C10="No",0,0.01)</f>
        <v>0</v>
      </c>
    </row>
    <row r="5" spans="1:3" ht="24.9" customHeight="1">
      <c r="A5" s="22"/>
    </row>
    <row r="6" spans="1:3" ht="24.9" customHeight="1">
      <c r="A6" s="22" t="s">
        <v>216</v>
      </c>
      <c r="B6" s="258">
        <f>3168815</f>
        <v>3168815</v>
      </c>
      <c r="C6" s="164" t="s">
        <v>241</v>
      </c>
    </row>
    <row r="7" spans="1:3" ht="24.9" customHeight="1">
      <c r="A7" s="22" t="s">
        <v>187</v>
      </c>
      <c r="B7" s="31">
        <f>0.55</f>
        <v>0.55000000000000004</v>
      </c>
      <c r="C7" s="164" t="s">
        <v>241</v>
      </c>
    </row>
    <row r="8" spans="1:3" s="19" customFormat="1" ht="24.9" customHeight="1">
      <c r="A8" s="22" t="s">
        <v>215</v>
      </c>
      <c r="B8" s="258">
        <f>B6/B7</f>
        <v>5761481.8181818174</v>
      </c>
      <c r="C8" s="164"/>
    </row>
    <row r="9" spans="1:3" ht="24.9" customHeight="1">
      <c r="A9" s="22"/>
    </row>
    <row r="10" spans="1:3" ht="24.9" customHeight="1">
      <c r="A10" s="22" t="s">
        <v>188</v>
      </c>
      <c r="B10" s="31">
        <f>IF('Control Panel'!C11="Yes",0.32,0)</f>
        <v>0.32</v>
      </c>
      <c r="C10" s="164" t="s">
        <v>241</v>
      </c>
    </row>
    <row r="11" spans="1:3" ht="24.9" customHeight="1">
      <c r="A11" s="22" t="s">
        <v>189</v>
      </c>
      <c r="B11" s="31">
        <f>0.75</f>
        <v>0.75</v>
      </c>
      <c r="C11" s="164" t="s">
        <v>241</v>
      </c>
    </row>
    <row r="12" spans="1:3" ht="24.9" customHeight="1">
      <c r="A12" s="22"/>
    </row>
    <row r="13" spans="1:3" ht="24.9" customHeight="1">
      <c r="A13" s="22" t="s">
        <v>190</v>
      </c>
      <c r="B13" s="31">
        <f>'Control Panel'!C12</f>
        <v>0.4</v>
      </c>
      <c r="C13" s="164" t="s">
        <v>241</v>
      </c>
    </row>
    <row r="14" spans="1:3" ht="24.9" customHeight="1">
      <c r="A14" s="22" t="s">
        <v>192</v>
      </c>
      <c r="B14" s="31">
        <f>'Control Panel'!C12</f>
        <v>0.4</v>
      </c>
      <c r="C14" s="164" t="s">
        <v>241</v>
      </c>
    </row>
    <row r="15" spans="1:3" ht="24.9" customHeight="1">
      <c r="A15" s="22" t="s">
        <v>191</v>
      </c>
      <c r="B15" s="31">
        <f>'Control Panel'!C12</f>
        <v>0.4</v>
      </c>
      <c r="C15" s="164" t="s">
        <v>241</v>
      </c>
    </row>
    <row r="16" spans="1:3" ht="24.9" customHeight="1">
      <c r="A16" s="22" t="s">
        <v>193</v>
      </c>
      <c r="B16" s="31">
        <f>'Control Panel'!C12</f>
        <v>0.4</v>
      </c>
      <c r="C16" s="164" t="s">
        <v>241</v>
      </c>
    </row>
    <row r="17" spans="1:3" ht="24.9" customHeight="1"/>
    <row r="18" spans="1:3" ht="24.9" customHeight="1">
      <c r="A18" s="46" t="s">
        <v>194</v>
      </c>
      <c r="B18" t="s">
        <v>197</v>
      </c>
    </row>
    <row r="19" spans="1:3" ht="24.9" customHeight="1">
      <c r="A19" s="37" t="s">
        <v>195</v>
      </c>
      <c r="B19" s="31">
        <f>0.47</f>
        <v>0.47</v>
      </c>
      <c r="C19" s="164" t="s">
        <v>241</v>
      </c>
    </row>
    <row r="20" spans="1:3" ht="24.9" customHeight="1">
      <c r="A20" s="37" t="s">
        <v>196</v>
      </c>
      <c r="B20" s="31">
        <f>0.5</f>
        <v>0.5</v>
      </c>
      <c r="C20" s="164" t="s">
        <v>241</v>
      </c>
    </row>
    <row r="21" spans="1:3" ht="24.9" customHeight="1"/>
    <row r="22" spans="1:3" ht="24.9" customHeight="1"/>
    <row r="23" spans="1:3" ht="24.9" customHeight="1"/>
    <row r="24" spans="1:3" ht="24.9" customHeight="1"/>
    <row r="25" spans="1:3" ht="24.9" customHeight="1"/>
    <row r="26" spans="1:3" ht="24.9" customHeight="1"/>
    <row r="27" spans="1:3" ht="24.9" customHeight="1"/>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27"/>
  <sheetViews>
    <sheetView showGridLines="0" workbookViewId="0">
      <selection activeCell="D10" sqref="D10"/>
    </sheetView>
  </sheetViews>
  <sheetFormatPr defaultRowHeight="11.4"/>
  <cols>
    <col min="1" max="1" width="63.125" customWidth="1"/>
    <col min="2" max="2" width="4.375" customWidth="1"/>
    <col min="3" max="5" width="9.25" customWidth="1"/>
    <col min="6" max="6" width="8.875" customWidth="1"/>
    <col min="7" max="7" width="9.25" customWidth="1"/>
    <col min="8" max="8" width="9.625" customWidth="1"/>
    <col min="9" max="9" width="9.125" customWidth="1"/>
    <col min="10" max="12" width="9.25" customWidth="1"/>
    <col min="13" max="13" width="5" customWidth="1"/>
  </cols>
  <sheetData>
    <row r="1" spans="1:14" ht="35.25" customHeight="1">
      <c r="A1" s="216" t="s">
        <v>14</v>
      </c>
    </row>
    <row r="2" spans="1:14" ht="13.2">
      <c r="C2" s="28"/>
      <c r="D2" s="25"/>
      <c r="E2" s="29"/>
    </row>
    <row r="3" spans="1:14" s="19" customFormat="1" ht="15" customHeight="1">
      <c r="A3" s="27"/>
    </row>
    <row r="4" spans="1:14" ht="23.25" customHeight="1">
      <c r="A4" s="22" t="s">
        <v>34</v>
      </c>
      <c r="B4" s="25"/>
      <c r="C4" s="67">
        <v>1</v>
      </c>
      <c r="D4" s="67">
        <f>C4+1</f>
        <v>2</v>
      </c>
      <c r="E4" s="67">
        <f t="shared" ref="E4:L4" si="0">D4+1</f>
        <v>3</v>
      </c>
      <c r="F4" s="67">
        <f t="shared" si="0"/>
        <v>4</v>
      </c>
      <c r="G4" s="67">
        <f t="shared" si="0"/>
        <v>5</v>
      </c>
      <c r="H4" s="67">
        <f t="shared" si="0"/>
        <v>6</v>
      </c>
      <c r="I4" s="67">
        <f t="shared" si="0"/>
        <v>7</v>
      </c>
      <c r="J4" s="67">
        <f t="shared" si="0"/>
        <v>8</v>
      </c>
      <c r="K4" s="67">
        <f t="shared" si="0"/>
        <v>9</v>
      </c>
      <c r="L4" s="67">
        <f t="shared" si="0"/>
        <v>10</v>
      </c>
    </row>
    <row r="5" spans="1:14" s="19" customFormat="1" ht="23.25" customHeight="1">
      <c r="A5" s="22"/>
      <c r="B5" s="25"/>
      <c r="C5" s="69"/>
      <c r="D5" s="68"/>
      <c r="E5" s="68"/>
      <c r="F5" s="68"/>
      <c r="G5" s="68"/>
      <c r="H5" s="68"/>
      <c r="I5" s="68"/>
      <c r="J5" s="68"/>
      <c r="K5" s="68"/>
      <c r="L5" s="68"/>
    </row>
    <row r="6" spans="1:14" ht="23.25" customHeight="1">
      <c r="A6" s="22" t="s">
        <v>15</v>
      </c>
      <c r="B6" s="25"/>
      <c r="C6" s="104">
        <f>'Switching assumptions'!B8</f>
        <v>5761481.8181818174</v>
      </c>
      <c r="D6" s="104">
        <f>C6*(1+'Switching assumptions'!$B$4)</f>
        <v>5761481.8181818174</v>
      </c>
      <c r="E6" s="104">
        <f>D6*(1+'Switching assumptions'!$B$4)</f>
        <v>5761481.8181818174</v>
      </c>
      <c r="F6" s="104">
        <f>E6*(1+'Switching assumptions'!$B$4)</f>
        <v>5761481.8181818174</v>
      </c>
      <c r="G6" s="104">
        <f>F6*(1+'Switching assumptions'!$B$4)</f>
        <v>5761481.8181818174</v>
      </c>
      <c r="H6" s="104">
        <f>G6*(1+'Switching assumptions'!$B$4)</f>
        <v>5761481.8181818174</v>
      </c>
      <c r="I6" s="104">
        <f>H6*(1+'Switching assumptions'!$B$4)</f>
        <v>5761481.8181818174</v>
      </c>
      <c r="J6" s="104">
        <f>I6*(1+'Switching assumptions'!$B$4)</f>
        <v>5761481.8181818174</v>
      </c>
      <c r="K6" s="104">
        <f>J6*(1+'Switching assumptions'!$B$4)</f>
        <v>5761481.8181818174</v>
      </c>
      <c r="L6" s="104">
        <f>K6*(1+'Switching assumptions'!$B$4)</f>
        <v>5761481.8181818174</v>
      </c>
      <c r="N6" s="164"/>
    </row>
    <row r="7" spans="1:14" ht="13.2">
      <c r="A7" s="22"/>
      <c r="B7" s="25"/>
      <c r="C7" s="19"/>
    </row>
    <row r="8" spans="1:14" ht="21.75" customHeight="1">
      <c r="A8" s="26" t="s">
        <v>16</v>
      </c>
      <c r="B8" s="25"/>
      <c r="C8" s="66">
        <f>C6*'Switching assumptions'!$B$7</f>
        <v>3168815</v>
      </c>
      <c r="D8" s="66">
        <f>D6*'Switching assumptions'!$B$7</f>
        <v>3168815</v>
      </c>
      <c r="E8" s="66">
        <f>E6*'Switching assumptions'!$B$7</f>
        <v>3168815</v>
      </c>
      <c r="F8" s="66">
        <f>F6*'Switching assumptions'!$B$7</f>
        <v>3168815</v>
      </c>
      <c r="G8" s="66">
        <f>G6*'Switching assumptions'!$B$7</f>
        <v>3168815</v>
      </c>
      <c r="H8" s="66">
        <f>H6*'Switching assumptions'!$B$7</f>
        <v>3168815</v>
      </c>
      <c r="I8" s="66">
        <f>I6*'Switching assumptions'!$B$7</f>
        <v>3168815</v>
      </c>
      <c r="J8" s="66">
        <f>J6*'Switching assumptions'!$B$7</f>
        <v>3168815</v>
      </c>
      <c r="K8" s="66">
        <f>K6*'Switching assumptions'!$B$7</f>
        <v>3168815</v>
      </c>
      <c r="L8" s="66">
        <f>L6*'Switching assumptions'!$B$7</f>
        <v>3168815</v>
      </c>
    </row>
    <row r="9" spans="1:14" ht="23.25" customHeight="1">
      <c r="A9" s="26" t="s">
        <v>17</v>
      </c>
      <c r="B9" s="25"/>
      <c r="C9" s="66">
        <f>C6*(1-'Switching assumptions'!$B$7)</f>
        <v>2592666.8181818174</v>
      </c>
      <c r="D9" s="66">
        <f>D6*(1-'Switching assumptions'!$B$7)</f>
        <v>2592666.8181818174</v>
      </c>
      <c r="E9" s="66">
        <f>E6*(1-'Switching assumptions'!$B$7)</f>
        <v>2592666.8181818174</v>
      </c>
      <c r="F9" s="66">
        <f>F6*(1-'Switching assumptions'!$B$7)</f>
        <v>2592666.8181818174</v>
      </c>
      <c r="G9" s="66">
        <f>G6*(1-'Switching assumptions'!$B$7)</f>
        <v>2592666.8181818174</v>
      </c>
      <c r="H9" s="66">
        <f>H6*(1-'Switching assumptions'!$B$7)</f>
        <v>2592666.8181818174</v>
      </c>
      <c r="I9" s="66">
        <f>I6*(1-'Switching assumptions'!$B$7)</f>
        <v>2592666.8181818174</v>
      </c>
      <c r="J9" s="66">
        <f>J6*(1-'Switching assumptions'!$B$7)</f>
        <v>2592666.8181818174</v>
      </c>
      <c r="K9" s="66">
        <f>K6*(1-'Switching assumptions'!$B$7)</f>
        <v>2592666.8181818174</v>
      </c>
      <c r="L9" s="66">
        <f>L6*(1-'Switching assumptions'!$B$7)</f>
        <v>2592666.8181818174</v>
      </c>
    </row>
    <row r="10" spans="1:14">
      <c r="B10" s="81"/>
      <c r="C10" s="80" t="str">
        <f t="shared" ref="C10:L10" si="1">IF((C9+C8)=C6,"Yes","No")</f>
        <v>Yes</v>
      </c>
      <c r="D10" s="80" t="str">
        <f t="shared" si="1"/>
        <v>Yes</v>
      </c>
      <c r="E10" s="80" t="str">
        <f t="shared" si="1"/>
        <v>Yes</v>
      </c>
      <c r="F10" s="80" t="str">
        <f t="shared" si="1"/>
        <v>Yes</v>
      </c>
      <c r="G10" s="80" t="str">
        <f t="shared" si="1"/>
        <v>Yes</v>
      </c>
      <c r="H10" s="80" t="str">
        <f t="shared" si="1"/>
        <v>Yes</v>
      </c>
      <c r="I10" s="80" t="str">
        <f t="shared" si="1"/>
        <v>Yes</v>
      </c>
      <c r="J10" s="80" t="str">
        <f t="shared" si="1"/>
        <v>Yes</v>
      </c>
      <c r="K10" s="80" t="str">
        <f t="shared" si="1"/>
        <v>Yes</v>
      </c>
      <c r="L10" s="80" t="str">
        <f t="shared" si="1"/>
        <v>Yes</v>
      </c>
    </row>
    <row r="11" spans="1:14" s="19" customFormat="1">
      <c r="B11" s="81"/>
      <c r="C11" s="80"/>
      <c r="D11" s="80"/>
      <c r="E11" s="80"/>
      <c r="F11" s="80"/>
      <c r="G11" s="80"/>
      <c r="H11" s="80"/>
      <c r="I11" s="80"/>
      <c r="J11" s="80"/>
      <c r="K11" s="80"/>
      <c r="L11" s="80"/>
    </row>
    <row r="12" spans="1:14" s="20" customFormat="1"/>
    <row r="14" spans="1:14" ht="29.25" customHeight="1">
      <c r="A14" s="30" t="s">
        <v>146</v>
      </c>
      <c r="B14" s="25"/>
      <c r="C14" s="82">
        <f>(C8*'Switching assumptions'!$B$11*'Switching assumptions'!$B$13)+(C9*'Switching assumptions'!$B$10*'Switching assumptions'!$B$11*'Switching assumptions'!$B$14)</f>
        <v>1199540.5145454544</v>
      </c>
      <c r="D14" s="82">
        <f>(D8*'Switching assumptions'!$B$11*'Switching assumptions'!$B$13)+(D9*'Switching assumptions'!$B$10*'Switching assumptions'!$B$11*'Switching assumptions'!$B$14)</f>
        <v>1199540.5145454544</v>
      </c>
      <c r="E14" s="82">
        <f>(E8*'Switching assumptions'!$B$11*'Switching assumptions'!$B$13)+(E9*'Switching assumptions'!$B$10*'Switching assumptions'!$B$11*'Switching assumptions'!$B$14)</f>
        <v>1199540.5145454544</v>
      </c>
      <c r="F14" s="82">
        <f>(F8*'Switching assumptions'!$B$11*'Switching assumptions'!$B$13)+(F9*'Switching assumptions'!$B$10*'Switching assumptions'!$B$11*'Switching assumptions'!$B$14)</f>
        <v>1199540.5145454544</v>
      </c>
      <c r="G14" s="82">
        <f>(G8*'Switching assumptions'!$B$11*'Switching assumptions'!$B$13)+(G9*'Switching assumptions'!$B$10*'Switching assumptions'!$B$11*'Switching assumptions'!$B$14)</f>
        <v>1199540.5145454544</v>
      </c>
      <c r="H14" s="82">
        <f>(H8*'Switching assumptions'!$B$11*'Switching assumptions'!$B$13)+(H9*'Switching assumptions'!$B$10*'Switching assumptions'!$B$11*'Switching assumptions'!$B$14)</f>
        <v>1199540.5145454544</v>
      </c>
      <c r="I14" s="82">
        <f>(I8*'Switching assumptions'!$B$11*'Switching assumptions'!$B$13)+(I9*'Switching assumptions'!$B$10*'Switching assumptions'!$B$11*'Switching assumptions'!$B$14)</f>
        <v>1199540.5145454544</v>
      </c>
      <c r="J14" s="82">
        <f>(J8*'Switching assumptions'!$B$11*'Switching assumptions'!$B$13)+(J9*'Switching assumptions'!$B$10*'Switching assumptions'!$B$11*'Switching assumptions'!$B$14)</f>
        <v>1199540.5145454544</v>
      </c>
      <c r="K14" s="82">
        <f>(K8*'Switching assumptions'!$B$11*'Switching assumptions'!$B$13)+(K9*'Switching assumptions'!$B$10*'Switching assumptions'!$B$11*'Switching assumptions'!$B$14)</f>
        <v>1199540.5145454544</v>
      </c>
      <c r="L14" s="82">
        <f>(L8*'Switching assumptions'!$B$11*'Switching assumptions'!$B$13)+(L9*'Switching assumptions'!$B$10*'Switching assumptions'!$B$11*'Switching assumptions'!$B$14)</f>
        <v>1199540.5145454544</v>
      </c>
    </row>
    <row r="15" spans="1:14" ht="28.5" customHeight="1">
      <c r="A15" s="191" t="s">
        <v>145</v>
      </c>
      <c r="B15" s="25"/>
      <c r="C15" s="82">
        <f>(C8*'Switching assumptions'!$B$11*'Switching assumptions'!$B$15)+(C9*'Switching assumptions'!$B$10*'Switching assumptions'!$B$11*'Switching assumptions'!$B$16)</f>
        <v>1199540.5145454544</v>
      </c>
      <c r="D15" s="82">
        <f>(D8*'Switching assumptions'!$B$11*'Switching assumptions'!$B$15)+(D9*'Switching assumptions'!$B$10*'Switching assumptions'!$B$11*'Switching assumptions'!$B$16)</f>
        <v>1199540.5145454544</v>
      </c>
      <c r="E15" s="82">
        <f>(E8*'Switching assumptions'!$B$11*'Switching assumptions'!$B$15)+(E9*'Switching assumptions'!$B$10*'Switching assumptions'!$B$11*'Switching assumptions'!$B$16)</f>
        <v>1199540.5145454544</v>
      </c>
      <c r="F15" s="82">
        <f>(F8*'Switching assumptions'!$B$11*'Switching assumptions'!$B$15)+(F9*'Switching assumptions'!$B$10*'Switching assumptions'!$B$11*'Switching assumptions'!$B$16)</f>
        <v>1199540.5145454544</v>
      </c>
      <c r="G15" s="82">
        <f>(G8*'Switching assumptions'!$B$11*'Switching assumptions'!$B$15)+(G9*'Switching assumptions'!$B$10*'Switching assumptions'!$B$11*'Switching assumptions'!$B$16)</f>
        <v>1199540.5145454544</v>
      </c>
      <c r="H15" s="82">
        <f>(H8*'Switching assumptions'!$B$11*'Switching assumptions'!$B$15)+(H9*'Switching assumptions'!$B$10*'Switching assumptions'!$B$11*'Switching assumptions'!$B$16)</f>
        <v>1199540.5145454544</v>
      </c>
      <c r="I15" s="82">
        <f>(I8*'Switching assumptions'!$B$11*'Switching assumptions'!$B$15)+(I9*'Switching assumptions'!$B$10*'Switching assumptions'!$B$11*'Switching assumptions'!$B$16)</f>
        <v>1199540.5145454544</v>
      </c>
      <c r="J15" s="82">
        <f>(J8*'Switching assumptions'!$B$11*'Switching assumptions'!$B$15)+(J9*'Switching assumptions'!$B$10*'Switching assumptions'!$B$11*'Switching assumptions'!$B$16)</f>
        <v>1199540.5145454544</v>
      </c>
      <c r="K15" s="82">
        <f>(K8*'Switching assumptions'!$B$11*'Switching assumptions'!$B$15)+(K9*'Switching assumptions'!$B$10*'Switching assumptions'!$B$11*'Switching assumptions'!$B$16)</f>
        <v>1199540.5145454544</v>
      </c>
      <c r="L15" s="82">
        <f>(L8*'Switching assumptions'!$B$11*'Switching assumptions'!$B$15)+(L9*'Switching assumptions'!$B$10*'Switching assumptions'!$B$11*'Switching assumptions'!$B$16)</f>
        <v>1199540.5145454544</v>
      </c>
    </row>
    <row r="17" spans="1:12" s="19" customFormat="1"/>
    <row r="18" spans="1:12" s="19" customFormat="1"/>
    <row r="19" spans="1:12" s="19" customFormat="1" ht="12">
      <c r="A19" s="251" t="s">
        <v>173</v>
      </c>
      <c r="C19" s="19" t="s">
        <v>202</v>
      </c>
    </row>
    <row r="20" spans="1:12" s="19" customFormat="1" ht="12">
      <c r="A20" s="251"/>
    </row>
    <row r="21" spans="1:12" ht="27.9" customHeight="1">
      <c r="A21" s="246" t="s">
        <v>170</v>
      </c>
      <c r="B21" s="20"/>
      <c r="C21" s="260">
        <f>C9*'Switching assumptions'!$B$19*'Switching assumptions'!$B$20*'Switching assumptions'!$B$11*'Switching assumptions'!$B$14</f>
        <v>182783.01068181812</v>
      </c>
      <c r="D21" s="260">
        <f>D9*'Switching assumptions'!$B$19*'Switching assumptions'!$B$20*'Switching assumptions'!$B$11*'Switching assumptions'!$B$14</f>
        <v>182783.01068181812</v>
      </c>
      <c r="E21" s="260">
        <f>E9*'Switching assumptions'!$B$19*'Switching assumptions'!$B$20*'Switching assumptions'!$B$11*'Switching assumptions'!$B$14</f>
        <v>182783.01068181812</v>
      </c>
      <c r="F21" s="260">
        <f>F9*'Switching assumptions'!$B$19*'Switching assumptions'!$B$20*'Switching assumptions'!$B$11*'Switching assumptions'!$B$14</f>
        <v>182783.01068181812</v>
      </c>
      <c r="G21" s="260">
        <f>G9*'Switching assumptions'!$B$19*'Switching assumptions'!$B$20*'Switching assumptions'!$B$11*'Switching assumptions'!$B$14</f>
        <v>182783.01068181812</v>
      </c>
      <c r="H21" s="260">
        <f>H9*'Switching assumptions'!$B$19*'Switching assumptions'!$B$20*'Switching assumptions'!$B$11*'Switching assumptions'!$B$14</f>
        <v>182783.01068181812</v>
      </c>
      <c r="I21" s="260">
        <f>I9*'Switching assumptions'!$B$19*'Switching assumptions'!$B$20*'Switching assumptions'!$B$11*'Switching assumptions'!$B$14</f>
        <v>182783.01068181812</v>
      </c>
      <c r="J21" s="260">
        <f>J9*'Switching assumptions'!$B$19*'Switching assumptions'!$B$20*'Switching assumptions'!$B$11*'Switching assumptions'!$B$14</f>
        <v>182783.01068181812</v>
      </c>
      <c r="K21" s="260">
        <f>K9*'Switching assumptions'!$B$19*'Switching assumptions'!$B$20*'Switching assumptions'!$B$11*'Switching assumptions'!$B$14</f>
        <v>182783.01068181812</v>
      </c>
      <c r="L21" s="260">
        <f>L9*'Switching assumptions'!$B$19*'Switching assumptions'!$B$20*'Switching assumptions'!$B$11*'Switching assumptions'!$B$14</f>
        <v>182783.01068181812</v>
      </c>
    </row>
    <row r="22" spans="1:12" s="19" customFormat="1" ht="27.9" customHeight="1">
      <c r="A22" s="246" t="s">
        <v>200</v>
      </c>
      <c r="B22" s="20"/>
      <c r="C22" s="261">
        <f>C9*'Switching assumptions'!$B$19*'Switching assumptions'!$B$20*'Switching assumptions'!$B$11*'Switching assumptions'!$B$16</f>
        <v>182783.01068181812</v>
      </c>
      <c r="D22" s="261">
        <f>D9*'Switching assumptions'!$B$19*'Switching assumptions'!$B$20*'Switching assumptions'!$B$11*'Switching assumptions'!$B$16</f>
        <v>182783.01068181812</v>
      </c>
      <c r="E22" s="261">
        <f>E9*'Switching assumptions'!$B$19*'Switching assumptions'!$B$20*'Switching assumptions'!$B$11*'Switching assumptions'!$B$16</f>
        <v>182783.01068181812</v>
      </c>
      <c r="F22" s="261">
        <f>F9*'Switching assumptions'!$B$19*'Switching assumptions'!$B$20*'Switching assumptions'!$B$11*'Switching assumptions'!$B$16</f>
        <v>182783.01068181812</v>
      </c>
      <c r="G22" s="261">
        <f>G9*'Switching assumptions'!$B$19*'Switching assumptions'!$B$20*'Switching assumptions'!$B$11*'Switching assumptions'!$B$16</f>
        <v>182783.01068181812</v>
      </c>
      <c r="H22" s="261">
        <f>H9*'Switching assumptions'!$B$19*'Switching assumptions'!$B$20*'Switching assumptions'!$B$11*'Switching assumptions'!$B$16</f>
        <v>182783.01068181812</v>
      </c>
      <c r="I22" s="261">
        <f>I9*'Switching assumptions'!$B$19*'Switching assumptions'!$B$20*'Switching assumptions'!$B$11*'Switching assumptions'!$B$16</f>
        <v>182783.01068181812</v>
      </c>
      <c r="J22" s="261">
        <f>J9*'Switching assumptions'!$B$19*'Switching assumptions'!$B$20*'Switching assumptions'!$B$11*'Switching assumptions'!$B$16</f>
        <v>182783.01068181812</v>
      </c>
      <c r="K22" s="261">
        <f>K9*'Switching assumptions'!$B$19*'Switching assumptions'!$B$20*'Switching assumptions'!$B$11*'Switching assumptions'!$B$16</f>
        <v>182783.01068181812</v>
      </c>
      <c r="L22" s="261">
        <f>L9*'Switching assumptions'!$B$19*'Switching assumptions'!$B$20*'Switching assumptions'!$B$11*'Switching assumptions'!$B$16</f>
        <v>182783.01068181812</v>
      </c>
    </row>
    <row r="23" spans="1:12" ht="27.9" customHeight="1">
      <c r="A23" s="249" t="s">
        <v>171</v>
      </c>
      <c r="B23" s="20"/>
      <c r="C23" s="252">
        <f t="shared" ref="C23:L23" si="2">C14+C21</f>
        <v>1382323.5252272724</v>
      </c>
      <c r="D23" s="252">
        <f t="shared" si="2"/>
        <v>1382323.5252272724</v>
      </c>
      <c r="E23" s="252">
        <f t="shared" si="2"/>
        <v>1382323.5252272724</v>
      </c>
      <c r="F23" s="252">
        <f t="shared" si="2"/>
        <v>1382323.5252272724</v>
      </c>
      <c r="G23" s="252">
        <f t="shared" si="2"/>
        <v>1382323.5252272724</v>
      </c>
      <c r="H23" s="252">
        <f t="shared" si="2"/>
        <v>1382323.5252272724</v>
      </c>
      <c r="I23" s="252">
        <f t="shared" si="2"/>
        <v>1382323.5252272724</v>
      </c>
      <c r="J23" s="252">
        <f t="shared" si="2"/>
        <v>1382323.5252272724</v>
      </c>
      <c r="K23" s="252">
        <f t="shared" si="2"/>
        <v>1382323.5252272724</v>
      </c>
      <c r="L23" s="253">
        <f t="shared" si="2"/>
        <v>1382323.5252272724</v>
      </c>
    </row>
    <row r="24" spans="1:12" ht="27.9" customHeight="1">
      <c r="A24" s="191" t="s">
        <v>172</v>
      </c>
      <c r="B24" s="20"/>
      <c r="C24" s="250">
        <f>C15+C22</f>
        <v>1382323.5252272724</v>
      </c>
      <c r="D24" s="250">
        <f t="shared" ref="D24:L24" si="3">D15+D22</f>
        <v>1382323.5252272724</v>
      </c>
      <c r="E24" s="250">
        <f t="shared" si="3"/>
        <v>1382323.5252272724</v>
      </c>
      <c r="F24" s="250">
        <f t="shared" si="3"/>
        <v>1382323.5252272724</v>
      </c>
      <c r="G24" s="250">
        <f t="shared" si="3"/>
        <v>1382323.5252272724</v>
      </c>
      <c r="H24" s="250">
        <f t="shared" si="3"/>
        <v>1382323.5252272724</v>
      </c>
      <c r="I24" s="250">
        <f t="shared" si="3"/>
        <v>1382323.5252272724</v>
      </c>
      <c r="J24" s="250">
        <f t="shared" si="3"/>
        <v>1382323.5252272724</v>
      </c>
      <c r="K24" s="250">
        <f t="shared" si="3"/>
        <v>1382323.5252272724</v>
      </c>
      <c r="L24" s="250">
        <f t="shared" si="3"/>
        <v>1382323.5252272724</v>
      </c>
    </row>
    <row r="27" spans="1:12">
      <c r="C27" s="24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Control Panel</vt:lpstr>
      <vt:lpstr>Scenario choice</vt:lpstr>
      <vt:lpstr>Costs--&gt;</vt:lpstr>
      <vt:lpstr>Additional costs</vt:lpstr>
      <vt:lpstr>Annual costs</vt:lpstr>
      <vt:lpstr>Volumes--&gt;</vt:lpstr>
      <vt:lpstr>Switching assumptions</vt:lpstr>
      <vt:lpstr>Number of switchers</vt:lpstr>
      <vt:lpstr>Cost savings--&gt;</vt:lpstr>
      <vt:lpstr>Staff cost summary</vt:lpstr>
      <vt:lpstr>Call duration</vt:lpstr>
      <vt:lpstr>Annual cost savings</vt:lpstr>
      <vt:lpstr>Outputs ---&gt;</vt:lpstr>
      <vt:lpstr>Cost differences NPC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O'Connor</dc:creator>
  <cp:lastModifiedBy>Aidan O'Connor</cp:lastModifiedBy>
  <dcterms:created xsi:type="dcterms:W3CDTF">2016-03-22T10:34:32Z</dcterms:created>
  <dcterms:modified xsi:type="dcterms:W3CDTF">2016-03-22T17:03:17Z</dcterms:modified>
</cp:coreProperties>
</file>